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1912\"/>
    </mc:Choice>
  </mc:AlternateContent>
  <xr:revisionPtr revIDLastSave="0" documentId="13_ncr:1_{054E37F9-1477-4076-A49D-F0BDC080A7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12th" sheetId="2" r:id="rId1"/>
  </sheets>
  <definedNames>
    <definedName name="_xlnm._FilterDatabase" localSheetId="0" hidden="1">'1912th'!$A$1:$I$1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00" i="2" l="1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<sst xmlns="http://schemas.openxmlformats.org/spreadsheetml/2006/main" count="8405" uniqueCount="5740">
  <si>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</si>
  <si>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</si>
  <si>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</si>
  <si>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</si>
  <si>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</si>
  <si>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</si>
  <si>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</si>
  <si>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</si>
  <si>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</si>
  <si>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</si>
  <si>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</si>
  <si>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t>黄佳浩</t>
  </si>
  <si>
    <t>袁梅新</t>
  </si>
  <si>
    <t>白酒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</si>
  <si>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</si>
  <si>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</si>
  <si>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思柏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葡萄酒私人有限公司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</si>
  <si>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致酒行</t>
    </r>
    <r>
      <rPr>
        <sz val="11"/>
        <color theme="1"/>
        <rFont val="ＭＳ Ｐゴシック"/>
        <family val="3"/>
        <charset val="134"/>
        <scheme val="minor"/>
      </rPr>
      <t>连锁</t>
    </r>
    <r>
      <rPr>
        <sz val="11"/>
        <color theme="1"/>
        <rFont val="ＭＳ Ｐゴシック"/>
        <family val="3"/>
        <charset val="128"/>
        <scheme val="minor"/>
      </rPr>
      <t>管理股份有限公司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</si>
  <si>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州珍酒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</si>
  <si>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市茅合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</si>
  <si>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河南仰韶酒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</si>
  <si>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州董酒股份有限公司</t>
    </r>
  </si>
  <si>
    <r>
      <t>查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桃</t>
    </r>
  </si>
  <si>
    <r>
      <t>曾子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</si>
  <si>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北京曾子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</si>
  <si>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</si>
  <si>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鑫利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</si>
  <si>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容洋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</si>
  <si>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</si>
  <si>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辉</t>
    </r>
  </si>
  <si>
    <t>花随</t>
  </si>
  <si>
    <r>
      <t>广州昌源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</si>
  <si>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国科文</t>
    </r>
    <r>
      <rPr>
        <sz val="11"/>
        <color theme="1"/>
        <rFont val="ＭＳ Ｐゴシック"/>
        <family val="3"/>
        <charset val="134"/>
        <scheme val="minor"/>
      </rPr>
      <t>创发</t>
    </r>
    <r>
      <rPr>
        <sz val="11"/>
        <color theme="1"/>
        <rFont val="ＭＳ Ｐゴシック"/>
        <family val="3"/>
        <charset val="128"/>
        <scheme val="minor"/>
      </rPr>
      <t>展(深圳)有限公司</t>
    </r>
  </si>
  <si>
    <r>
      <t>四川杜甫酒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</si>
  <si>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t>霍乃喜</t>
  </si>
  <si>
    <r>
      <t>杨</t>
    </r>
    <r>
      <rPr>
        <sz val="11"/>
        <color theme="1"/>
        <rFont val="ＭＳ Ｐゴシック"/>
        <family val="3"/>
        <charset val="128"/>
        <scheme val="minor"/>
      </rPr>
      <t>雨浩</t>
    </r>
  </si>
  <si>
    <r>
      <t>杨桢</t>
    </r>
    <r>
      <rPr>
        <sz val="11"/>
        <color theme="1"/>
        <rFont val="ＭＳ Ｐゴシック"/>
        <family val="3"/>
        <charset val="128"/>
        <scheme val="minor"/>
      </rPr>
      <t>琦</t>
    </r>
  </si>
  <si>
    <r>
      <t>海南神</t>
    </r>
    <r>
      <rPr>
        <sz val="11"/>
        <color theme="1"/>
        <rFont val="ＭＳ Ｐゴシック"/>
        <family val="3"/>
        <charset val="134"/>
        <scheme val="minor"/>
      </rPr>
      <t>识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</si>
  <si>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南春酒厂有限公司</t>
    </r>
  </si>
  <si>
    <r>
      <t>毛高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</si>
  <si>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舍得酒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</si>
  <si>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京山八哥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</si>
  <si>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t>黄小春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</si>
  <si>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）股份有限公司</t>
    </r>
  </si>
  <si>
    <t>魏洋</t>
  </si>
  <si>
    <r>
      <t>黄</t>
    </r>
    <r>
      <rPr>
        <sz val="11"/>
        <color theme="1"/>
        <rFont val="ＭＳ Ｐゴシック"/>
        <family val="3"/>
        <charset val="134"/>
        <scheme val="minor"/>
      </rPr>
      <t>伟华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</si>
  <si>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</si>
  <si>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婉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</si>
  <si>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</si>
  <si>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刚</t>
    </r>
  </si>
  <si>
    <t>李国君</t>
  </si>
  <si>
    <r>
      <t>汪力</t>
    </r>
    <r>
      <rPr>
        <sz val="11"/>
        <color theme="1"/>
        <rFont val="ＭＳ Ｐゴシック"/>
        <family val="3"/>
        <charset val="134"/>
        <scheme val="minor"/>
      </rPr>
      <t>炜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</si>
  <si>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基微源生物技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</si>
  <si>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康宇</t>
  </si>
  <si>
    <r>
      <t>百德酒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</si>
  <si>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t>王小敏</t>
  </si>
  <si>
    <t>张凯鹏</t>
  </si>
  <si>
    <r>
      <t>炊迎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</si>
  <si>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宝戈</t>
    </r>
  </si>
  <si>
    <t>席丹******************</t>
  </si>
  <si>
    <t>無し</t>
  </si>
  <si>
    <r>
      <t>李文</t>
    </r>
    <r>
      <rPr>
        <sz val="11"/>
        <color theme="1"/>
        <rFont val="ＭＳ Ｐゴシック"/>
        <family val="3"/>
        <charset val="134"/>
        <scheme val="minor"/>
      </rPr>
      <t>辉</t>
    </r>
  </si>
  <si>
    <t>葛海添</t>
  </si>
  <si>
    <r>
      <t>陈</t>
    </r>
    <r>
      <rPr>
        <sz val="11"/>
        <color theme="1"/>
        <rFont val="ＭＳ Ｐゴシック"/>
        <family val="3"/>
        <charset val="128"/>
        <scheme val="minor"/>
      </rPr>
      <t>雷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</si>
  <si>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再波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</si>
  <si>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乾元酒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</si>
  <si>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成都千杯少商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</si>
  <si>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丙旭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</si>
  <si>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</si>
  <si>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佘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</si>
  <si>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</si>
  <si>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安徽金粮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</si>
  <si>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合肥一本正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</si>
  <si>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元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</si>
  <si>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何梦</t>
    </r>
    <r>
      <rPr>
        <sz val="11"/>
        <color theme="1"/>
        <rFont val="ＭＳ Ｐゴシック"/>
        <family val="3"/>
        <charset val="134"/>
        <scheme val="minor"/>
      </rPr>
      <t>贺</t>
    </r>
  </si>
  <si>
    <t>景志</t>
  </si>
  <si>
    <r>
      <t>尚尚</t>
    </r>
    <r>
      <rPr>
        <sz val="11"/>
        <color theme="1"/>
        <rFont val="ＭＳ Ｐゴシック"/>
        <family val="3"/>
        <charset val="134"/>
        <scheme val="minor"/>
      </rPr>
      <t>签</t>
    </r>
    <r>
      <rPr>
        <sz val="11"/>
        <color theme="1"/>
        <rFont val="ＭＳ Ｐゴシック"/>
        <family val="3"/>
        <charset val="128"/>
        <scheme val="minor"/>
      </rPr>
      <t>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</si>
  <si>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青</t>
    </r>
    <r>
      <rPr>
        <sz val="11"/>
        <color theme="1"/>
        <rFont val="ＭＳ Ｐゴシック"/>
        <family val="3"/>
        <charset val="134"/>
        <scheme val="minor"/>
      </rPr>
      <t>铋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</si>
  <si>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心</t>
    </r>
    <r>
      <rPr>
        <sz val="11"/>
        <color theme="1"/>
        <rFont val="ＭＳ Ｐゴシック"/>
        <family val="3"/>
        <charset val="134"/>
        <scheme val="minor"/>
      </rPr>
      <t>桦</t>
    </r>
  </si>
  <si>
    <r>
      <t>李深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</si>
  <si>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景阳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</si>
  <si>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刘佛</t>
  </si>
  <si>
    <r>
      <t>刘海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</si>
  <si>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西安</t>
    </r>
    <r>
      <rPr>
        <sz val="11"/>
        <color theme="1"/>
        <rFont val="ＭＳ Ｐゴシック"/>
        <family val="3"/>
        <charset val="134"/>
        <scheme val="minor"/>
      </rPr>
      <t>艺语</t>
    </r>
    <r>
      <rPr>
        <sz val="11"/>
        <color theme="1"/>
        <rFont val="ＭＳ Ｐゴシック"/>
        <family val="3"/>
        <charset val="128"/>
        <scheme val="minor"/>
      </rPr>
      <t>景昇苗木有限公司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</si>
  <si>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州海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</si>
  <si>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</si>
  <si>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雅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老酒</t>
    </r>
  </si>
  <si>
    <r>
      <t>榆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市正泰酒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</si>
  <si>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</si>
  <si>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民生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</si>
  <si>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江小白酒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</si>
  <si>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果酒（含酒精）; 蒸煮提取物（利口酒和烈酒）; 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</t>
    </r>
  </si>
  <si>
    <t>宁</t>
  </si>
  <si>
    <r>
      <t>王永</t>
    </r>
    <r>
      <rPr>
        <sz val="11"/>
        <color theme="1"/>
        <rFont val="ＭＳ Ｐゴシック"/>
        <family val="3"/>
        <charset val="134"/>
        <scheme val="minor"/>
      </rPr>
      <t>护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</si>
  <si>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朗姆酒; 黄酒; 葡萄酒;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</si>
  <si>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酷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</si>
  <si>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州大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</si>
  <si>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黄酒</t>
    </r>
  </si>
  <si>
    <t>WEIXINPAY</t>
  </si>
  <si>
    <r>
      <t>腾讯</t>
    </r>
    <r>
      <rPr>
        <sz val="11"/>
        <color theme="1"/>
        <rFont val="ＭＳ Ｐゴシック"/>
        <family val="3"/>
        <charset val="128"/>
        <scheme val="minor"/>
      </rPr>
      <t>科技（深圳）有限公司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</si>
  <si>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</si>
  <si>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</si>
  <si>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</si>
  <si>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威士忌</t>
    </r>
  </si>
  <si>
    <t>壹玖春</t>
  </si>
  <si>
    <r>
      <t>安徽永盛同禧商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</si>
  <si>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</si>
  <si>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嫁真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喜 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</si>
  <si>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州情景最藏酒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</si>
  <si>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国窖品味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</si>
  <si>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州老窖股份有限公司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</si>
  <si>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</si>
  <si>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PRIMADONA</t>
  </si>
  <si>
    <r>
      <t>罗萨</t>
    </r>
    <r>
      <rPr>
        <sz val="11"/>
        <color theme="1"/>
        <rFont val="ＭＳ Ｐゴシック"/>
        <family val="3"/>
        <charset val="128"/>
        <scheme val="minor"/>
      </rPr>
      <t>多公司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</si>
  <si>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苹果酒;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</si>
  <si>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情景真年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 xml:space="preserve"> Q30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</si>
  <si>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显</t>
    </r>
    <r>
      <rPr>
        <sz val="11"/>
        <color theme="1"/>
        <rFont val="ＭＳ Ｐゴシック"/>
        <family val="3"/>
        <charset val="128"/>
        <scheme val="minor"/>
      </rPr>
      <t>仲</t>
    </r>
  </si>
  <si>
    <r>
      <t>白酒; 高粱酒; 烈酒;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食用酒精; 威士忌;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</si>
  <si>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二峨</t>
  </si>
  <si>
    <r>
      <t>四川川酒集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</si>
  <si>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威士忌</t>
    </r>
  </si>
  <si>
    <r>
      <t>古皖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</si>
  <si>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安徽省生立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大健康科技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</si>
  <si>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青稞酒; 白酒; 茴芹酒（利口酒）;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黄酒; 葡萄酒; 威士忌; 朗姆酒;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</si>
  <si>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左</t>
    </r>
    <r>
      <rPr>
        <sz val="11"/>
        <color theme="1"/>
        <rFont val="ＭＳ Ｐゴシック"/>
        <family val="3"/>
        <charset val="134"/>
        <scheme val="minor"/>
      </rPr>
      <t>记</t>
    </r>
  </si>
  <si>
    <t>左浩霖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</si>
  <si>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青梅酒; 清酒; 米酒; 高粱酒; 葡萄酒;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</si>
  <si>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年藏真古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</si>
  <si>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</si>
  <si>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t>素朴堂</t>
  </si>
  <si>
    <r>
      <t>蔡</t>
    </r>
    <r>
      <rPr>
        <sz val="11"/>
        <color theme="1"/>
        <rFont val="ＭＳ Ｐゴシック"/>
        <family val="3"/>
        <charset val="134"/>
        <scheme val="minor"/>
      </rPr>
      <t>净</t>
    </r>
  </si>
  <si>
    <r>
      <t>清酒;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开胃酒;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</si>
  <si>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伊品</t>
  </si>
  <si>
    <r>
      <t>贵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</si>
  <si>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黄酒; 米酒;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</t>
    </r>
  </si>
  <si>
    <t>交心</t>
  </si>
  <si>
    <r>
      <t>宿州超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</si>
  <si>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清酒（日本米酒）; 苹果酒</t>
    </r>
  </si>
  <si>
    <t>龙赋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</si>
  <si>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楷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</si>
  <si>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葡萄酒</t>
    </r>
  </si>
  <si>
    <t>川州液</t>
  </si>
  <si>
    <r>
      <t>李家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</si>
  <si>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</t>
    </r>
  </si>
  <si>
    <t>金彪台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</si>
  <si>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州天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仁德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</si>
  <si>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</si>
  <si>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t>梨九洲</t>
  </si>
  <si>
    <r>
      <t>遵化市御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</si>
  <si>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</si>
  <si>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</si>
  <si>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深圳市福将酒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</si>
  <si>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</si>
  <si>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大吉哥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</si>
  <si>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茶吉送科技有限公司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</si>
  <si>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蜂蜜酒; 黄酒; 米酒;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</si>
  <si>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葛腊斯</t>
  </si>
  <si>
    <r>
      <t>库尔</t>
    </r>
    <r>
      <rPr>
        <sz val="11"/>
        <color theme="1"/>
        <rFont val="ＭＳ Ｐゴシック"/>
        <family val="3"/>
        <charset val="128"/>
        <scheme val="minor"/>
      </rPr>
      <t>班江·沙地克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</si>
  <si>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高粱酒;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</si>
  <si>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兆</t>
    </r>
    <r>
      <rPr>
        <sz val="11"/>
        <color theme="1"/>
        <rFont val="ＭＳ Ｐゴシック"/>
        <family val="3"/>
        <charset val="134"/>
        <scheme val="minor"/>
      </rPr>
      <t>贡</t>
    </r>
  </si>
  <si>
    <t>王会珍</t>
  </si>
  <si>
    <r>
      <t>果酒（含酒精）; 开胃酒; 葡萄酒; 利口酒; 米酒;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</si>
  <si>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DL</t>
  </si>
  <si>
    <r>
      <t>许</t>
    </r>
    <r>
      <rPr>
        <sz val="11"/>
        <color theme="1"/>
        <rFont val="ＭＳ Ｐゴシック"/>
        <family val="3"/>
        <charset val="128"/>
        <scheme val="minor"/>
      </rPr>
      <t>昌市胖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</si>
  <si>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汽酒; 黄酒; 青稞酒; 伏特加酒; 葡萄酒; 白酒; 朗姆酒; 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</si>
  <si>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伊洲河 IWIRGHOL</t>
  </si>
  <si>
    <r>
      <t>埃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芙·尼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孜</t>
    </r>
  </si>
  <si>
    <r>
      <t>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果酒（含酒精）; 高粱酒;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青稞酒</t>
    </r>
  </si>
  <si>
    <r>
      <t>錱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</si>
  <si>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杭州鼎源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</si>
  <si>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</si>
  <si>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恩 酒 恩恩原</t>
  </si>
  <si>
    <t>民族匠心品牌管理（北京）有限公司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</si>
  <si>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</si>
  <si>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本味天成</t>
  </si>
  <si>
    <r>
      <t>北京春台酒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</si>
  <si>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</si>
  <si>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t>禛 酒 养心殿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</si>
  <si>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养心殿酒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</si>
  <si>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</t>
    </r>
  </si>
  <si>
    <r>
      <t>德娜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 xml:space="preserve"> DINNAR</t>
    </r>
  </si>
  <si>
    <r>
      <t>托胡提尼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孜·克然木</t>
    </r>
  </si>
  <si>
    <r>
      <t>白酒;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蜂蜜酒;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</si>
  <si>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长红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</si>
  <si>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烈酒;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</si>
  <si>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源醇</t>
  </si>
  <si>
    <t>周桂芳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</si>
  <si>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白酒; 清酒; 米酒</t>
    </r>
  </si>
  <si>
    <r>
      <t>倪</t>
    </r>
    <r>
      <rPr>
        <sz val="11"/>
        <color theme="1"/>
        <rFont val="ＭＳ Ｐゴシック"/>
        <family val="3"/>
        <charset val="134"/>
        <scheme val="minor"/>
      </rPr>
      <t>罗飘</t>
    </r>
  </si>
  <si>
    <r>
      <t>朱美</t>
    </r>
    <r>
      <rPr>
        <sz val="11"/>
        <color theme="1"/>
        <rFont val="ＭＳ Ｐゴシック"/>
        <family val="3"/>
        <charset val="134"/>
        <scheme val="minor"/>
      </rPr>
      <t>绿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</si>
  <si>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葡萄酒</t>
    </r>
  </si>
  <si>
    <r>
      <t xml:space="preserve">LOVEDOOR 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</si>
  <si>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温州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道集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</si>
  <si>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威士忌</t>
    </r>
  </si>
  <si>
    <t>B BEAM THE STANDARD SINCE 1795</t>
  </si>
  <si>
    <r>
      <t>吉姆比姆白</t>
    </r>
    <r>
      <rPr>
        <sz val="11"/>
        <color theme="1"/>
        <rFont val="ＭＳ Ｐゴシック"/>
        <family val="3"/>
        <charset val="134"/>
        <scheme val="minor"/>
      </rPr>
      <t>兰兹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</si>
  <si>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</si>
  <si>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气度</t>
  </si>
  <si>
    <t>曹广江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</si>
  <si>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</si>
  <si>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开胃酒; 苹果酒; 米酒; 青稞酒;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</si>
  <si>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PEOPLE</t>
  </si>
  <si>
    <r>
      <t>人民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器集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</si>
  <si>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黄酒; 米酒;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</si>
  <si>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紫</t>
    </r>
    <r>
      <rPr>
        <sz val="11"/>
        <color theme="1"/>
        <rFont val="ＭＳ Ｐゴシック"/>
        <family val="3"/>
        <charset val="134"/>
        <scheme val="minor"/>
      </rPr>
      <t>华阁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</si>
  <si>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沙紫垣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</si>
  <si>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酸酒（低等葡萄酒）; 黄酒; 青稞酒; 威士忌; 梨酒; 白酒;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</si>
  <si>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曾子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</si>
  <si>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完美(山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</si>
  <si>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果酒; 白干酒（中国白酒）;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露酒</t>
    </r>
  </si>
  <si>
    <t>隆旺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</si>
  <si>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州隆旺酒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</si>
  <si>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高粱酒;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</si>
  <si>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和悦天下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</si>
  <si>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盛达科技有限公司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</si>
  <si>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</si>
  <si>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厚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</si>
  <si>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州余派酒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</si>
  <si>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白酒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</si>
  <si>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泉天韵</t>
    </r>
  </si>
  <si>
    <r>
      <t>广西天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</si>
  <si>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</si>
  <si>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说</t>
    </r>
    <r>
      <rPr>
        <sz val="11"/>
        <color theme="1"/>
        <rFont val="ＭＳ Ｐゴシック"/>
        <family val="3"/>
        <charset val="128"/>
        <scheme val="minor"/>
      </rPr>
      <t>一堂</t>
    </r>
  </si>
  <si>
    <r>
      <t>浙江金点子</t>
    </r>
    <r>
      <rPr>
        <sz val="11"/>
        <color theme="1"/>
        <rFont val="ＭＳ Ｐゴシック"/>
        <family val="3"/>
        <charset val="134"/>
        <scheme val="minor"/>
      </rPr>
      <t>纺织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</si>
  <si>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水果汽酒;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</si>
  <si>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香炉山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</si>
  <si>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州福加</t>
    </r>
    <r>
      <rPr>
        <sz val="11"/>
        <color theme="1"/>
        <rFont val="ＭＳ Ｐゴシック"/>
        <family val="3"/>
        <charset val="134"/>
        <scheme val="minor"/>
      </rPr>
      <t>满绿</t>
    </r>
    <r>
      <rPr>
        <sz val="11"/>
        <color theme="1"/>
        <rFont val="ＭＳ Ｐゴシック"/>
        <family val="3"/>
        <charset val="128"/>
        <scheme val="minor"/>
      </rPr>
      <t>色健康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</si>
  <si>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青稞酒; 白酒; 果酒（含酒精）</t>
    </r>
  </si>
  <si>
    <t>稻台</t>
  </si>
  <si>
    <r>
      <t>张</t>
    </r>
    <r>
      <rPr>
        <sz val="11"/>
        <color theme="1"/>
        <rFont val="ＭＳ Ｐゴシック"/>
        <family val="3"/>
        <charset val="128"/>
        <scheme val="minor"/>
      </rPr>
      <t>会根</t>
    </r>
  </si>
  <si>
    <r>
      <t xml:space="preserve">食用酒精;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蜂蜜酒; 米酒; 白酒; 黄酒</t>
    </r>
  </si>
  <si>
    <t>LEDA DA VINCI</t>
  </si>
  <si>
    <r>
      <t>达勒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恩股份有限公司</t>
    </r>
  </si>
  <si>
    <t>甄露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</si>
  <si>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州未来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</si>
  <si>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开胃酒</t>
    </r>
  </si>
  <si>
    <r>
      <t>众</t>
    </r>
    <r>
      <rPr>
        <sz val="11"/>
        <color theme="1"/>
        <rFont val="ＭＳ Ｐゴシック"/>
        <family val="3"/>
        <charset val="134"/>
        <scheme val="minor"/>
      </rPr>
      <t>联</t>
    </r>
  </si>
  <si>
    <r>
      <t>梁向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</si>
  <si>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米酒; 葡萄酒</t>
    </r>
  </si>
  <si>
    <r>
      <t>和千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</si>
  <si>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随国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</si>
  <si>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白干酒（中国白酒）; 苹果酒;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</si>
  <si>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慧得福</t>
  </si>
  <si>
    <t>张鹏</t>
  </si>
  <si>
    <r>
      <t>果酒（含酒精）;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</si>
  <si>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黄金私藏</t>
  </si>
  <si>
    <t>上海黄金搭档生物科技有限公司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</si>
  <si>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汽酒; 威士忌; 食用酒精; 白酒; 葡萄酒</t>
    </r>
  </si>
  <si>
    <t>奕 YI FANG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</si>
  <si>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州奕坊酒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</si>
  <si>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米酒; 威士忌; 烈酒;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</si>
  <si>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谯</t>
    </r>
    <r>
      <rPr>
        <sz val="11"/>
        <color theme="1"/>
        <rFont val="ＭＳ Ｐゴシック"/>
        <family val="3"/>
        <charset val="128"/>
        <scheme val="minor"/>
      </rPr>
      <t>定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院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</si>
  <si>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寿区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</si>
  <si>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</si>
  <si>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灵魂种植者</t>
  </si>
  <si>
    <t>林尚葡萄酒商私人有限公司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</si>
  <si>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</si>
  <si>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漾漾</t>
    </r>
    <r>
      <rPr>
        <sz val="11"/>
        <color theme="1"/>
        <rFont val="ＭＳ Ｐゴシック"/>
        <family val="3"/>
        <charset val="134"/>
        <scheme val="minor"/>
      </rPr>
      <t>恏</t>
    </r>
  </si>
  <si>
    <r>
      <t>云南粮投粮油集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</si>
  <si>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清酒（日本米酒）;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</si>
  <si>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A 1870 AMSTEL EXTRA</t>
  </si>
  <si>
    <r>
      <t>阿姆斯特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布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基有限公司</t>
    </r>
  </si>
  <si>
    <t>悍樽</t>
  </si>
  <si>
    <r>
      <t>青稞酒; 米酒; 葡萄酒; 果酒（含酒精）; 利口酒;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</si>
  <si>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乾京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</si>
  <si>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甘蔗制烈酒; 黄酒; 葡萄酒;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</si>
  <si>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叙君</t>
  </si>
  <si>
    <r>
      <t xml:space="preserve">黄酒; 利口酒;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</si>
  <si>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t>樽逸</t>
  </si>
  <si>
    <r>
      <t>米酒; 利口酒;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葡萄酒; 青稞酒; 白酒</t>
    </r>
  </si>
  <si>
    <r>
      <t>荣和王茅酒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</si>
  <si>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米酒; 白酒</t>
    </r>
  </si>
  <si>
    <t>甄酒古藏</t>
  </si>
  <si>
    <r>
      <t>鹰</t>
    </r>
    <r>
      <rPr>
        <sz val="11"/>
        <color theme="1"/>
        <rFont val="ＭＳ Ｐゴシック"/>
        <family val="3"/>
        <charset val="128"/>
        <scheme val="minor"/>
      </rPr>
      <t>潭市余江区殷之玉百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</si>
  <si>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葡萄酒; 汽酒</t>
    </r>
  </si>
  <si>
    <t>DARHAWUG 喜孜青稞酒</t>
  </si>
  <si>
    <r>
      <t>西藏达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瓦青稞酒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</si>
  <si>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黄酒; 开胃酒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</si>
  <si>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昌祥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</si>
  <si>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市酩盟酒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</si>
  <si>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清酒（日本米酒）; 果酒（含酒精）; 葡萄酒</t>
    </r>
  </si>
  <si>
    <t>懂草香</t>
  </si>
  <si>
    <r>
      <t xml:space="preserve">清酒（日本米酒）;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梨酒; 果酒（含酒精）; 白酒; 餐后酒（利口酒和烈酒）;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</si>
  <si>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</si>
  <si>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</si>
  <si>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果酒（含酒精）; 食用酒精;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</si>
  <si>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黔豹</t>
  </si>
  <si>
    <t>沈阳</t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</si>
  <si>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</si>
  <si>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驾</t>
    </r>
  </si>
  <si>
    <r>
      <t>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</si>
  <si>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EOWSEUM BY SHU YAMAMOTO 山本修的猫世界</t>
  </si>
  <si>
    <r>
      <t>喵喵</t>
    </r>
    <r>
      <rPr>
        <sz val="11"/>
        <color theme="1"/>
        <rFont val="ＭＳ Ｐゴシック"/>
        <family val="3"/>
        <charset val="128"/>
        <scheme val="minor"/>
      </rPr>
      <t>制作合同会社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</si>
  <si>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苹果酒</t>
    </r>
  </si>
  <si>
    <t>遇九州</t>
  </si>
  <si>
    <r>
      <t>内蒙古遇九州文化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</si>
  <si>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白酒</t>
    </r>
  </si>
  <si>
    <t>150YEARS</t>
  </si>
  <si>
    <r>
      <t>北京博奥一五零国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健康管理有限公司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</si>
  <si>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苹果酒;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</si>
  <si>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匠</t>
    </r>
  </si>
  <si>
    <t>徐志</t>
  </si>
  <si>
    <r>
      <t>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米酒; 黄酒</t>
    </r>
  </si>
  <si>
    <t>杏</t>
  </si>
  <si>
    <t>山西杏花村汾酒厂股份有限公司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</si>
  <si>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黄酒; 蒸煮提取物（利口酒和烈酒）</t>
    </r>
  </si>
  <si>
    <r>
      <t>邓铁</t>
    </r>
    <r>
      <rPr>
        <sz val="11"/>
        <color theme="1"/>
        <rFont val="ＭＳ Ｐゴシック"/>
        <family val="3"/>
        <charset val="128"/>
        <scheme val="minor"/>
      </rPr>
      <t xml:space="preserve">涛 </t>
    </r>
    <r>
      <rPr>
        <sz val="11"/>
        <color theme="1"/>
        <rFont val="ＭＳ Ｐゴシック"/>
        <family val="3"/>
        <charset val="134"/>
        <scheme val="minor"/>
      </rPr>
      <t>邓铁</t>
    </r>
    <r>
      <rPr>
        <sz val="11"/>
        <color theme="1"/>
        <rFont val="ＭＳ Ｐゴシック"/>
        <family val="3"/>
        <charset val="128"/>
        <scheme val="minor"/>
      </rPr>
      <t>涛百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以后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印</t>
    </r>
  </si>
  <si>
    <r>
      <t>广州致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健康咨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</si>
  <si>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</t>
    </r>
  </si>
  <si>
    <r>
      <t>司</t>
    </r>
    <r>
      <rPr>
        <sz val="11"/>
        <color theme="1"/>
        <rFont val="ＭＳ Ｐゴシック"/>
        <family val="3"/>
        <charset val="134"/>
        <scheme val="minor"/>
      </rPr>
      <t>马义</t>
    </r>
    <r>
      <rPr>
        <sz val="11"/>
        <color theme="1"/>
        <rFont val="ＭＳ Ｐゴシック"/>
        <family val="3"/>
        <charset val="128"/>
        <scheme val="minor"/>
      </rPr>
      <t>·依明</t>
    </r>
  </si>
  <si>
    <r>
      <t>开胃酒; 苹果酒; 薄荷酒; 苦味酒; 黄酒; 柑香酒;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</si>
  <si>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福嫂</t>
  </si>
  <si>
    <t>周娟</t>
  </si>
  <si>
    <r>
      <t>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苦味酒;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</si>
  <si>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谠</t>
    </r>
  </si>
  <si>
    <r>
      <t>安徽云</t>
    </r>
    <r>
      <rPr>
        <sz val="11"/>
        <color theme="1"/>
        <rFont val="ＭＳ Ｐゴシック"/>
        <family val="3"/>
        <charset val="134"/>
        <scheme val="minor"/>
      </rPr>
      <t>谠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</si>
  <si>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含酒精的气泡水; 高粱酒; 甜果酒; 日式甜米酒;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</si>
  <si>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维标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</si>
  <si>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开胃酒; 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食用酒精;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</si>
  <si>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郁金醇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田黄酒</t>
    </r>
    <r>
      <rPr>
        <sz val="11"/>
        <color theme="1"/>
        <rFont val="ＭＳ Ｐゴシック"/>
        <family val="3"/>
        <charset val="134"/>
        <scheme val="minor"/>
      </rPr>
      <t>酿</t>
    </r>
  </si>
  <si>
    <t>河源市郁金醇食品有限公司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</si>
  <si>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</si>
  <si>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蒸煮提取物（利口酒和烈酒）; 果酒（含酒精）; 葡萄酒; 食用酒精; 利口酒</t>
    </r>
  </si>
  <si>
    <t>七彩珠峰 COLORFUL MOUNT EVEREST</t>
  </si>
  <si>
    <r>
      <t>日喀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市珠峰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</si>
  <si>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</si>
  <si>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DFA661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</si>
  <si>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苏热</t>
    </r>
    <r>
      <rPr>
        <sz val="11"/>
        <color theme="1"/>
        <rFont val="ＭＳ Ｐゴシック"/>
        <family val="3"/>
        <charset val="128"/>
        <scheme val="minor"/>
      </rPr>
      <t>休启明健康管理有限公司</t>
    </r>
  </si>
  <si>
    <r>
      <t>果酒（含酒精）; 苦味酒; 薄荷酒; 威士忌;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</si>
  <si>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柯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子望酒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</si>
  <si>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米酒;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</t>
    </r>
  </si>
  <si>
    <t>YORELAX</t>
  </si>
  <si>
    <r>
      <t>李</t>
    </r>
    <r>
      <rPr>
        <sz val="11"/>
        <color theme="1"/>
        <rFont val="ＭＳ Ｐゴシック"/>
        <family val="3"/>
        <charset val="134"/>
        <scheme val="minor"/>
      </rPr>
      <t>乐乐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</si>
  <si>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</si>
  <si>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金山</t>
    </r>
  </si>
  <si>
    <r>
      <t>上海冠卓企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</si>
  <si>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白酒;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</t>
    </r>
  </si>
  <si>
    <t>中城大有</t>
  </si>
  <si>
    <r>
      <t>中城大有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</si>
  <si>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含酒精的气泡水;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白酒; 烈酒; 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</si>
  <si>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JARDIN DE NARDOU 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花园</t>
    </r>
  </si>
  <si>
    <r>
      <t>纳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酒庄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化股份有限公司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</si>
  <si>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</si>
  <si>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CAPE BARREN WINES</t>
  </si>
  <si>
    <r>
      <t>库纳</t>
    </r>
    <r>
      <rPr>
        <sz val="11"/>
        <color theme="1"/>
        <rFont val="ＭＳ Ｐゴシック"/>
        <family val="3"/>
        <charset val="128"/>
        <scheme val="minor"/>
      </rPr>
      <t>瓦拉葡萄酒有限公司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</si>
  <si>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威士忌; 酸酒（低等葡萄酒）;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朗姆酒; 开胃酒</t>
    </r>
  </si>
  <si>
    <t>御皇井</t>
  </si>
  <si>
    <r>
      <t>罗</t>
    </r>
    <r>
      <rPr>
        <sz val="11"/>
        <color theme="1"/>
        <rFont val="ＭＳ Ｐゴシック"/>
        <family val="3"/>
        <charset val="128"/>
        <scheme val="minor"/>
      </rPr>
      <t>普欧斯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</si>
  <si>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威士忌;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清酒（日本米酒）</t>
    </r>
  </si>
  <si>
    <t>马烨仓</t>
  </si>
  <si>
    <r>
      <t>岷</t>
    </r>
    <r>
      <rPr>
        <sz val="11"/>
        <color theme="1"/>
        <rFont val="ＭＳ Ｐゴシック"/>
        <family val="3"/>
        <charset val="134"/>
        <scheme val="minor"/>
      </rPr>
      <t>县汇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</si>
  <si>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果酒（含酒精）; 蜂蜜酒;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</si>
  <si>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扁</t>
    </r>
    <r>
      <rPr>
        <sz val="11"/>
        <color theme="1"/>
        <rFont val="ＭＳ Ｐゴシック"/>
        <family val="3"/>
        <charset val="134"/>
        <scheme val="minor"/>
      </rPr>
      <t>鹊术</t>
    </r>
  </si>
  <si>
    <t>舒誉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</si>
  <si>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酸酒（低等葡萄酒）; 露酒; 开胃酒</t>
    </r>
  </si>
  <si>
    <t>和也健康科技有限公司</t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</si>
  <si>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</si>
  <si>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京府泉二</t>
    </r>
    <r>
      <rPr>
        <sz val="11"/>
        <color theme="1"/>
        <rFont val="ＭＳ Ｐゴシック"/>
        <family val="3"/>
        <charset val="134"/>
        <scheme val="minor"/>
      </rPr>
      <t>锅头</t>
    </r>
  </si>
  <si>
    <t>董蕊嘉</t>
  </si>
  <si>
    <r>
      <t xml:space="preserve">黄酒; 葡萄酒; 米酒; 餐后酒（利口酒和烈酒）;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</si>
  <si>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疯</t>
    </r>
    <r>
      <rPr>
        <sz val="11"/>
        <color theme="1"/>
        <rFont val="ＭＳ Ｐゴシック"/>
        <family val="3"/>
        <charset val="128"/>
        <scheme val="minor"/>
      </rPr>
      <t>狂二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兄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</si>
  <si>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盛世滏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</si>
  <si>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</t>
    </r>
  </si>
  <si>
    <t>知交聚知交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</si>
  <si>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习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</si>
  <si>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 xml:space="preserve">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梨酒;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</t>
    </r>
  </si>
  <si>
    <r>
      <t>喜盈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</si>
  <si>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曾云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</si>
  <si>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米酒; 葡萄酒; 黄酒; 青稞酒; 梅酒;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</si>
  <si>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倒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甄</t>
    </r>
    <r>
      <rPr>
        <sz val="11"/>
        <color theme="1"/>
        <rFont val="ＭＳ Ｐゴシック"/>
        <family val="3"/>
        <charset val="134"/>
        <scheme val="minor"/>
      </rPr>
      <t>选</t>
    </r>
  </si>
  <si>
    <t>淮安易充新能源有限公司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</si>
  <si>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</t>
    </r>
  </si>
  <si>
    <r>
      <t>冻</t>
    </r>
    <r>
      <rPr>
        <sz val="11"/>
        <color theme="1"/>
        <rFont val="ＭＳ Ｐゴシック"/>
        <family val="3"/>
        <charset val="128"/>
        <scheme val="minor"/>
      </rPr>
      <t>痴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</si>
  <si>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食品工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</si>
  <si>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黄酒; 白酒;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</si>
  <si>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三溪金樽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</si>
  <si>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州三溪酒厂有限公司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</si>
  <si>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</si>
  <si>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清与青梅</t>
  </si>
  <si>
    <r>
      <t>四川京天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</si>
  <si>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青梅酒;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</si>
  <si>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锦鲍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</si>
  <si>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鲍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营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</si>
  <si>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</t>
    </r>
  </si>
  <si>
    <r>
      <t>醉窖老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</si>
  <si>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甜果酒; 米酒;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白干酒（中国白酒）;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</si>
  <si>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原力元 META FORCE</t>
  </si>
  <si>
    <r>
      <t>乔剑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</si>
  <si>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威士忌;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</si>
  <si>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翼台王子酒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</si>
  <si>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市鑫宴酒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</si>
  <si>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黄酒; 开胃酒; 烈酒; 米酒; 葡萄酒; 蒸煮提取物（利口酒和烈酒）</t>
    </r>
  </si>
  <si>
    <t>醉窖老</t>
  </si>
  <si>
    <r>
      <t>甜果酒; 米酒;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白干酒（中国白酒）;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</si>
  <si>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陨艺</t>
  </si>
  <si>
    <r>
      <t>陈</t>
    </r>
    <r>
      <rPr>
        <sz val="11"/>
        <color theme="1"/>
        <rFont val="ＭＳ Ｐゴシック"/>
        <family val="3"/>
        <charset val="128"/>
        <scheme val="minor"/>
      </rPr>
      <t>小雪******************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</si>
  <si>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</si>
  <si>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t>梅侍</t>
  </si>
  <si>
    <r>
      <t>邑品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（成都）有限公司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</si>
  <si>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</si>
  <si>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留金</t>
  </si>
  <si>
    <r>
      <t xml:space="preserve">果酒（含酒精）; 葡萄酒; 黄酒; 利口酒;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</si>
  <si>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深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雅悦</t>
    </r>
  </si>
  <si>
    <t>石家庄瑞禧酒店管理有限公司石家庄第一分公司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</si>
  <si>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</si>
  <si>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丵酒</t>
  </si>
  <si>
    <r>
      <t>黄酒; 白酒; 烈酒; 露酒;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</t>
    </r>
  </si>
  <si>
    <t>箐甄</t>
  </si>
  <si>
    <r>
      <t>李小</t>
    </r>
    <r>
      <rPr>
        <sz val="11"/>
        <color theme="1"/>
        <rFont val="ＭＳ Ｐゴシック"/>
        <family val="3"/>
        <charset val="134"/>
        <scheme val="minor"/>
      </rPr>
      <t>卫</t>
    </r>
  </si>
  <si>
    <r>
      <t>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清酒;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</si>
  <si>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藏之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</si>
  <si>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洋河酒厂股份有限公司</t>
    </r>
  </si>
  <si>
    <r>
      <t xml:space="preserve">利口酒; 葡萄酒; 食用酒精;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</si>
  <si>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左点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</si>
  <si>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左点科技有限公司</t>
    </r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</si>
  <si>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伏特加酒;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</si>
  <si>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亦水深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</si>
  <si>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</si>
  <si>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r>
      <t>爱窝</t>
    </r>
    <r>
      <rPr>
        <sz val="11"/>
        <color theme="1"/>
        <rFont val="ＭＳ Ｐゴシック"/>
        <family val="3"/>
        <charset val="128"/>
        <scheme val="minor"/>
      </rPr>
      <t>香啡</t>
    </r>
  </si>
  <si>
    <r>
      <t>广州市尚承利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</si>
  <si>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咖啡利口酒; 蜂蜜酒</t>
    </r>
  </si>
  <si>
    <t>HAVA DRINK</t>
  </si>
  <si>
    <r>
      <t>嗨</t>
    </r>
    <r>
      <rPr>
        <sz val="11"/>
        <color theme="1"/>
        <rFont val="ＭＳ Ｐゴシック"/>
        <family val="3"/>
        <charset val="128"/>
        <scheme val="minor"/>
      </rPr>
      <t>吾有咨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管理（上海）有限公司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</si>
  <si>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</si>
  <si>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云达</t>
  </si>
  <si>
    <r>
      <t>海南玉</t>
    </r>
    <r>
      <rPr>
        <sz val="11"/>
        <color theme="1"/>
        <rFont val="ＭＳ Ｐゴシック"/>
        <family val="3"/>
        <charset val="134"/>
        <scheme val="minor"/>
      </rPr>
      <t>鹄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</si>
  <si>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青稞酒; 伏特加酒; 白酒; 黄酒</t>
    </r>
  </si>
  <si>
    <t>HAVA</t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</si>
  <si>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</si>
  <si>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将美</t>
  </si>
  <si>
    <t>周佳佳</t>
  </si>
  <si>
    <r>
      <t>葡萄酒; 威士忌; 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</si>
  <si>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战</t>
    </r>
  </si>
  <si>
    <t>广州碧水源生物科技有限公司</t>
  </si>
  <si>
    <r>
      <t xml:space="preserve">黄酒; 白酒;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</si>
  <si>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分迪先森</t>
  </si>
  <si>
    <r>
      <t>南昌</t>
    </r>
    <r>
      <rPr>
        <sz val="11"/>
        <color theme="1"/>
        <rFont val="ＭＳ Ｐゴシック"/>
        <family val="3"/>
        <charset val="134"/>
        <scheme val="minor"/>
      </rPr>
      <t>骅</t>
    </r>
    <r>
      <rPr>
        <sz val="11"/>
        <color theme="1"/>
        <rFont val="ＭＳ Ｐゴシック"/>
        <family val="3"/>
        <charset val="128"/>
        <scheme val="minor"/>
      </rPr>
      <t>奢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</si>
  <si>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</si>
  <si>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天明玉</t>
  </si>
  <si>
    <r>
      <t>四川省崇州市川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</si>
  <si>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葡萄酒</t>
    </r>
  </si>
  <si>
    <t>ROMANI XIANGNAI</t>
  </si>
  <si>
    <r>
      <t>烟台派仕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</si>
  <si>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葡萄酒; 蜂蜜酒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</si>
  <si>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</si>
  <si>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天下文化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</si>
  <si>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黄酒; 米酒; 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开胃酒</t>
    </r>
  </si>
  <si>
    <t>金天使庄园</t>
  </si>
  <si>
    <r>
      <t>菲柏（深圳）酒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</si>
  <si>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米酒</t>
    </r>
  </si>
  <si>
    <r>
      <t>昆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羌</t>
    </r>
  </si>
  <si>
    <r>
      <t>阿拉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市融盛国有</t>
    </r>
    <r>
      <rPr>
        <sz val="11"/>
        <color theme="1"/>
        <rFont val="ＭＳ Ｐゴシック"/>
        <family val="3"/>
        <charset val="134"/>
        <scheme val="minor"/>
      </rPr>
      <t>资产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</si>
  <si>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</si>
  <si>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谷滇</t>
    </r>
    <r>
      <rPr>
        <sz val="11"/>
        <color theme="1"/>
        <rFont val="ＭＳ Ｐゴシック"/>
        <family val="3"/>
        <charset val="134"/>
        <scheme val="minor"/>
      </rPr>
      <t>汇</t>
    </r>
  </si>
  <si>
    <t>郭万州</t>
  </si>
  <si>
    <r>
      <t>米酒; 露酒;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果酒（含酒精）</t>
    </r>
  </si>
  <si>
    <t>七日世界</t>
  </si>
  <si>
    <r>
      <t>网易（杭州）网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</si>
  <si>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</si>
  <si>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乾隆德寿福</t>
  </si>
  <si>
    <r>
      <t>北京皇家京都酒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</si>
  <si>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百草虂台</t>
  </si>
  <si>
    <r>
      <t>安徽精力元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</si>
  <si>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露酒;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米酒; 白酒; 甜酒</t>
    </r>
  </si>
  <si>
    <t>HU DAI</t>
  </si>
  <si>
    <r>
      <t>烟台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孚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</si>
  <si>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露酒; 白酒; 葡萄酒; 朗姆酒;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</si>
  <si>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有巢故里</t>
  </si>
  <si>
    <t>有巢氏有限公司</t>
  </si>
  <si>
    <r>
      <t>黄酒; 白酒;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</t>
    </r>
  </si>
  <si>
    <t>魅人醉</t>
  </si>
  <si>
    <r>
      <t>罗</t>
    </r>
    <r>
      <rPr>
        <sz val="11"/>
        <color theme="1"/>
        <rFont val="ＭＳ Ｐゴシック"/>
        <family val="3"/>
        <charset val="128"/>
        <scheme val="minor"/>
      </rPr>
      <t>嘉豪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</si>
  <si>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梅酒; 高粱酒; 白酒; 青稞酒</t>
    </r>
  </si>
  <si>
    <t>ZUELERS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</si>
  <si>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白酒; 威士忌; 果酒;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</si>
  <si>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CUPLERS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</si>
  <si>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威士忌; 黄酒; 葡萄酒; 米酒;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</si>
  <si>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北岳神耆</t>
  </si>
  <si>
    <t>山西北岳神耆生物科技股份有限公司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</si>
  <si>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汽酒; 清酒; 白酒; 烈酒</t>
    </r>
  </si>
  <si>
    <r>
      <t>白口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</si>
  <si>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江小白品牌管理有限公司</t>
    </r>
  </si>
  <si>
    <r>
      <t>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朗姆酒;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烈酒; 果酒（含酒精）</t>
    </r>
  </si>
  <si>
    <t>30PARK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</si>
  <si>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</si>
  <si>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>葡萄酒; 黄酒; 白酒; 苹果酒; 青稞酒; 威士忌;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</si>
  <si>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喜宴</t>
    </r>
  </si>
  <si>
    <r>
      <t>北京晨</t>
    </r>
    <r>
      <rPr>
        <sz val="11"/>
        <color theme="1"/>
        <rFont val="ＭＳ Ｐゴシック"/>
        <family val="3"/>
        <charset val="134"/>
        <scheme val="minor"/>
      </rPr>
      <t>进伟业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</si>
  <si>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葡萄酒; 白酒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</si>
  <si>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博物院（广州美</t>
    </r>
    <r>
      <rPr>
        <sz val="11"/>
        <color theme="1"/>
        <rFont val="ＭＳ Ｐゴシック"/>
        <family val="3"/>
        <charset val="134"/>
        <scheme val="minor"/>
      </rPr>
      <t>术馆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</si>
  <si>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葡萄酒; 黄酒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</si>
  <si>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亲龙</t>
    </r>
  </si>
  <si>
    <r>
      <t>廖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</si>
  <si>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黄酒;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米酒; 清酒（日本米酒）; 果酒（含酒精）</t>
    </r>
  </si>
  <si>
    <r>
      <t>杜甫浮云池</t>
    </r>
    <r>
      <rPr>
        <sz val="11"/>
        <color theme="1"/>
        <rFont val="ＭＳ Ｐゴシック"/>
        <family val="3"/>
        <charset val="134"/>
        <scheme val="minor"/>
      </rPr>
      <t>贰</t>
    </r>
    <r>
      <rPr>
        <sz val="11"/>
        <color theme="1"/>
        <rFont val="ＭＳ Ｐゴシック"/>
        <family val="3"/>
        <charset val="128"/>
        <scheme val="minor"/>
      </rPr>
      <t>号</t>
    </r>
  </si>
  <si>
    <r>
      <t>黄酒;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</t>
    </r>
  </si>
  <si>
    <t>莓妮果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</si>
  <si>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江莓妮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</si>
  <si>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果酒(含酒精);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蒸煮提取物(利口酒和烈酒);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</si>
  <si>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有礼</t>
    </r>
  </si>
  <si>
    <r>
      <t>吉林</t>
    </r>
    <r>
      <rPr>
        <sz val="11"/>
        <color theme="1"/>
        <rFont val="ＭＳ Ｐゴシック"/>
        <family val="3"/>
        <charset val="134"/>
        <scheme val="minor"/>
      </rPr>
      <t>乌</t>
    </r>
    <r>
      <rPr>
        <sz val="11"/>
        <color theme="1"/>
        <rFont val="ＭＳ Ｐゴシック"/>
        <family val="3"/>
        <charset val="128"/>
        <scheme val="minor"/>
      </rPr>
      <t>拉古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展股份有限公司</t>
    </r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</si>
  <si>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</si>
  <si>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清韵天品</t>
  </si>
  <si>
    <r>
      <t>石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</si>
  <si>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葡萄酒</t>
    </r>
  </si>
  <si>
    <t>BCE10000年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</si>
  <si>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公元前科技有限公司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</si>
  <si>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佐餐酒; 含酒精的气泡水;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</si>
  <si>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北巷</t>
    </r>
  </si>
  <si>
    <t>王岩</t>
  </si>
  <si>
    <r>
      <t>清酒（日本米酒）; 威士忌; 利口酒; 果酒（含酒精）; 黄酒;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</si>
  <si>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TIANLALA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</si>
  <si>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旺餐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</si>
  <si>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含酒精蛋奶酒;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</si>
  <si>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道合花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</si>
  <si>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溪泉酒厂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</si>
  <si>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果酒（含酒精）;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</si>
  <si>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善之蜜</t>
  </si>
  <si>
    <r>
      <t>云南深山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牧林开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</si>
  <si>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开胃酒; 烈酒; 米酒; 白酒; 黄酒; 果酒</t>
    </r>
  </si>
  <si>
    <t>黄金叶山水画</t>
  </si>
  <si>
    <r>
      <t>宿迁市梦金亭酒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</si>
  <si>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</si>
  <si>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月亮</t>
    </r>
    <r>
      <rPr>
        <sz val="11"/>
        <color theme="1"/>
        <rFont val="ＭＳ Ｐゴシック"/>
        <family val="3"/>
        <charset val="134"/>
        <scheme val="minor"/>
      </rPr>
      <t>锁</t>
    </r>
  </si>
  <si>
    <t>甘露妮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</si>
  <si>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果酒（含酒精）;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</si>
  <si>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谪隐</t>
  </si>
  <si>
    <r>
      <t>郑</t>
    </r>
    <r>
      <rPr>
        <sz val="11"/>
        <color theme="1"/>
        <rFont val="ＭＳ Ｐゴシック"/>
        <family val="3"/>
        <charset val="128"/>
        <scheme val="minor"/>
      </rPr>
      <t>重本</t>
    </r>
  </si>
  <si>
    <r>
      <t>葡萄酒;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蒸煮提取物（利口酒和烈酒）; 蜂蜜酒; 米酒; 青稞酒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</si>
  <si>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</si>
  <si>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t>养众人</t>
  </si>
  <si>
    <r>
      <t>烟台福无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</si>
  <si>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起泡白葡萄酒; 葡萄汽酒; 奶油利口酒; 水果汽酒; 含奶油利口酒;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梅酒; 桑格利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汽酒; 甜酒; 松叶酒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</si>
  <si>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果酒（含酒精）</t>
    </r>
  </si>
  <si>
    <t>淀夏</t>
  </si>
  <si>
    <r>
      <t>釜阳春酒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</si>
  <si>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</si>
  <si>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瓩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</si>
  <si>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米酒;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</si>
  <si>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妮</t>
  </si>
  <si>
    <r>
      <t>葡萄酒;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</si>
  <si>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尛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</si>
  <si>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果酒（含酒精）;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</si>
  <si>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 xml:space="preserve">迹 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尖民酒</t>
    </r>
  </si>
  <si>
    <r>
      <t>成都九鼎酒酒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</si>
  <si>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白酒; 米酒;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</si>
  <si>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楷信</t>
  </si>
  <si>
    <r>
      <t>楚雄楷信商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</si>
  <si>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青梅酒;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</si>
  <si>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曹祖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</si>
  <si>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</si>
  <si>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烈酒; 米酒; 葡萄酒; 食用酒精; 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</si>
  <si>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名谷 壹次合作 壹生朋友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</si>
  <si>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市名谷酒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</si>
  <si>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伏特加酒</t>
    </r>
  </si>
  <si>
    <r>
      <t>州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</si>
  <si>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市珍品酒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</si>
  <si>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高粱酒;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</si>
  <si>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弘辰</t>
  </si>
  <si>
    <r>
      <t>河北弘辰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</si>
  <si>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黄酒</t>
    </r>
  </si>
  <si>
    <t>企石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</si>
  <si>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莞市企石</t>
    </r>
    <r>
      <rPr>
        <sz val="11"/>
        <color theme="1"/>
        <rFont val="ＭＳ Ｐゴシック"/>
        <family val="3"/>
        <charset val="134"/>
        <scheme val="minor"/>
      </rPr>
      <t>镇经济发</t>
    </r>
    <r>
      <rPr>
        <sz val="11"/>
        <color theme="1"/>
        <rFont val="ＭＳ Ｐゴシック"/>
        <family val="3"/>
        <charset val="128"/>
        <scheme val="minor"/>
      </rPr>
      <t>展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</si>
  <si>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</si>
  <si>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胭脂糦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</si>
  <si>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承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</si>
  <si>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</si>
  <si>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恒源</t>
    </r>
    <r>
      <rPr>
        <sz val="11"/>
        <color theme="1"/>
        <rFont val="ＭＳ Ｐゴシック"/>
        <family val="3"/>
        <charset val="134"/>
        <scheme val="minor"/>
      </rPr>
      <t>饲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</si>
  <si>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威士忌; 黄酒;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</t>
    </r>
  </si>
  <si>
    <r>
      <t>孝</t>
    </r>
    <r>
      <rPr>
        <sz val="11"/>
        <color theme="1"/>
        <rFont val="ＭＳ Ｐゴシック"/>
        <family val="3"/>
        <charset val="134"/>
        <scheme val="minor"/>
      </rPr>
      <t>遗</t>
    </r>
    <r>
      <rPr>
        <sz val="11"/>
        <color theme="1"/>
        <rFont val="ＭＳ Ｐゴシック"/>
        <family val="3"/>
        <charset val="128"/>
        <scheme val="minor"/>
      </rPr>
      <t>羹</t>
    </r>
  </si>
  <si>
    <r>
      <t>山西汾州府酒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</si>
  <si>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</si>
  <si>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个十百</t>
    </r>
    <r>
      <rPr>
        <sz val="11"/>
        <color theme="1"/>
        <rFont val="ＭＳ Ｐゴシック"/>
        <family val="3"/>
        <charset val="134"/>
        <scheme val="minor"/>
      </rPr>
      <t>货</t>
    </r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</si>
  <si>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好仕文件</t>
    </r>
    <r>
      <rPr>
        <sz val="11"/>
        <color theme="1"/>
        <rFont val="ＭＳ Ｐゴシック"/>
        <family val="3"/>
        <charset val="134"/>
        <scheme val="minor"/>
      </rPr>
      <t>处</t>
    </r>
    <r>
      <rPr>
        <sz val="11"/>
        <color theme="1"/>
        <rFont val="ＭＳ Ｐゴシック"/>
        <family val="3"/>
        <charset val="128"/>
        <scheme val="minor"/>
      </rPr>
      <t>理有限公司</t>
    </r>
  </si>
  <si>
    <r>
      <t>开胃酒; 高粱酒; 伏特加酒; 葡萄酒;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甜酒; 汽酒; 白酒</t>
    </r>
  </si>
  <si>
    <t>竹陵春</t>
  </si>
  <si>
    <r>
      <t>陈</t>
    </r>
    <r>
      <rPr>
        <sz val="11"/>
        <color theme="1"/>
        <rFont val="ＭＳ Ｐゴシック"/>
        <family val="3"/>
        <charset val="128"/>
        <scheme val="minor"/>
      </rPr>
      <t>德芬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</si>
  <si>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烈酒; 葡萄酒; 食用酒精; 黄酒; 清酒; 果酒;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</si>
  <si>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妙元天健</t>
  </si>
  <si>
    <r>
      <t>福建省妙元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新生物科技有限公司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</si>
  <si>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朗姆酒; 食用酒精;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</si>
  <si>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胭脂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甘泉</t>
    </r>
  </si>
  <si>
    <r>
      <t>熊恩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</si>
  <si>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甜酒; 黄酒;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不起泡葡萄酒</t>
    </r>
  </si>
  <si>
    <r>
      <t>孔乙己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兴</t>
    </r>
  </si>
  <si>
    <t>上海孔乙己酒家有限公司</t>
  </si>
  <si>
    <r>
      <t xml:space="preserve">果酒（含酒精）; 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青稞酒;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</si>
  <si>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樽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</si>
  <si>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黄酒; 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果酒（含酒精）</t>
    </r>
  </si>
  <si>
    <t>MCW</t>
  </si>
  <si>
    <r>
      <t>摩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哥莱恩特品牌有限公司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</si>
  <si>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</si>
  <si>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冻</t>
    </r>
    <r>
      <rPr>
        <sz val="11"/>
        <color theme="1"/>
        <rFont val="ＭＳ Ｐゴシック"/>
        <family val="3"/>
        <charset val="128"/>
        <scheme val="minor"/>
      </rPr>
      <t>力爽</t>
    </r>
  </si>
  <si>
    <r>
      <t>安徽熙</t>
    </r>
    <r>
      <rPr>
        <sz val="11"/>
        <color theme="1"/>
        <rFont val="ＭＳ Ｐゴシック"/>
        <family val="3"/>
        <charset val="134"/>
        <scheme val="minor"/>
      </rPr>
      <t>顺贸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</si>
  <si>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烈酒; 黄酒; 白干酒（中国白酒）; 高粱酒; 果酒（含酒精）</t>
    </r>
  </si>
  <si>
    <t>MFH</t>
  </si>
  <si>
    <r>
      <t>旭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（福建）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</si>
  <si>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苦味酒; 威士忌; 蒸煮提取物（利口酒和烈酒）; 果酒（含酒精）; 青稞酒</t>
    </r>
  </si>
  <si>
    <t>京</t>
  </si>
  <si>
    <r>
      <t>北京鑫帝酒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</si>
  <si>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酸酒（低等葡萄酒）; 苦味酒;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</si>
  <si>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明王子酒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</si>
  <si>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伏特加酒;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</si>
  <si>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鑫土香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</si>
  <si>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西鑫土香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</si>
  <si>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白酒;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</si>
  <si>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供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</si>
  <si>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</si>
  <si>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</si>
  <si>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汉讲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</si>
  <si>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州茅不易商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</si>
  <si>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米酒;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</si>
  <si>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TIANKONGCUI</t>
  </si>
  <si>
    <r>
      <t>东</t>
    </r>
    <r>
      <rPr>
        <sz val="11"/>
        <color theme="1"/>
        <rFont val="ＭＳ Ｐゴシック"/>
        <family val="3"/>
        <charset val="128"/>
        <scheme val="minor"/>
      </rPr>
      <t>港市天允酒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</si>
  <si>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苦味酒;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朗姆酒;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</si>
  <si>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澳洲</t>
    </r>
    <r>
      <rPr>
        <sz val="11"/>
        <color theme="1"/>
        <rFont val="ＭＳ Ｐゴシック"/>
        <family val="3"/>
        <charset val="134"/>
        <scheme val="minor"/>
      </rPr>
      <t>丛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</si>
  <si>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林斯黛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</si>
  <si>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</si>
  <si>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诚轩电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</si>
  <si>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白酒;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</si>
  <si>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听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</si>
  <si>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云南天藏酒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</si>
  <si>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</si>
  <si>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花禾子</t>
  </si>
  <si>
    <r>
      <t>陈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</si>
  <si>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果酒;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高粱酒; 白酒; 黄酒</t>
    </r>
  </si>
  <si>
    <t>回元圣遇</t>
  </si>
  <si>
    <r>
      <t>韩华</t>
    </r>
    <r>
      <rPr>
        <sz val="11"/>
        <color theme="1"/>
        <rFont val="ＭＳ Ｐゴシック"/>
        <family val="3"/>
        <charset val="128"/>
        <scheme val="minor"/>
      </rPr>
      <t>献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</si>
  <si>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</si>
  <si>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闽团圆</t>
  </si>
  <si>
    <t>吴菊生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</si>
  <si>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</si>
  <si>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露感</t>
  </si>
  <si>
    <r>
      <t>张</t>
    </r>
    <r>
      <rPr>
        <sz val="11"/>
        <color theme="1"/>
        <rFont val="ＭＳ Ｐゴシック"/>
        <family val="3"/>
        <charset val="128"/>
        <scheme val="minor"/>
      </rPr>
      <t>梦雪</t>
    </r>
  </si>
  <si>
    <t>高粱酒; 烈酒; 白酒; 甜酒; 梅酒; 酸酒（低等葡萄酒）; 草莓酒; 米酒; 清酒; 果酒（含酒精）</t>
  </si>
  <si>
    <t>梁酒赤火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</si>
  <si>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梁酒酒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</si>
  <si>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</t>
    </r>
  </si>
  <si>
    <t>造工匠</t>
  </si>
  <si>
    <t>刘中原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</si>
  <si>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开胃酒; 米酒;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</si>
  <si>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梁酒黄土</t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</si>
  <si>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</si>
  <si>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梁酒玄水</t>
  </si>
  <si>
    <r>
      <t>果酒（含酒精）; 葡萄酒;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</t>
    </r>
  </si>
  <si>
    <t>禾家福 AMORE</t>
  </si>
  <si>
    <r>
      <t>成都市豪升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</si>
  <si>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烈酒;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白干酒（中国白酒）; 米酒; 葡萄酒</t>
    </r>
  </si>
  <si>
    <t>梁酒青木</t>
  </si>
  <si>
    <r>
      <t>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米酒; 白酒;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</si>
  <si>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城大运河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</si>
  <si>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忠旺</t>
    </r>
  </si>
  <si>
    <r>
      <t>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黄酒; 利口酒; 米酒; 开胃酒</t>
    </r>
  </si>
  <si>
    <r>
      <t>数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吉品</t>
    </r>
  </si>
  <si>
    <r>
      <t>吉林省供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行</t>
    </r>
    <r>
      <rPr>
        <sz val="11"/>
        <color theme="1"/>
        <rFont val="ＭＳ Ｐゴシック"/>
        <family val="3"/>
        <charset val="134"/>
        <scheme val="minor"/>
      </rPr>
      <t>业协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</si>
  <si>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蜂蜜酒; 葡萄酒;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果酒（含酒精）; 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</si>
  <si>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丰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</si>
  <si>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陵郁金香酒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</si>
  <si>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清酒;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</si>
  <si>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御珍品高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</si>
  <si>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市程</t>
    </r>
    <r>
      <rPr>
        <sz val="11"/>
        <color theme="1"/>
        <rFont val="ＭＳ Ｐゴシック"/>
        <family val="3"/>
        <charset val="134"/>
        <scheme val="minor"/>
      </rPr>
      <t>润陈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</si>
  <si>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利口酒;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葡萄酒; 清酒（日本米酒）</t>
    </r>
  </si>
  <si>
    <t>廿四坊</t>
  </si>
  <si>
    <r>
      <t>四川廿四坊酒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</si>
  <si>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</si>
  <si>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猗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操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</si>
  <si>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南意</t>
    </r>
    <r>
      <rPr>
        <sz val="11"/>
        <color theme="1"/>
        <rFont val="ＭＳ Ｐゴシック"/>
        <family val="3"/>
        <charset val="134"/>
        <scheme val="minor"/>
      </rPr>
      <t>凯环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</si>
  <si>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>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食用酒精; 黄酒; 烈酒; 甜果酒;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</si>
  <si>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情与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</si>
  <si>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隆</t>
    </r>
  </si>
  <si>
    <r>
      <t xml:space="preserve">米酒; 白酒; 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</si>
  <si>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占森</t>
  </si>
  <si>
    <t>黎波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</si>
  <si>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黄酒; 高粱酒; 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白葡萄酒</t>
    </r>
  </si>
  <si>
    <t>首在</t>
  </si>
  <si>
    <r>
      <t>陈</t>
    </r>
    <r>
      <rPr>
        <sz val="11"/>
        <color theme="1"/>
        <rFont val="ＭＳ Ｐゴシック"/>
        <family val="3"/>
        <charset val="128"/>
        <scheme val="minor"/>
      </rPr>
      <t>志彬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</si>
  <si>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蜂蜜酒;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</si>
  <si>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互振520酒</t>
  </si>
  <si>
    <t>河南互振教育科技有限公司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</si>
  <si>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</si>
  <si>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御珍品金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</si>
  <si>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白酒; 清酒（日本米酒）; 果酒（含酒精）; 葡萄酒</t>
    </r>
  </si>
  <si>
    <r>
      <t>牧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</si>
  <si>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通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牧牛乳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</si>
  <si>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</si>
  <si>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t>湛小仙</t>
  </si>
  <si>
    <r>
      <t>福建省湛仙酒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</si>
  <si>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餐后酒（利口酒和烈酒）; 白酒; 开胃酒; 黄酒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</si>
  <si>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明酒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</si>
  <si>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福安市丰盛</t>
    </r>
    <r>
      <rPr>
        <sz val="11"/>
        <color theme="1"/>
        <rFont val="ＭＳ Ｐゴシック"/>
        <family val="3"/>
        <charset val="134"/>
        <scheme val="minor"/>
      </rPr>
      <t>废</t>
    </r>
    <r>
      <rPr>
        <sz val="11"/>
        <color theme="1"/>
        <rFont val="ＭＳ Ｐゴシック"/>
        <family val="3"/>
        <charset val="128"/>
        <scheme val="minor"/>
      </rPr>
      <t>旧物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回收有限公司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</si>
  <si>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</si>
  <si>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生</t>
    </r>
    <r>
      <rPr>
        <sz val="11"/>
        <color theme="1"/>
        <rFont val="ＭＳ Ｐゴシック"/>
        <family val="3"/>
        <charset val="129"/>
        <scheme val="minor"/>
      </rPr>
      <t>嗨</t>
    </r>
  </si>
  <si>
    <r>
      <t>董宝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</si>
  <si>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汽酒</t>
    </r>
  </si>
  <si>
    <t>倍席王子</t>
  </si>
  <si>
    <r>
      <t>蒸煮提取物（利口酒和烈酒）; 佐餐酒;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</si>
  <si>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MINI MILI</t>
  </si>
  <si>
    <r>
      <t>安徽省小迷黎酒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</si>
  <si>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</si>
  <si>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存珠</t>
    </r>
    <r>
      <rPr>
        <sz val="11"/>
        <color theme="1"/>
        <rFont val="ＭＳ Ｐゴシック"/>
        <family val="3"/>
        <charset val="134"/>
        <scheme val="minor"/>
      </rPr>
      <t>红</t>
    </r>
  </si>
  <si>
    <t>黄利娟</t>
  </si>
  <si>
    <r>
      <t xml:space="preserve">柑香酒; 食用酒精; 苹果酒;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蜂蜜酒; 梨酒; 果酒（含酒精）</t>
    </r>
  </si>
  <si>
    <t>小熊帕丁</t>
  </si>
  <si>
    <r>
      <t>辛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燕******************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</si>
  <si>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苹果酒;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草莓酒; 甜果酒;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</si>
  <si>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江桃</t>
    </r>
    <r>
      <rPr>
        <sz val="11"/>
        <color theme="1"/>
        <rFont val="ＭＳ Ｐゴシック"/>
        <family val="3"/>
        <charset val="134"/>
        <scheme val="minor"/>
      </rPr>
      <t>浊</t>
    </r>
    <r>
      <rPr>
        <sz val="11"/>
        <color theme="1"/>
        <rFont val="ＭＳ Ｐゴシック"/>
        <family val="3"/>
        <charset val="128"/>
        <scheme val="minor"/>
      </rPr>
      <t>清泉</t>
    </r>
  </si>
  <si>
    <t>陈丽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</si>
  <si>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</si>
  <si>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腾</t>
    </r>
    <r>
      <rPr>
        <sz val="11"/>
        <color theme="1"/>
        <rFont val="ＭＳ Ｐゴシック"/>
        <family val="3"/>
        <charset val="128"/>
        <scheme val="minor"/>
      </rPr>
      <t>杞源</t>
    </r>
  </si>
  <si>
    <r>
      <t>宁夏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杞源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</si>
  <si>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薄荷酒;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蒸煮提取物（利口酒和烈酒）; 果酒（含酒精）</t>
    </r>
  </si>
  <si>
    <r>
      <t>阳澄怪</t>
    </r>
    <r>
      <rPr>
        <sz val="11"/>
        <color theme="1"/>
        <rFont val="ＭＳ Ｐゴシック"/>
        <family val="3"/>
        <charset val="134"/>
        <scheme val="minor"/>
      </rPr>
      <t>兽</t>
    </r>
  </si>
  <si>
    <r>
      <t>良耕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品生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</si>
  <si>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汽酒; 烈酒; 黄酒; 甜酒; 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</si>
  <si>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中谷</t>
    </r>
  </si>
  <si>
    <r>
      <t>高粱酒; 白酒; 黄酒; 葡萄酒;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</t>
    </r>
  </si>
  <si>
    <t>季香花</t>
  </si>
  <si>
    <r>
      <t>白酒; 果酒（含酒精）; 苦味酒; 开胃酒; 刺五加酒; 烈性干酒; 蒸煮提取物（利口酒和烈酒）;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</si>
  <si>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泉中竹</t>
  </si>
  <si>
    <r>
      <t>白酒; 开胃酒; 青稞酒; 威士忌; 葡萄酒;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</si>
  <si>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岳丰酩</t>
  </si>
  <si>
    <t>陈鸣红</t>
  </si>
  <si>
    <r>
      <t>清酒（日本米酒）; 果酒（含酒精）;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</si>
  <si>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七仙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</si>
  <si>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</si>
  <si>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黄酒; 米酒; 白酒;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高粱酒</t>
    </r>
  </si>
  <si>
    <t>伴海微醉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</si>
  <si>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岛硕</t>
    </r>
    <r>
      <rPr>
        <sz val="11"/>
        <color theme="1"/>
        <rFont val="ＭＳ Ｐゴシック"/>
        <family val="3"/>
        <charset val="128"/>
        <scheme val="minor"/>
      </rPr>
      <t>拓网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</si>
  <si>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含酒精的气泡水;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米酒</t>
    </r>
  </si>
  <si>
    <r>
      <t>黄河大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</si>
  <si>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东鲁</t>
    </r>
    <r>
      <rPr>
        <sz val="11"/>
        <color theme="1"/>
        <rFont val="ＭＳ Ｐゴシック"/>
        <family val="3"/>
        <charset val="128"/>
        <scheme val="minor"/>
      </rPr>
      <t>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</si>
  <si>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</si>
  <si>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t>麒南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</si>
  <si>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麒楠生物科技有限公司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</si>
  <si>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食用酒精;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</si>
  <si>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帝爹拉宏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 xml:space="preserve"> 18</t>
    </r>
  </si>
  <si>
    <r>
      <t>福建佰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</si>
  <si>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开胃酒; 葡萄酒; 威士忌; 利口酒; 黄酒</t>
    </r>
  </si>
  <si>
    <t>果小韵</t>
  </si>
  <si>
    <t>朗姆酒; 白酒; 葡萄酒; 甜酒; 黄酒; 伏特加酒; 清酒; 果酒（含酒精）; 梅酒; 米酒</t>
  </si>
  <si>
    <t>征信念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</si>
  <si>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</si>
  <si>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金帮帮</t>
    </r>
    <r>
      <rPr>
        <sz val="11"/>
        <color theme="1"/>
        <rFont val="ＭＳ Ｐゴシック"/>
        <family val="3"/>
        <charset val="134"/>
        <scheme val="minor"/>
      </rPr>
      <t>飞龙</t>
    </r>
  </si>
  <si>
    <r>
      <t>启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市金帮帮水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</si>
  <si>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苹果酒;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黄酒;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</si>
  <si>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楚国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盾</t>
    </r>
  </si>
  <si>
    <t>海南楚国大健康科技有限公司</t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</si>
  <si>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威士忌</t>
    </r>
  </si>
  <si>
    <t>两庄</t>
  </si>
  <si>
    <r>
      <t>武蒙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</si>
  <si>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葡萄酒; 果酒（含酒精）; 白酒; 高粱酒</t>
    </r>
  </si>
  <si>
    <r>
      <t>青海天</t>
    </r>
    <r>
      <rPr>
        <sz val="11"/>
        <color theme="1"/>
        <rFont val="ＭＳ Ｐゴシック"/>
        <family val="3"/>
        <charset val="134"/>
        <scheme val="minor"/>
      </rPr>
      <t>骋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</si>
  <si>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高粱酒</t>
    </r>
  </si>
  <si>
    <r>
      <t>管鑫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</si>
  <si>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南通管鑫</t>
    </r>
    <r>
      <rPr>
        <sz val="11"/>
        <color theme="1"/>
        <rFont val="ＭＳ Ｐゴシック"/>
        <family val="3"/>
        <charset val="134"/>
        <scheme val="minor"/>
      </rPr>
      <t>红贸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</si>
  <si>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威士忌; 食用酒精; 白酒;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</si>
  <si>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口山</t>
    </r>
  </si>
  <si>
    <r>
      <t>沈开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</si>
  <si>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白酒; 威士忌;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黄酒; 高粱酒;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</si>
  <si>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LIU FAMILY'S RESIDENCE</t>
  </si>
  <si>
    <t>刘世杰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</si>
  <si>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苹果酒; 葡萄酒; 白酒</t>
    </r>
  </si>
  <si>
    <t>朕御官</t>
  </si>
  <si>
    <t>广州吉妍健康管理科技有限公司</t>
  </si>
  <si>
    <r>
      <t>果酒（含酒精）; 蜂蜜酒; 食用酒精;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</si>
  <si>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青</t>
    </r>
    <r>
      <rPr>
        <sz val="11"/>
        <color theme="1"/>
        <rFont val="ＭＳ Ｐゴシック"/>
        <family val="3"/>
        <charset val="134"/>
        <scheme val="minor"/>
      </rPr>
      <t>砖</t>
    </r>
    <r>
      <rPr>
        <sz val="11"/>
        <color theme="1"/>
        <rFont val="ＭＳ Ｐゴシック"/>
        <family val="3"/>
        <charset val="128"/>
        <scheme val="minor"/>
      </rPr>
      <t>瓦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</si>
  <si>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</si>
  <si>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</si>
  <si>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北老</t>
    </r>
    <r>
      <rPr>
        <sz val="11"/>
        <color theme="1"/>
        <rFont val="ＭＳ Ｐゴシック"/>
        <family val="3"/>
        <charset val="134"/>
        <scheme val="minor"/>
      </rPr>
      <t>贾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</si>
  <si>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士永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</si>
  <si>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白酒; 葡萄酒;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</si>
  <si>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t>ZCJJ</t>
  </si>
  <si>
    <r>
      <t>冯</t>
    </r>
    <r>
      <rPr>
        <sz val="11"/>
        <color theme="1"/>
        <rFont val="ＭＳ Ｐゴシック"/>
        <family val="3"/>
        <charset val="128"/>
        <scheme val="minor"/>
      </rPr>
      <t>昌宁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</si>
  <si>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开胃酒; 葡萄酒; 米酒; 黄酒; 果酒（含酒精）</t>
    </r>
  </si>
  <si>
    <r>
      <t>盐</t>
    </r>
    <r>
      <rPr>
        <sz val="11"/>
        <color theme="1"/>
        <rFont val="ＭＳ Ｐゴシック"/>
        <family val="3"/>
        <charset val="128"/>
        <scheme val="minor"/>
      </rPr>
      <t>官小生 SALTYOUTH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</si>
  <si>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春杰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</si>
  <si>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</si>
  <si>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圃台</t>
  </si>
  <si>
    <r>
      <t>四川中科</t>
    </r>
    <r>
      <rPr>
        <sz val="11"/>
        <color theme="1"/>
        <rFont val="ＭＳ Ｐゴシック"/>
        <family val="3"/>
        <charset val="134"/>
        <scheme val="minor"/>
      </rPr>
      <t>华软</t>
    </r>
    <r>
      <rPr>
        <sz val="11"/>
        <color theme="1"/>
        <rFont val="ＭＳ Ｐゴシック"/>
        <family val="3"/>
        <charset val="128"/>
        <scheme val="minor"/>
      </rPr>
      <t>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</si>
  <si>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白酒; 烈酒; 高粱酒; 黄酒;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</si>
  <si>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FEI MAO WANG ZI JIU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</si>
  <si>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省世遵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</si>
  <si>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米酒; 蒸煮提取物（利口酒和烈酒）; 烈酒;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</t>
    </r>
  </si>
  <si>
    <t>老哦子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</si>
  <si>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洋生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</si>
  <si>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开胃酒; 伏特加酒; 米酒; 葡萄酒; 朗姆酒; 黄酒; 蒸煮提取物（利口酒和烈酒）</t>
    </r>
  </si>
  <si>
    <r>
      <t>于家</t>
    </r>
    <r>
      <rPr>
        <sz val="11"/>
        <color theme="1"/>
        <rFont val="ＭＳ Ｐゴシック"/>
        <family val="3"/>
        <charset val="134"/>
        <scheme val="minor"/>
      </rPr>
      <t>头</t>
    </r>
  </si>
  <si>
    <t>黄池珍</t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</si>
  <si>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食用酒精; 米酒;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</si>
  <si>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潮粤宗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</si>
  <si>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宗</t>
    </r>
    <r>
      <rPr>
        <sz val="11"/>
        <color theme="1"/>
        <rFont val="ＭＳ Ｐゴシック"/>
        <family val="3"/>
        <charset val="134"/>
        <scheme val="minor"/>
      </rPr>
      <t>师传</t>
    </r>
    <r>
      <rPr>
        <sz val="11"/>
        <color theme="1"/>
        <rFont val="ＭＳ Ｐゴシック"/>
        <family val="3"/>
        <charset val="128"/>
        <scheme val="minor"/>
      </rPr>
      <t>奇（广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</si>
  <si>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开胃酒; 伏特加酒;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</si>
  <si>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哈日吉</t>
  </si>
  <si>
    <r>
      <t>科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沁左翼中旗庄妃梦酒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</si>
  <si>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黄酒; 烈酒;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青稞酒; 高粱酒; 白酒</t>
    </r>
  </si>
  <si>
    <t>VOLANTIS</t>
  </si>
  <si>
    <r>
      <t>宸食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</si>
  <si>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</si>
  <si>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仰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</si>
  <si>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孟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</si>
  <si>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>葡萄酒; 米酒; 露酒; 白酒;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高粱酒</t>
    </r>
  </si>
  <si>
    <t>斐象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</si>
  <si>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州佳冠网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</si>
  <si>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蜂蜜酒; 葡萄酒; 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</si>
  <si>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斜峪关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</si>
  <si>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西曦水瑶池生</t>
    </r>
    <r>
      <rPr>
        <sz val="11"/>
        <color theme="1"/>
        <rFont val="ＭＳ Ｐゴシック"/>
        <family val="3"/>
        <charset val="134"/>
        <scheme val="minor"/>
      </rPr>
      <t>态产业发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</si>
  <si>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</si>
  <si>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钱</t>
    </r>
    <r>
      <rPr>
        <sz val="11"/>
        <color theme="1"/>
        <rFont val="ＭＳ Ｐゴシック"/>
        <family val="3"/>
        <charset val="128"/>
        <scheme val="minor"/>
      </rPr>
      <t>塘</t>
    </r>
  </si>
  <si>
    <t>刘建新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</si>
  <si>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威士忌;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</si>
  <si>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华龙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（来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</si>
  <si>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威士忌; 黄酒; 开胃酒; 烈酒; 果酒</t>
    </r>
  </si>
  <si>
    <t>本源百惠</t>
  </si>
  <si>
    <r>
      <t>杭州米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</si>
  <si>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蜂蜜酒; 清酒（日本米酒）; 苹果酒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</si>
  <si>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</si>
  <si>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梅酒; 黄酒; 清酒; 米酒; 烈酒; 白酒; 汽酒; 果酒; 甜酒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</si>
  <si>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浓</t>
    </r>
  </si>
  <si>
    <t>蒋柱青</t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</si>
  <si>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</si>
  <si>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玺冈</t>
    </r>
    <r>
      <rPr>
        <sz val="11"/>
        <color theme="1"/>
        <rFont val="ＭＳ Ｐゴシック"/>
        <family val="3"/>
        <charset val="128"/>
        <scheme val="minor"/>
      </rPr>
      <t>清花</t>
    </r>
  </si>
  <si>
    <t>余海兵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</si>
  <si>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威士忌;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白酒</t>
    </r>
  </si>
  <si>
    <t>訹</t>
  </si>
  <si>
    <r>
      <t>洛阳</t>
    </r>
    <r>
      <rPr>
        <sz val="11"/>
        <color theme="1"/>
        <rFont val="ＭＳ Ｐゴシック"/>
        <family val="3"/>
        <charset val="134"/>
        <scheme val="minor"/>
      </rPr>
      <t>论</t>
    </r>
    <r>
      <rPr>
        <sz val="11"/>
        <color theme="1"/>
        <rFont val="ＭＳ Ｐゴシック"/>
        <family val="3"/>
        <charset val="128"/>
        <scheme val="minor"/>
      </rPr>
      <t>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</si>
  <si>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威士忌;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</si>
  <si>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上海争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广告有限公司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</si>
  <si>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黄酒</t>
    </r>
  </si>
  <si>
    <t>GUOXIANGZHEN</t>
  </si>
  <si>
    <r>
      <t>涡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果香果商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</si>
  <si>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威士忌; 果酒</t>
    </r>
  </si>
  <si>
    <t>余生遥遥</t>
  </si>
  <si>
    <r>
      <t>南宁旗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教育咨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</si>
  <si>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黄酒; 白酒; 青稞酒; 高粱酒; 伏特加酒</t>
    </r>
  </si>
  <si>
    <t>TAMERLANE</t>
  </si>
  <si>
    <r>
      <t>阿米特·戈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</si>
  <si>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餐后酒（利口酒和烈酒）;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</si>
  <si>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漫漫酣</t>
  </si>
  <si>
    <r>
      <t>湖北狠班子商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</si>
  <si>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开胃酒; 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</si>
  <si>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闵</t>
    </r>
    <r>
      <rPr>
        <sz val="11"/>
        <color theme="1"/>
        <rFont val="ＭＳ Ｐゴシック"/>
        <family val="3"/>
        <charset val="128"/>
        <scheme val="minor"/>
      </rPr>
      <t>淮情</t>
    </r>
  </si>
  <si>
    <t>王中云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</si>
  <si>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</si>
  <si>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零跑</t>
  </si>
  <si>
    <t>浙江零跑科技股份有限公司</t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</si>
  <si>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开胃酒; 果酒（含酒精）;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</si>
  <si>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坡阳老街</t>
    </r>
    <r>
      <rPr>
        <sz val="11"/>
        <color theme="1"/>
        <rFont val="ＭＳ Ｐゴシック"/>
        <family val="3"/>
        <charset val="134"/>
        <scheme val="minor"/>
      </rPr>
      <t>烧</t>
    </r>
  </si>
  <si>
    <t>朱大同</t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</si>
  <si>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果酒; 白酒; 开胃酒</t>
    </r>
  </si>
  <si>
    <t>黄金印氿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</si>
  <si>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江省由米由家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</si>
  <si>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白酒;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汽酒; 黄酒</t>
    </r>
  </si>
  <si>
    <t>郎侗苗山婆</t>
  </si>
  <si>
    <r>
      <t>刘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熙</t>
    </r>
  </si>
  <si>
    <r>
      <t>米酒;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</si>
  <si>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</si>
  <si>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州荣聚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</si>
  <si>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</si>
  <si>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GUOXIANGJIANG</t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</si>
  <si>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黄酒; 果酒; 威士忌</t>
    </r>
  </si>
  <si>
    <r>
      <t>金焦</t>
    </r>
    <r>
      <rPr>
        <sz val="11"/>
        <color theme="1"/>
        <rFont val="ＭＳ Ｐゴシック"/>
        <family val="3"/>
        <charset val="134"/>
        <scheme val="minor"/>
      </rPr>
      <t>岗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</si>
  <si>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</si>
  <si>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BONBON BLOSSOM</t>
  </si>
  <si>
    <r>
      <t>海口多宝儿企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(有限合伙)</t>
    </r>
  </si>
  <si>
    <r>
      <t>加烈葡萄酒; 甜酒; 果酒;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</t>
    </r>
  </si>
  <si>
    <r>
      <t>帅</t>
    </r>
    <r>
      <rPr>
        <sz val="11"/>
        <color theme="1"/>
        <rFont val="ＭＳ Ｐゴシック"/>
        <family val="3"/>
        <charset val="128"/>
        <scheme val="minor"/>
      </rPr>
      <t>二宝</t>
    </r>
  </si>
  <si>
    <r>
      <t>帅</t>
    </r>
    <r>
      <rPr>
        <sz val="11"/>
        <color theme="1"/>
        <rFont val="ＭＳ Ｐゴシック"/>
        <family val="3"/>
        <charset val="128"/>
        <scheme val="minor"/>
      </rPr>
      <t>二宝企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管理（徐州）有限公司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</si>
  <si>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伏特加酒; 青稞酒; 葡萄酒</t>
    </r>
  </si>
  <si>
    <t>来好家 COTOSO</t>
  </si>
  <si>
    <r>
      <t>林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</si>
  <si>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开胃酒</t>
    </r>
  </si>
  <si>
    <t>㺷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</si>
  <si>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</si>
  <si>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御刺玲</t>
    </r>
    <r>
      <rPr>
        <sz val="11"/>
        <color theme="1"/>
        <rFont val="ＭＳ Ｐゴシック"/>
        <family val="3"/>
        <charset val="134"/>
        <scheme val="minor"/>
      </rPr>
      <t>珑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</si>
  <si>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钓</t>
    </r>
    <r>
      <rPr>
        <sz val="11"/>
        <color theme="1"/>
        <rFont val="ＭＳ Ｐゴシック"/>
        <family val="3"/>
        <charset val="128"/>
        <scheme val="minor"/>
      </rPr>
      <t>台御品酒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</si>
  <si>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甜酒;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</si>
  <si>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铖兰</t>
    </r>
    <r>
      <rPr>
        <sz val="11"/>
        <color theme="1"/>
        <rFont val="ＭＳ Ｐゴシック"/>
        <family val="3"/>
        <charset val="128"/>
        <scheme val="minor"/>
      </rPr>
      <t>花坊</t>
    </r>
  </si>
  <si>
    <r>
      <t>山西清花人家酒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</si>
  <si>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苦味酒;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白酒</t>
    </r>
  </si>
  <si>
    <t>LEAPMOTOR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</si>
  <si>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开胃酒;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威士忌</t>
    </r>
  </si>
  <si>
    <r>
      <t>方</t>
    </r>
    <r>
      <rPr>
        <sz val="11"/>
        <color theme="1"/>
        <rFont val="ＭＳ Ｐゴシック"/>
        <family val="3"/>
        <charset val="134"/>
        <scheme val="minor"/>
      </rPr>
      <t>厅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</si>
  <si>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上海炬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</si>
  <si>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薄荷酒;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</si>
  <si>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t>DIONYVILLE</t>
  </si>
  <si>
    <r>
      <t>韩</t>
    </r>
    <r>
      <rPr>
        <sz val="11"/>
        <color theme="1"/>
        <rFont val="ＭＳ Ｐゴシック"/>
        <family val="3"/>
        <charset val="128"/>
        <scheme val="minor"/>
      </rPr>
      <t>国独立酒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株式会社</t>
    </r>
  </si>
  <si>
    <r>
      <t xml:space="preserve">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朗姆酒; 伏特加酒; 葡萄酒;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</si>
  <si>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哥</t>
    </r>
    <r>
      <rPr>
        <sz val="11"/>
        <color theme="1"/>
        <rFont val="ＭＳ Ｐゴシック"/>
        <family val="3"/>
        <charset val="134"/>
        <scheme val="minor"/>
      </rPr>
      <t>俩</t>
    </r>
    <r>
      <rPr>
        <sz val="11"/>
        <color theme="1"/>
        <rFont val="ＭＳ Ｐゴシック"/>
        <family val="3"/>
        <charset val="128"/>
        <scheme val="minor"/>
      </rPr>
      <t>个</t>
    </r>
  </si>
  <si>
    <r>
      <t>王振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</si>
  <si>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</si>
  <si>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t>皓月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</si>
  <si>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春皓月清真肉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</si>
  <si>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葡萄酒; 米酒; 开胃酒; 果酒（含酒精）; 食用酒精</t>
    </r>
  </si>
  <si>
    <r>
      <t>挽瓶</t>
    </r>
    <r>
      <rPr>
        <sz val="11"/>
        <color theme="1"/>
        <rFont val="ＭＳ Ｐゴシック"/>
        <family val="3"/>
        <charset val="134"/>
        <scheme val="minor"/>
      </rPr>
      <t>拦</t>
    </r>
    <r>
      <rPr>
        <sz val="11"/>
        <color theme="1"/>
        <rFont val="ＭＳ Ｐゴシック"/>
        <family val="3"/>
        <charset val="128"/>
        <scheme val="minor"/>
      </rPr>
      <t>路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</si>
  <si>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义经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</si>
  <si>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米酒; 葡萄酒</t>
    </r>
  </si>
  <si>
    <t>G4</t>
  </si>
  <si>
    <r>
      <t>赵</t>
    </r>
    <r>
      <rPr>
        <sz val="11"/>
        <color theme="1"/>
        <rFont val="ＭＳ Ｐゴシック"/>
        <family val="3"/>
        <charset val="128"/>
        <scheme val="minor"/>
      </rPr>
      <t>新楠</t>
    </r>
  </si>
  <si>
    <r>
      <t xml:space="preserve">威士忌; 餐后酒（利口酒和烈酒）;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含酒精的气泡水;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</si>
  <si>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JIANGJIUYU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</si>
  <si>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久御酒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</si>
  <si>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白酒; 青稞酒; 葡萄酒; 米酒;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</si>
  <si>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铂</t>
    </r>
    <r>
      <rPr>
        <sz val="11"/>
        <color theme="1"/>
        <rFont val="ＭＳ Ｐゴシック"/>
        <family val="3"/>
        <charset val="128"/>
        <scheme val="minor"/>
      </rPr>
      <t>旺</t>
    </r>
  </si>
  <si>
    <t>袁静静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</si>
  <si>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</si>
  <si>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学功</t>
  </si>
  <si>
    <r>
      <t>谢</t>
    </r>
    <r>
      <rPr>
        <sz val="11"/>
        <color theme="1"/>
        <rFont val="ＭＳ Ｐゴシック"/>
        <family val="3"/>
        <charset val="128"/>
        <scheme val="minor"/>
      </rPr>
      <t>心恩</t>
    </r>
  </si>
  <si>
    <r>
      <t>葡萄酒; 威士忌;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</si>
  <si>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控股(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州)有限公司</t>
    </r>
  </si>
  <si>
    <r>
      <t>开胃酒; 餐后酒（利口酒和烈酒）; 朗姆酒; 果酒（含酒精）; 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</t>
    </r>
  </si>
  <si>
    <t>荷花·金玉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</si>
  <si>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荷花酒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</si>
  <si>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</si>
  <si>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鸟</t>
    </r>
    <r>
      <rPr>
        <sz val="11"/>
        <color theme="1"/>
        <rFont val="ＭＳ Ｐゴシック"/>
        <family val="3"/>
        <charset val="128"/>
        <scheme val="minor"/>
      </rPr>
      <t>毛王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</si>
  <si>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坚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</si>
  <si>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白酒; 蒸煮提取物（利口酒和烈酒）</t>
    </r>
  </si>
  <si>
    <t>妃子悦</t>
  </si>
  <si>
    <r>
      <t>朱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</si>
  <si>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果酒（含酒精）; 露酒;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</si>
  <si>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粤鼎盛</t>
  </si>
  <si>
    <r>
      <t>杨</t>
    </r>
    <r>
      <rPr>
        <sz val="11"/>
        <color theme="1"/>
        <rFont val="ＭＳ Ｐゴシック"/>
        <family val="3"/>
        <charset val="128"/>
        <scheme val="minor"/>
      </rPr>
      <t>文添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</si>
  <si>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高粱酒; 黄酒</t>
    </r>
  </si>
  <si>
    <r>
      <t>黄山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记</t>
    </r>
  </si>
  <si>
    <t>黄山徽韵食品有限公司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</si>
  <si>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黄酒; 白酒; 食用酒精; 葡萄酒</t>
    </r>
  </si>
  <si>
    <t>TEMPRIAN</t>
  </si>
  <si>
    <t>海南磊藏品牌管理有限公司</t>
  </si>
  <si>
    <r>
      <t xml:space="preserve">米酒; 含酒精的气泡水;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黄酒; 汽酒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</si>
  <si>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田麦</t>
    </r>
  </si>
  <si>
    <r>
      <t>瑞金市嘉豪生</t>
    </r>
    <r>
      <rPr>
        <sz val="11"/>
        <color theme="1"/>
        <rFont val="ＭＳ Ｐゴシック"/>
        <family val="3"/>
        <charset val="134"/>
        <scheme val="minor"/>
      </rPr>
      <t>态农</t>
    </r>
    <r>
      <rPr>
        <sz val="11"/>
        <color theme="1"/>
        <rFont val="ＭＳ Ｐゴシック"/>
        <family val="3"/>
        <charset val="128"/>
        <scheme val="minor"/>
      </rPr>
      <t>庄有限公司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</si>
  <si>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清酒（日本米酒）; 黄酒</t>
    </r>
  </si>
  <si>
    <r>
      <t>威廉</t>
    </r>
    <r>
      <rPr>
        <sz val="11"/>
        <color theme="1"/>
        <rFont val="ＭＳ Ｐゴシック"/>
        <family val="3"/>
        <charset val="134"/>
        <scheme val="minor"/>
      </rPr>
      <t>费尔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</si>
  <si>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威廉</t>
    </r>
    <r>
      <rPr>
        <sz val="11"/>
        <color theme="1"/>
        <rFont val="ＭＳ Ｐゴシック"/>
        <family val="3"/>
        <charset val="134"/>
        <scheme val="minor"/>
      </rPr>
      <t>费尔</t>
    </r>
    <r>
      <rPr>
        <sz val="11"/>
        <color theme="1"/>
        <rFont val="ＭＳ Ｐゴシック"/>
        <family val="3"/>
        <charset val="128"/>
        <scheme val="minor"/>
      </rPr>
      <t>股份公司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</si>
  <si>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</si>
  <si>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翼活力蒸香</t>
  </si>
  <si>
    <r>
      <t>广西融</t>
    </r>
    <r>
      <rPr>
        <sz val="11"/>
        <color theme="1"/>
        <rFont val="ＭＳ Ｐゴシック"/>
        <family val="3"/>
        <charset val="134"/>
        <scheme val="minor"/>
      </rPr>
      <t>创创业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</si>
  <si>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白酒; 白葡萄酒; 蜂蜜酒;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</si>
  <si>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了宁酒</t>
  </si>
  <si>
    <t>宋星建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</si>
  <si>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</si>
  <si>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榕</t>
    </r>
  </si>
  <si>
    <r>
      <t>阿拉善盟盟亮商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</si>
  <si>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露酒; 果酒（含酒精）; 米酒; 白酒; 黄酒; 烈酒;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</si>
  <si>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DOMAINE WILLIAM FEVRE</t>
  </si>
  <si>
    <r>
      <t>初九春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</si>
  <si>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初九春</t>
    </r>
    <r>
      <rPr>
        <sz val="11"/>
        <color theme="1"/>
        <rFont val="ＭＳ Ｐゴシック"/>
        <family val="3"/>
        <charset val="134"/>
        <scheme val="minor"/>
      </rPr>
      <t>华贸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</si>
  <si>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黄酒;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含酒精的气泡水; 葡萄酒</t>
    </r>
  </si>
  <si>
    <r>
      <t>漠峰</t>
    </r>
    <r>
      <rPr>
        <sz val="11"/>
        <color theme="1"/>
        <rFont val="ＭＳ Ｐゴシック"/>
        <family val="3"/>
        <charset val="134"/>
        <scheme val="minor"/>
      </rPr>
      <t>丛</t>
    </r>
    <r>
      <rPr>
        <sz val="11"/>
        <color theme="1"/>
        <rFont val="ＭＳ Ｐゴシック"/>
        <family val="3"/>
        <charset val="128"/>
        <scheme val="minor"/>
      </rPr>
      <t>榕</t>
    </r>
  </si>
  <si>
    <r>
      <t xml:space="preserve">葡萄酒; 果酒（含酒精）; 米酒; 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露酒;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</si>
  <si>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黑尊</t>
  </si>
  <si>
    <r>
      <t>大唐（香港）服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</si>
  <si>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烈酒; 露酒;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苹果酒; 米酒; 利口酒</t>
    </r>
  </si>
  <si>
    <r>
      <t>道芸</t>
    </r>
    <r>
      <rPr>
        <sz val="11"/>
        <color theme="1"/>
        <rFont val="ＭＳ Ｐゴシック"/>
        <family val="3"/>
        <charset val="134"/>
        <scheme val="minor"/>
      </rPr>
      <t>兰</t>
    </r>
  </si>
  <si>
    <t>李健珍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</si>
  <si>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甜酒; 白酒; 葡萄酒; 黄酒; 米酒; 食用酒精;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</si>
  <si>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彭城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歌</t>
    </r>
  </si>
  <si>
    <t>彭玉霞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</si>
  <si>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米酒; 露酒;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</t>
    </r>
  </si>
  <si>
    <t>GUIJIANGYUE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</si>
  <si>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缔</t>
    </r>
    <r>
      <rPr>
        <sz val="11"/>
        <color theme="1"/>
        <rFont val="ＭＳ Ｐゴシック"/>
        <family val="3"/>
        <charset val="128"/>
        <scheme val="minor"/>
      </rPr>
      <t>公酒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</si>
  <si>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</si>
  <si>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好茯气</t>
  </si>
  <si>
    <t>岳西好茯气健康科技有限公司</t>
  </si>
  <si>
    <r>
      <t>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梅酒; 汽酒; 米酒; 含酒精的气泡水; 白酒; 高粱酒; 果酒（含酒精）; 伏特加酒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</si>
  <si>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调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</si>
  <si>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友</t>
    </r>
  </si>
  <si>
    <r>
      <t xml:space="preserve">果酒（含酒精）; 含酒精的气泡水; 黄酒;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</si>
  <si>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享味柔</t>
  </si>
  <si>
    <r>
      <t>高</t>
    </r>
    <r>
      <rPr>
        <sz val="11"/>
        <color theme="1"/>
        <rFont val="ＭＳ Ｐゴシック"/>
        <family val="3"/>
        <charset val="134"/>
        <scheme val="minor"/>
      </rPr>
      <t>杨杨</t>
    </r>
  </si>
  <si>
    <r>
      <t>白酒; 露酒;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青梅酒;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朗姆酒; 利口酒</t>
    </r>
  </si>
  <si>
    <r>
      <t>剐</t>
    </r>
    <r>
      <rPr>
        <sz val="11"/>
        <color theme="1"/>
        <rFont val="ＭＳ Ｐゴシック"/>
        <family val="3"/>
        <charset val="128"/>
        <scheme val="minor"/>
      </rPr>
      <t>酒 三香分天 一水</t>
    </r>
    <r>
      <rPr>
        <sz val="11"/>
        <color theme="1"/>
        <rFont val="ＭＳ Ｐゴシック"/>
        <family val="3"/>
        <charset val="134"/>
        <scheme val="minor"/>
      </rPr>
      <t>统</t>
    </r>
    <r>
      <rPr>
        <sz val="11"/>
        <color theme="1"/>
        <rFont val="ＭＳ Ｐゴシック"/>
        <family val="3"/>
        <charset val="128"/>
        <scheme val="minor"/>
      </rPr>
      <t>江湖</t>
    </r>
  </si>
  <si>
    <r>
      <t>合肥市恒旺糖酒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</si>
  <si>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伏特加酒; 果酒（含酒精）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</si>
  <si>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坊旭友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</si>
  <si>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坊弘云</t>
    </r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</si>
  <si>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开胃酒; 高粱酒; 清酒; 白酒; 蒸煮提取物（利口酒和烈酒）; 五加皮酒（中国混合烈酒）;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</si>
  <si>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肇小姐的打酒</t>
    </r>
    <r>
      <rPr>
        <sz val="11"/>
        <color theme="1"/>
        <rFont val="ＭＳ Ｐゴシック"/>
        <family val="3"/>
        <charset val="134"/>
        <scheme val="minor"/>
      </rPr>
      <t>铺</t>
    </r>
  </si>
  <si>
    <r>
      <t>肇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市舍予兄弟投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</si>
  <si>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利口酒;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</si>
  <si>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r>
      <t>阅</t>
    </r>
    <r>
      <rPr>
        <sz val="11"/>
        <color theme="1"/>
        <rFont val="ＭＳ Ｐゴシック"/>
        <family val="3"/>
        <charset val="128"/>
        <scheme val="minor"/>
      </rPr>
      <t>壤</t>
    </r>
  </si>
  <si>
    <r>
      <t>北京科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融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</si>
  <si>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</si>
  <si>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花色花花色</t>
  </si>
  <si>
    <t>北京神奇天空科技有限公司</t>
  </si>
  <si>
    <r>
      <t>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</t>
    </r>
  </si>
  <si>
    <t>御序</t>
  </si>
  <si>
    <t>郭荣荣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</si>
  <si>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烈酒; 清酒（日本米酒）; 开胃酒; 威士忌; 黄酒; 白酒</t>
    </r>
  </si>
  <si>
    <t>八佰竹</t>
  </si>
  <si>
    <r>
      <t>河北信德</t>
    </r>
    <r>
      <rPr>
        <sz val="11"/>
        <color theme="1"/>
        <rFont val="ＭＳ Ｐゴシック"/>
        <family val="3"/>
        <charset val="134"/>
        <scheme val="minor"/>
      </rPr>
      <t>伟业农业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</si>
  <si>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</si>
  <si>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</si>
  <si>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</si>
  <si>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米酒; 果酒;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露酒; 高粱酒; 白酒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</si>
  <si>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山水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</si>
  <si>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</si>
  <si>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 xml:space="preserve">米酒;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</si>
  <si>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旧酉</t>
  </si>
  <si>
    <t>敖旭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</si>
  <si>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威士忌; 米酒</t>
    </r>
  </si>
  <si>
    <r>
      <t>凫</t>
    </r>
    <r>
      <rPr>
        <sz val="11"/>
        <color theme="1"/>
        <rFont val="ＭＳ Ｐゴシック"/>
        <family val="3"/>
        <charset val="128"/>
        <scheme val="minor"/>
      </rPr>
      <t>阳河</t>
    </r>
  </si>
  <si>
    <r>
      <t>上海昌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</si>
  <si>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葡萄酒;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食用酒精</t>
    </r>
  </si>
  <si>
    <r>
      <t>结缘</t>
    </r>
    <r>
      <rPr>
        <sz val="11"/>
        <color theme="1"/>
        <rFont val="ＭＳ Ｐゴシック"/>
        <family val="3"/>
        <charset val="128"/>
        <scheme val="minor"/>
      </rPr>
      <t>清花</t>
    </r>
  </si>
  <si>
    <r>
      <t>果酒（含酒精）;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</si>
  <si>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京曲沙</t>
  </si>
  <si>
    <r>
      <t xml:space="preserve">白酒; 朗姆酒; 黄酒; 青梅酒; 米酒; 利口酒; 烈酒;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</si>
  <si>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麦小燃</t>
  </si>
  <si>
    <r>
      <t>河南足力健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</si>
  <si>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</t>
    </r>
  </si>
  <si>
    <r>
      <t>速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</si>
  <si>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海南安一商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</si>
  <si>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米酒; 开胃酒; 蜂蜜酒; 白酒; 果酒（含酒精）; 威士忌; 朗姆酒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</si>
  <si>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榜</t>
    </r>
  </si>
  <si>
    <r>
      <t>深圳市方</t>
    </r>
    <r>
      <rPr>
        <sz val="11"/>
        <color theme="1"/>
        <rFont val="ＭＳ Ｐゴシック"/>
        <family val="3"/>
        <charset val="134"/>
        <scheme val="minor"/>
      </rPr>
      <t>鸿电</t>
    </r>
    <r>
      <rPr>
        <sz val="11"/>
        <color theme="1"/>
        <rFont val="ＭＳ Ｐゴシック"/>
        <family val="3"/>
        <charset val="128"/>
        <scheme val="minor"/>
      </rPr>
      <t>子有限公司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</si>
  <si>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</si>
  <si>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小休休</t>
  </si>
  <si>
    <r>
      <t>吕</t>
    </r>
    <r>
      <rPr>
        <sz val="11"/>
        <color theme="1"/>
        <rFont val="ＭＳ Ｐゴシック"/>
        <family val="3"/>
        <charset val="128"/>
        <scheme val="minor"/>
      </rPr>
      <t>秀娟</t>
    </r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</si>
  <si>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</si>
  <si>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木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梆</t>
    </r>
  </si>
  <si>
    <r>
      <t>郭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</si>
  <si>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葡萄酒; 白酒; 利口酒; 黄酒; 果酒（含酒精）; 汽酒;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</si>
  <si>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澜门</t>
  </si>
  <si>
    <t>王金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</si>
  <si>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</si>
  <si>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桑韵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</si>
  <si>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</si>
  <si>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</si>
  <si>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将相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</si>
  <si>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</t>
    </r>
  </si>
  <si>
    <t>佩里埃</t>
  </si>
  <si>
    <r>
      <t>邬</t>
    </r>
    <r>
      <rPr>
        <sz val="11"/>
        <color theme="1"/>
        <rFont val="ＭＳ Ｐゴシック"/>
        <family val="3"/>
        <charset val="128"/>
        <scheme val="minor"/>
      </rPr>
      <t>玉玲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</si>
  <si>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</si>
  <si>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悦世季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</si>
  <si>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春市九台区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悦世季商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</si>
  <si>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伏特加酒; 果酒（含酒精）; 苹果酒;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</si>
  <si>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璟琳</t>
  </si>
  <si>
    <t>范新宇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</si>
  <si>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苹果酒; 黄酒; 日本梅子酒; 清酒（日本米酒）; 果酒;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青稞酒; 葡萄酒; 威士忌; 高粱酒</t>
    </r>
  </si>
  <si>
    <r>
      <t>仁匠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</si>
  <si>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烈酒; 青梅酒;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黄酒; 朗姆酒;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露酒</t>
    </r>
  </si>
  <si>
    <t>因民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</si>
  <si>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州因民茶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</si>
  <si>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</si>
  <si>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添福康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</si>
  <si>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州沛旭商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</si>
  <si>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苹果酒</t>
    </r>
  </si>
  <si>
    <t>正道凌云</t>
  </si>
  <si>
    <r>
      <t>罗</t>
    </r>
    <r>
      <rPr>
        <sz val="11"/>
        <color theme="1"/>
        <rFont val="ＭＳ Ｐゴシック"/>
        <family val="3"/>
        <charset val="128"/>
        <scheme val="minor"/>
      </rPr>
      <t>丰林</t>
    </r>
  </si>
  <si>
    <r>
      <t>果酒（含酒精）; 开胃酒; 白酒;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高粱酒; 葡萄酒</t>
    </r>
  </si>
  <si>
    <t>肇小姐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</si>
  <si>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</si>
  <si>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GONGJIUZHOU</t>
  </si>
  <si>
    <r>
      <t>白酒;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</si>
  <si>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一鹿珍晴</t>
  </si>
  <si>
    <r>
      <t>陈</t>
    </r>
    <r>
      <rPr>
        <sz val="11"/>
        <color theme="1"/>
        <rFont val="ＭＳ Ｐゴシック"/>
        <family val="3"/>
        <charset val="128"/>
        <scheme val="minor"/>
      </rPr>
      <t>泰阳</t>
    </r>
  </si>
  <si>
    <r>
      <t xml:space="preserve">黄酒; 葡萄酒; 果酒; 白酒; 米酒; 甜酒; 烈性干酒; 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</si>
  <si>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帝王</t>
    </r>
    <r>
      <rPr>
        <sz val="11"/>
        <color theme="1"/>
        <rFont val="ＭＳ Ｐゴシック"/>
        <family val="3"/>
        <charset val="134"/>
        <scheme val="minor"/>
      </rPr>
      <t>论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</si>
  <si>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北京宝隆港科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</si>
  <si>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利口酒; 日本梅子酒;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高粱酒; 葡萄酒; 含酒精的苦味开胃酒</t>
    </r>
  </si>
  <si>
    <r>
      <t>粨韵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古橘香</t>
    </r>
  </si>
  <si>
    <r>
      <t>铧镕</t>
    </r>
    <r>
      <rPr>
        <sz val="11"/>
        <color theme="1"/>
        <rFont val="ＭＳ Ｐゴシック"/>
        <family val="3"/>
        <charset val="128"/>
        <scheme val="minor"/>
      </rPr>
      <t>橘耀（重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）大健康管理有限公司</t>
    </r>
  </si>
  <si>
    <r>
      <t>白酒;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</si>
  <si>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造天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地喜</t>
    </r>
  </si>
  <si>
    <r>
      <t>金寨原始森林商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</si>
  <si>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</si>
  <si>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昱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</si>
  <si>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</si>
  <si>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果酒（含酒精）</t>
    </r>
  </si>
  <si>
    <r>
      <t>御府精品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</si>
  <si>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葡萄酒; 利口酒;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果酒（含酒精）</t>
    </r>
  </si>
  <si>
    <t>DROP OF SUNSHINE</t>
  </si>
  <si>
    <r>
      <t>匠心可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</si>
  <si>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</si>
  <si>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蒸煮提取物（利口酒和烈酒）; 米酒; 清酒;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果酒; 黄酒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</si>
  <si>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市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</si>
  <si>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</si>
  <si>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清酒（日本米酒）; 蜂蜜酒; 青稞酒; 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</si>
  <si>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莱古国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</si>
  <si>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</si>
  <si>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米酒;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</si>
  <si>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慧池</t>
  </si>
  <si>
    <r>
      <t>石</t>
    </r>
    <r>
      <rPr>
        <sz val="11"/>
        <color theme="1"/>
        <rFont val="ＭＳ Ｐゴシック"/>
        <family val="3"/>
        <charset val="134"/>
        <scheme val="minor"/>
      </rPr>
      <t>银东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</si>
  <si>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伏特加酒; 果酒（含酒精）; 威士忌;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</si>
  <si>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高粱酒; 白酒; 米酒; 清酒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</si>
  <si>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萝</t>
    </r>
    <r>
      <rPr>
        <sz val="11"/>
        <color theme="1"/>
        <rFont val="ＭＳ Ｐゴシック"/>
        <family val="3"/>
        <charset val="128"/>
        <scheme val="minor"/>
      </rPr>
      <t>力 HINONI</t>
    </r>
  </si>
  <si>
    <r>
      <t>海南万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生物制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</si>
  <si>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汽酒; 开胃酒; 米酒; 白酒; 葡萄酒</t>
    </r>
  </si>
  <si>
    <r>
      <t>有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</si>
  <si>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 xml:space="preserve">食用酒精; 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</si>
  <si>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RCA</t>
  </si>
  <si>
    <t>台州市昇泰科技有限公司</t>
  </si>
  <si>
    <r>
      <t>开胃酒;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</si>
  <si>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金祖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</si>
  <si>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雨果</t>
    </r>
  </si>
  <si>
    <r>
      <t xml:space="preserve">葡萄酒; 黄酒; 果酒（含酒精）;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</si>
  <si>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御珍品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</si>
  <si>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开胃酒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</si>
  <si>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老知青智慧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</si>
  <si>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青稞酒; 蜂蜜酒; 米酒; 日式甜米酒;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</si>
  <si>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帆灸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</si>
  <si>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俊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</si>
  <si>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白酒; 食用酒精; 果酒（含酒精）; 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</si>
  <si>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青禄玉液</t>
  </si>
  <si>
    <r>
      <t>浙江古越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</si>
  <si>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 xml:space="preserve">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白酒; 汽酒</t>
    </r>
  </si>
  <si>
    <r>
      <t>番洪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</si>
  <si>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</si>
  <si>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SOULNICE VALLEY</t>
  </si>
  <si>
    <r>
      <t>上海滴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</si>
  <si>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汽酒; 黄酒</t>
    </r>
  </si>
  <si>
    <r>
      <t>加富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</si>
  <si>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加富</t>
    </r>
  </si>
  <si>
    <r>
      <t>开胃酒; 白酒; 高粱酒; 米酒;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</si>
  <si>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情</t>
    </r>
    <r>
      <rPr>
        <sz val="11"/>
        <color theme="1"/>
        <rFont val="ＭＳ Ｐゴシック"/>
        <family val="3"/>
        <charset val="134"/>
        <scheme val="minor"/>
      </rPr>
      <t>侬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</si>
  <si>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刘思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</si>
  <si>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白酒; 葡萄酒; 高粱酒</t>
    </r>
  </si>
  <si>
    <r>
      <t>路易法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娜 LOUIS FALONA</t>
    </r>
  </si>
  <si>
    <t>陈传龙</t>
  </si>
  <si>
    <r>
      <t>威士忌; 露酒;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清酒</t>
    </r>
  </si>
  <si>
    <r>
      <t>迟</t>
    </r>
    <r>
      <rPr>
        <sz val="11"/>
        <color theme="1"/>
        <rFont val="ＭＳ Ｐゴシック"/>
        <family val="3"/>
        <charset val="128"/>
        <scheme val="minor"/>
      </rPr>
      <t>宣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</si>
  <si>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林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</si>
  <si>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 xml:space="preserve">白酒;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</si>
  <si>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新疆普拉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广告有限公司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</si>
  <si>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葡萄酒; 白酒; 清酒; 食用酒精</t>
    </r>
  </si>
  <si>
    <t>金家寨</t>
  </si>
  <si>
    <r>
      <t>金寨王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</si>
  <si>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</si>
  <si>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贷财乐</t>
  </si>
  <si>
    <r>
      <t>罗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</si>
  <si>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白酒; 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</si>
  <si>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览</t>
    </r>
    <r>
      <rPr>
        <sz val="11"/>
        <color theme="1"/>
        <rFont val="ＭＳ Ｐゴシック"/>
        <family val="3"/>
        <charset val="128"/>
        <scheme val="minor"/>
      </rPr>
      <t>今朝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</si>
  <si>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登</t>
    </r>
  </si>
  <si>
    <r>
      <t>黄酒;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</si>
  <si>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SUNSET GLOW 卧</t>
    </r>
    <r>
      <rPr>
        <sz val="11"/>
        <color theme="1"/>
        <rFont val="ＭＳ Ｐゴシック"/>
        <family val="3"/>
        <charset val="134"/>
        <scheme val="minor"/>
      </rPr>
      <t>时烧</t>
    </r>
  </si>
  <si>
    <t>上海蜜糖甜心食品有限公司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</si>
  <si>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白干酒（中国白酒）</t>
    </r>
  </si>
  <si>
    <t>ONE CUP OF OCEAN</t>
  </si>
  <si>
    <r>
      <t>王琮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</si>
  <si>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</si>
  <si>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拾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一味花</t>
    </r>
    <r>
      <rPr>
        <sz val="11"/>
        <color theme="1"/>
        <rFont val="ＭＳ Ｐゴシック"/>
        <family val="3"/>
        <charset val="134"/>
        <scheme val="minor"/>
      </rPr>
      <t>脸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</si>
  <si>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拾一味商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</si>
  <si>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伏特加酒</t>
    </r>
  </si>
  <si>
    <t>斯尼迪 SNIDIBELLA</t>
  </si>
  <si>
    <r>
      <t>斯尼迪（厦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）新材料有限公司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</si>
  <si>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黄酒; 高粱酒</t>
    </r>
  </si>
  <si>
    <r>
      <t>璟</t>
    </r>
    <r>
      <rPr>
        <sz val="11"/>
        <color theme="1"/>
        <rFont val="ＭＳ Ｐゴシック"/>
        <family val="3"/>
        <charset val="134"/>
        <scheme val="minor"/>
      </rPr>
      <t>颢</t>
    </r>
    <r>
      <rPr>
        <sz val="11"/>
        <color theme="1"/>
        <rFont val="ＭＳ Ｐゴシック"/>
        <family val="3"/>
        <charset val="128"/>
        <scheme val="minor"/>
      </rPr>
      <t>聚德</t>
    </r>
  </si>
  <si>
    <t>黄潮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</si>
  <si>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高粱酒; 伏特加酒; 果酒; 白酒;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</si>
  <si>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仰韶陶陶</t>
  </si>
  <si>
    <r>
      <t>白酒;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</si>
  <si>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抱仕</t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</si>
  <si>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凯丽</t>
    </r>
    <r>
      <rPr>
        <sz val="11"/>
        <color theme="1"/>
        <rFont val="ＭＳ Ｐゴシック"/>
        <family val="3"/>
        <charset val="128"/>
        <scheme val="minor"/>
      </rPr>
      <t>家居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</si>
  <si>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青稞酒;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葡萄酒; 黄酒</t>
    </r>
  </si>
  <si>
    <r>
      <t>刘歌</t>
    </r>
    <r>
      <rPr>
        <sz val="11"/>
        <color theme="1"/>
        <rFont val="ＭＳ Ｐゴシック"/>
        <family val="3"/>
        <charset val="134"/>
        <scheme val="minor"/>
      </rPr>
      <t>严选</t>
    </r>
  </si>
  <si>
    <t>刘歌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</si>
  <si>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白酒; 开胃酒; 米酒; 果酒（含酒精）</t>
    </r>
  </si>
  <si>
    <t>POKER JOKER</t>
  </si>
  <si>
    <t>云禧品牌管理（深圳）有限公司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</si>
  <si>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麦芽威士忌;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杜松子酒; 朗姆酒; 混合威士忌酒</t>
    </r>
  </si>
  <si>
    <t>DOSIR 度瑟</t>
  </si>
  <si>
    <t>江思敏</t>
  </si>
  <si>
    <r>
      <t>果酒（含酒精）; 葡萄酒; 白酒; 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</si>
  <si>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梦粮文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</si>
  <si>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闹乐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</si>
  <si>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</si>
  <si>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电</t>
    </r>
    <r>
      <rPr>
        <sz val="11"/>
        <color theme="1"/>
        <rFont val="ＭＳ Ｐゴシック"/>
        <family val="3"/>
        <charset val="128"/>
        <scheme val="minor"/>
      </rPr>
      <t>萃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</si>
  <si>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基昌</t>
    </r>
  </si>
  <si>
    <r>
      <t xml:space="preserve">威末酒;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露酒; 青稞酒; 米酒; 杜松子酒;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</si>
  <si>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NONA</t>
  </si>
  <si>
    <r>
      <t xml:space="preserve">青稞酒; 开胃酒;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薄荷酒;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</si>
  <si>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PIPO</t>
  </si>
  <si>
    <r>
      <t>杨</t>
    </r>
    <r>
      <rPr>
        <sz val="11"/>
        <color theme="1"/>
        <rFont val="ＭＳ Ｐゴシック"/>
        <family val="3"/>
        <charset val="128"/>
        <scheme val="minor"/>
      </rPr>
      <t>晶</t>
    </r>
  </si>
  <si>
    <r>
      <t xml:space="preserve">薄荷酒; 果酒（含酒精）; 开胃酒;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</si>
  <si>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靓</t>
    </r>
    <r>
      <rPr>
        <sz val="11"/>
        <color theme="1"/>
        <rFont val="ＭＳ Ｐゴシック"/>
        <family val="3"/>
        <charset val="128"/>
        <scheme val="minor"/>
      </rPr>
      <t>姑娘</t>
    </r>
  </si>
  <si>
    <r>
      <t>泰安岱岳区升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</si>
  <si>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清酒; 甜酒; 米酒; 黄酒; 汽酒; 露酒; 果酒</t>
    </r>
  </si>
  <si>
    <t>邕浦泉</t>
  </si>
  <si>
    <r>
      <t>广西邕一方餐</t>
    </r>
    <r>
      <rPr>
        <sz val="11"/>
        <color theme="1"/>
        <rFont val="ＭＳ Ｐゴシック"/>
        <family val="3"/>
        <charset val="134"/>
        <scheme val="minor"/>
      </rPr>
      <t>饮发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</si>
  <si>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高粱酒</t>
    </r>
  </si>
  <si>
    <t>熊客庄园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</si>
  <si>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福米有品科技有限公司</t>
    </r>
  </si>
  <si>
    <r>
      <t>白酒; 青稞酒; 高粱酒; 米酒; 威士忌;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</t>
    </r>
  </si>
  <si>
    <t>吾将醉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</si>
  <si>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市品藏家酒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</si>
  <si>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</si>
  <si>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t>八也 酒</t>
  </si>
  <si>
    <r>
      <t>广西王辰酒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</si>
  <si>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甜酒; 果酒;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草本型利口酒;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甘蔗制烈酒</t>
    </r>
  </si>
  <si>
    <r>
      <t>龘</t>
    </r>
    <r>
      <rPr>
        <sz val="11"/>
        <color theme="1"/>
        <rFont val="ＭＳ Ｐゴシック"/>
        <family val="3"/>
        <charset val="128"/>
        <scheme val="minor"/>
      </rPr>
      <t>院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</si>
  <si>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岩市大蓄日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</si>
  <si>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烈酒;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白干酒（中国白酒）; 高粱酒; 果酒</t>
    </r>
  </si>
  <si>
    <r>
      <t>矿</t>
    </r>
    <r>
      <rPr>
        <sz val="11"/>
        <color theme="1"/>
        <rFont val="ＭＳ Ｐゴシック"/>
        <family val="3"/>
        <charset val="128"/>
        <scheme val="minor"/>
      </rPr>
      <t>金奶奶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</si>
  <si>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州曲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>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</si>
  <si>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威士忌; 烈酒; 开胃酒; 果酒（含酒精）; 白葡萄酒; 白酒; 高粱酒; 伏特加酒; 利口酒; 朗姆酒</t>
  </si>
  <si>
    <t>小杌子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</si>
  <si>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州京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</si>
  <si>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果酒（含酒精）</t>
    </r>
  </si>
  <si>
    <r>
      <t>库</t>
    </r>
    <r>
      <rPr>
        <sz val="11"/>
        <color theme="1"/>
        <rFont val="ＭＳ Ｐゴシック"/>
        <family val="3"/>
        <charset val="128"/>
        <scheme val="minor"/>
      </rPr>
      <t>尼</t>
    </r>
  </si>
  <si>
    <r>
      <t>西班牙北方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</si>
  <si>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威士忌; 伏特加酒; 加烈葡萄酒;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</t>
    </r>
  </si>
  <si>
    <t>向月台</t>
  </si>
  <si>
    <r>
      <t>北京中旭吉石咨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</si>
  <si>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</si>
  <si>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大喜</t>
    </r>
  </si>
  <si>
    <r>
      <t>浙江衍世康文化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</si>
  <si>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苦味酒; 蜂蜜酒; 汽酒; 果酒（含酒精）</t>
    </r>
  </si>
  <si>
    <t>古睢粮</t>
  </si>
  <si>
    <t>吴昊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</si>
  <si>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白酒; 黄酒; 佐餐酒; 伏特加酒; 白干酒（中国白酒）</t>
    </r>
  </si>
  <si>
    <r>
      <t>晓贵</t>
    </r>
    <r>
      <rPr>
        <sz val="11"/>
        <color theme="1"/>
        <rFont val="ＭＳ Ｐゴシック"/>
        <family val="3"/>
        <charset val="128"/>
        <scheme val="minor"/>
      </rPr>
      <t>匠心醇</t>
    </r>
  </si>
  <si>
    <t>梁少能</t>
  </si>
  <si>
    <t>悟勤</t>
  </si>
  <si>
    <r>
      <t>威士忌;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</si>
  <si>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北京盛世迎台酒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</si>
  <si>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果酒（含酒精）;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</si>
  <si>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天科情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校友臻享酒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</si>
  <si>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州稞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</si>
  <si>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茴芹酒（利口酒）;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杜松子酒; 苦味酒; 清酒（日本米酒）;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</si>
  <si>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邓闳</t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</si>
  <si>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</si>
  <si>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t>中运</t>
  </si>
  <si>
    <r>
      <t>中运集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（海南）有限公司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</si>
  <si>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果酒（含酒精）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</si>
  <si>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桂芳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</si>
  <si>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桂芳生物科技有限公司</t>
    </r>
  </si>
  <si>
    <r>
      <t xml:space="preserve">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白酒;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</si>
  <si>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搬山兄弟</t>
  </si>
  <si>
    <r>
      <t>云南名特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土特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</si>
  <si>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</si>
  <si>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听天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</si>
  <si>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</si>
  <si>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r>
      <t>向</t>
    </r>
    <r>
      <rPr>
        <sz val="11"/>
        <color theme="1"/>
        <rFont val="ＭＳ Ｐゴシック"/>
        <family val="3"/>
        <charset val="134"/>
        <scheme val="minor"/>
      </rPr>
      <t>旸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</si>
  <si>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</t>
    </r>
  </si>
  <si>
    <t>豫上天中</t>
  </si>
  <si>
    <r>
      <t>驻马</t>
    </r>
    <r>
      <rPr>
        <sz val="11"/>
        <color theme="1"/>
        <rFont val="ＭＳ Ｐゴシック"/>
        <family val="3"/>
        <charset val="128"/>
        <scheme val="minor"/>
      </rPr>
      <t>店市五彩喜盈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</si>
  <si>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黄酒; 果酒; 食用酒精; 高粱酒; 白酒</t>
    </r>
  </si>
  <si>
    <t>杏有灵溪</t>
  </si>
  <si>
    <r>
      <t>棉云服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</si>
  <si>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葡萄酒; 米酒;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</si>
  <si>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柔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坊</t>
    </r>
  </si>
  <si>
    <t>汪旖旎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</si>
  <si>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薄荷酒; 开胃酒;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</si>
  <si>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陛盛</t>
  </si>
  <si>
    <r>
      <t>陈</t>
    </r>
    <r>
      <rPr>
        <sz val="11"/>
        <color theme="1"/>
        <rFont val="ＭＳ Ｐゴシック"/>
        <family val="3"/>
        <charset val="128"/>
        <scheme val="minor"/>
      </rPr>
      <t>中会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</si>
  <si>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蒸煮提取物（利口酒和烈酒）; 高粱酒; 白干酒（中国白酒）; 葡萄酒; 果酒（含酒精）; 米酒</t>
    </r>
  </si>
  <si>
    <t>梅福庄</t>
  </si>
  <si>
    <r>
      <t>湖南省平江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梅福生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</si>
  <si>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朗姆酒; 果酒（含酒精）; 白酒; 苦味酒; 蜂蜜酒; 利口酒;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伏特加酒</t>
    </r>
  </si>
  <si>
    <r>
      <t>圆</t>
    </r>
    <r>
      <rPr>
        <sz val="11"/>
        <color theme="1"/>
        <rFont val="ＭＳ Ｐゴシック"/>
        <family val="3"/>
        <charset val="128"/>
        <scheme val="minor"/>
      </rPr>
      <t>梦</t>
    </r>
    <r>
      <rPr>
        <sz val="11"/>
        <color theme="1"/>
        <rFont val="ＭＳ Ｐゴシック"/>
        <family val="3"/>
        <charset val="134"/>
        <scheme val="minor"/>
      </rPr>
      <t>圆满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</si>
  <si>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州茅台酒厂（集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</si>
  <si>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</si>
  <si>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囍溢</t>
  </si>
  <si>
    <r>
      <t>王</t>
    </r>
    <r>
      <rPr>
        <sz val="11"/>
        <color theme="1"/>
        <rFont val="ＭＳ Ｐゴシック"/>
        <family val="3"/>
        <charset val="129"/>
        <scheme val="minor"/>
      </rPr>
      <t>妞</t>
    </r>
  </si>
  <si>
    <t>汽酒; 黄酒; 开胃酒; 甜酒; 米酒; 食用酒精; 果酒; 清酒; 白酒; 葡萄酒</t>
  </si>
  <si>
    <t>民柔</t>
  </si>
  <si>
    <r>
      <t xml:space="preserve">威士忌; 白酒; 青稞酒;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</si>
  <si>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高淮原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</si>
  <si>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</si>
  <si>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葡萄酒; 白酒; 汽酒;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米酒; 高粱酒; 威士忌</t>
    </r>
  </si>
  <si>
    <r>
      <t>亲</t>
    </r>
    <r>
      <rPr>
        <sz val="11"/>
        <color theme="1"/>
        <rFont val="ＭＳ Ｐゴシック"/>
        <family val="3"/>
        <charset val="128"/>
        <scheme val="minor"/>
      </rPr>
      <t>吻大山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</si>
  <si>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家界小背</t>
    </r>
    <r>
      <rPr>
        <sz val="11"/>
        <color theme="1"/>
        <rFont val="ＭＳ Ｐゴシック"/>
        <family val="3"/>
        <charset val="134"/>
        <scheme val="minor"/>
      </rPr>
      <t>篓</t>
    </r>
    <r>
      <rPr>
        <sz val="11"/>
        <color theme="1"/>
        <rFont val="ＭＳ Ｐゴシック"/>
        <family val="3"/>
        <charset val="128"/>
        <scheme val="minor"/>
      </rPr>
      <t>旅游文化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</si>
  <si>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白酒; 果酒（含酒精）;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</si>
  <si>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奉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于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</si>
  <si>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诠</t>
    </r>
    <r>
      <rPr>
        <sz val="11"/>
        <color theme="1"/>
        <rFont val="ＭＳ Ｐゴシック"/>
        <family val="3"/>
        <charset val="128"/>
        <scheme val="minor"/>
      </rPr>
      <t>舟（宁波）企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</si>
  <si>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餐后酒（利口酒和烈酒）; 果酒（含酒精）</t>
    </r>
  </si>
  <si>
    <r>
      <t>徽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</si>
  <si>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薄荷酒; 威士忌; 果酒（含酒精）</t>
    </r>
  </si>
  <si>
    <t>彩沟坊</t>
  </si>
  <si>
    <r>
      <t>陈</t>
    </r>
    <r>
      <rPr>
        <sz val="11"/>
        <color theme="1"/>
        <rFont val="ＭＳ Ｐゴシック"/>
        <family val="3"/>
        <charset val="128"/>
        <scheme val="minor"/>
      </rPr>
      <t>宗全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</si>
  <si>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茴香酒（利口酒）; 葡萄酒</t>
    </r>
  </si>
  <si>
    <t>沂井村</t>
  </si>
  <si>
    <t>张龙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</si>
  <si>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蜂蜜酒;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</t>
    </r>
  </si>
  <si>
    <t>天乾台</t>
  </si>
  <si>
    <r>
      <t>葡萄酒;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</si>
  <si>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呦呦</t>
    </r>
  </si>
  <si>
    <r>
      <t>常熟市金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</si>
  <si>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含酒精的气泡水;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</si>
  <si>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行</t>
    </r>
    <r>
      <rPr>
        <sz val="11"/>
        <color theme="1"/>
        <rFont val="ＭＳ Ｐゴシック"/>
        <family val="3"/>
        <charset val="134"/>
        <scheme val="minor"/>
      </rPr>
      <t>顶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</si>
  <si>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</si>
  <si>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TOTI</t>
  </si>
  <si>
    <t>邵大子</t>
  </si>
  <si>
    <r>
      <t>米酒; 清酒（日本米酒）; 白酒; 开胃酒;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</si>
  <si>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r>
      <t>匠品</t>
    </r>
    <r>
      <rPr>
        <sz val="11"/>
        <color theme="1"/>
        <rFont val="ＭＳ Ｐゴシック"/>
        <family val="3"/>
        <charset val="134"/>
        <scheme val="minor"/>
      </rPr>
      <t>骄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</si>
  <si>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银华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</si>
  <si>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黄酒; 白酒; 果酒（含酒精）; 清酒（日本米酒）;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</si>
  <si>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好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</si>
  <si>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利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</si>
  <si>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 xml:space="preserve">开胃酒; 清酒（日本米酒）;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</si>
  <si>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浆</t>
    </r>
    <r>
      <rPr>
        <sz val="11"/>
        <color theme="1"/>
        <rFont val="ＭＳ Ｐゴシック"/>
        <family val="3"/>
        <charset val="128"/>
        <scheme val="minor"/>
      </rPr>
      <t>湖中人</t>
    </r>
  </si>
  <si>
    <r>
      <t>肖福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</si>
  <si>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烈酒; 开胃酒;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</si>
  <si>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箭叶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</si>
  <si>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架欣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邦文旅有限公司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</si>
  <si>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苦味酒; 白酒; 薄荷酒;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</si>
  <si>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鳍鳞</t>
    </r>
    <r>
      <rPr>
        <sz val="11"/>
        <color theme="1"/>
        <rFont val="ＭＳ Ｐゴシック"/>
        <family val="3"/>
        <charset val="128"/>
        <scheme val="minor"/>
      </rPr>
      <t>五福</t>
    </r>
  </si>
  <si>
    <r>
      <t>四川德源教育科技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</si>
  <si>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黄酒; 汽酒;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</si>
  <si>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品忈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</si>
  <si>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市聚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</si>
  <si>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青梅酒; 米酒; 高粱酒</t>
    </r>
  </si>
  <si>
    <t>守器</t>
  </si>
  <si>
    <t>秦素珍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</si>
  <si>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</si>
  <si>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</si>
  <si>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>伏特加酒; 白酒; 米酒;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</si>
  <si>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t>花湾</t>
  </si>
  <si>
    <r>
      <t xml:space="preserve">白酒; 烈酒;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</si>
  <si>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</si>
  <si>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瑞回春</t>
  </si>
  <si>
    <t>福建瑞回春生物科技有限公司</t>
  </si>
  <si>
    <r>
      <t>果酒（含酒精）; 苹果酒;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</si>
  <si>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山河寿</t>
  </si>
  <si>
    <t>神寿健康（海南）有限公司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</si>
  <si>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伏特加酒;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朗姆酒; 黄酒; 葡萄酒</t>
    </r>
  </si>
  <si>
    <t>花漱</t>
  </si>
  <si>
    <r>
      <t>果酒;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黄酒; 烈酒</t>
    </r>
  </si>
  <si>
    <t>黄河乾</t>
  </si>
  <si>
    <r>
      <t>刘士</t>
    </r>
    <r>
      <rPr>
        <sz val="11"/>
        <color theme="1"/>
        <rFont val="ＭＳ Ｐゴシック"/>
        <family val="3"/>
        <charset val="134"/>
        <scheme val="minor"/>
      </rPr>
      <t>显</t>
    </r>
  </si>
  <si>
    <r>
      <t>白酒; 黄酒; 开胃酒;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</si>
  <si>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九府坊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</si>
  <si>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州多彩梦想酒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</si>
  <si>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</t>
    </r>
  </si>
  <si>
    <t>闽传</t>
  </si>
  <si>
    <r>
      <t>泉州市</t>
    </r>
    <r>
      <rPr>
        <sz val="11"/>
        <color theme="1"/>
        <rFont val="ＭＳ Ｐゴシック"/>
        <family val="3"/>
        <charset val="134"/>
        <scheme val="minor"/>
      </rPr>
      <t>鲤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</si>
  <si>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葡萄酒</t>
    </r>
  </si>
  <si>
    <r>
      <t>拾</t>
    </r>
    <r>
      <rPr>
        <sz val="11"/>
        <color theme="1"/>
        <rFont val="ＭＳ Ｐゴシック"/>
        <family val="3"/>
        <charset val="134"/>
        <scheme val="minor"/>
      </rPr>
      <t>忆罗</t>
    </r>
    <r>
      <rPr>
        <sz val="11"/>
        <color theme="1"/>
        <rFont val="ＭＳ Ｐゴシック"/>
        <family val="3"/>
        <charset val="128"/>
        <scheme val="minor"/>
      </rPr>
      <t>川</t>
    </r>
  </si>
  <si>
    <r>
      <t>福建省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福双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</si>
  <si>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</si>
  <si>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肖恩奢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</si>
  <si>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芝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</si>
  <si>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</si>
  <si>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r>
      <t>聊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</si>
  <si>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喻</t>
    </r>
    <r>
      <rPr>
        <sz val="11"/>
        <color theme="1"/>
        <rFont val="ＭＳ Ｐゴシック"/>
        <family val="3"/>
        <charset val="128"/>
        <scheme val="minor"/>
      </rPr>
      <t>学文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</si>
  <si>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白酒; 黄酒; 威士忌; 果酒（含酒精）; 食用酒精;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</si>
  <si>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花湔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</si>
  <si>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米酒; 果酒; 黄酒</t>
    </r>
  </si>
  <si>
    <r>
      <t>先</t>
    </r>
    <r>
      <rPr>
        <sz val="11"/>
        <color theme="1"/>
        <rFont val="ＭＳ Ｐゴシック"/>
        <family val="3"/>
        <charset val="134"/>
        <scheme val="minor"/>
      </rPr>
      <t>为贵</t>
    </r>
  </si>
  <si>
    <r>
      <t>黄酒; 葡萄酒;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</si>
  <si>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华汉</t>
    </r>
    <r>
      <rPr>
        <sz val="11"/>
        <color theme="1"/>
        <rFont val="ＭＳ Ｐゴシック"/>
        <family val="3"/>
        <charset val="128"/>
        <scheme val="minor"/>
      </rPr>
      <t>乾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</si>
  <si>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白酒; 果酒; 白干酒（中国白酒）;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</si>
  <si>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朕台名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</si>
  <si>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阳酒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</si>
  <si>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威士忌;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</t>
    </r>
  </si>
  <si>
    <t>CHATEAU CAP DE FAUGERES</t>
  </si>
  <si>
    <r>
      <t>福</t>
    </r>
    <r>
      <rPr>
        <sz val="11"/>
        <color theme="1"/>
        <rFont val="ＭＳ Ｐゴシック"/>
        <family val="3"/>
        <charset val="134"/>
        <scheme val="minor"/>
      </rPr>
      <t>热尔</t>
    </r>
    <r>
      <rPr>
        <sz val="11"/>
        <color theme="1"/>
        <rFont val="ＭＳ Ｐゴシック"/>
        <family val="3"/>
        <charset val="128"/>
        <scheme val="minor"/>
      </rPr>
      <t>科彼城堡有限公司</t>
    </r>
  </si>
  <si>
    <t>都山狼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</si>
  <si>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市都山古</t>
    </r>
    <r>
      <rPr>
        <sz val="11"/>
        <color theme="1"/>
        <rFont val="ＭＳ Ｐゴシック"/>
        <family val="3"/>
        <charset val="134"/>
        <scheme val="minor"/>
      </rPr>
      <t>贡农业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</si>
  <si>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干型苹果酒;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草莓酒; 水果汽酒;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</si>
  <si>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夜郒画卷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</si>
  <si>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州任道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</si>
  <si>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米酒;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</si>
  <si>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老一</t>
    </r>
  </si>
  <si>
    <r>
      <t>河南多朴酒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</si>
  <si>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威士忌;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葡萄酒; 米酒; 黄酒; 果酒（含酒精）</t>
    </r>
  </si>
  <si>
    <r>
      <t>华汉</t>
    </r>
    <r>
      <rPr>
        <sz val="11"/>
        <color theme="1"/>
        <rFont val="ＭＳ Ｐゴシック"/>
        <family val="3"/>
        <charset val="128"/>
        <scheme val="minor"/>
      </rPr>
      <t>兮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</si>
  <si>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果酒; 白干酒（中国白酒）</t>
    </r>
  </si>
  <si>
    <t>GIFFORD ESTATE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</si>
  <si>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庆槟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</si>
  <si>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朗姆酒;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白酒; 威士忌</t>
    </r>
  </si>
  <si>
    <t>保力星</t>
  </si>
  <si>
    <r>
      <t>晋江和富投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</si>
  <si>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果酒; 米酒; 伏特加酒; 白酒; 黄酒; 威士忌</t>
    </r>
  </si>
  <si>
    <t>李双海</t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</si>
  <si>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高粱酒</t>
    </r>
  </si>
  <si>
    <r>
      <t>赢为</t>
    </r>
    <r>
      <rPr>
        <sz val="11"/>
        <color theme="1"/>
        <rFont val="ＭＳ Ｐゴシック"/>
        <family val="3"/>
        <charset val="128"/>
        <scheme val="minor"/>
      </rPr>
      <t>二</t>
    </r>
  </si>
  <si>
    <r>
      <t>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伏特加酒;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</si>
  <si>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医草</t>
    </r>
  </si>
  <si>
    <t>李文雪</t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</si>
  <si>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</t>
    </r>
  </si>
  <si>
    <r>
      <t>平安匠作大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</si>
  <si>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 xml:space="preserve">伏特加酒; 利口酒;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</si>
  <si>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柠</t>
    </r>
    <r>
      <rPr>
        <sz val="11"/>
        <color theme="1"/>
        <rFont val="ＭＳ Ｐゴシック"/>
        <family val="3"/>
        <charset val="128"/>
        <scheme val="minor"/>
      </rPr>
      <t>网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</si>
  <si>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钦</t>
    </r>
  </si>
  <si>
    <r>
      <t>葡萄酒;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</si>
  <si>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立可机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</si>
  <si>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立可机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</si>
  <si>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高粱酒; 葡萄酒</t>
    </r>
  </si>
  <si>
    <t>康四元</t>
  </si>
  <si>
    <r>
      <t>湖北高粱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</si>
  <si>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</si>
  <si>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t>AYVF</t>
  </si>
  <si>
    <t>王茂豪</t>
  </si>
  <si>
    <r>
      <t xml:space="preserve">薄荷酒; 茴芹酒（利口酒）;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茴香酒（利口酒）; 苦味酒;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汽酒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</si>
  <si>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</si>
  <si>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刘文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</si>
  <si>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</si>
  <si>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菜</t>
    </r>
    <r>
      <rPr>
        <sz val="11"/>
        <color theme="1"/>
        <rFont val="ＭＳ Ｐゴシック"/>
        <family val="3"/>
        <charset val="134"/>
        <scheme val="minor"/>
      </rPr>
      <t>亿箩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</si>
  <si>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菜大王网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</si>
  <si>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清酒（日本米酒）; 果酒（含酒精）</t>
    </r>
  </si>
  <si>
    <r>
      <t>吐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番沙海古道旅游开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</si>
  <si>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酸酒（低等葡萄酒）;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</si>
  <si>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匠品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</si>
  <si>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雪婷</t>
    </r>
  </si>
  <si>
    <r>
      <t>果酒（含酒精）; 开胃酒; 威士忌; 烈酒;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</si>
  <si>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增上</t>
  </si>
  <si>
    <r>
      <t>中安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能（成都）集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</si>
  <si>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黄酒;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</si>
  <si>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凰榨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</si>
  <si>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瑞祥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</si>
  <si>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</si>
  <si>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MADOONOON麦多隆</t>
  </si>
  <si>
    <r>
      <t>麦多隆商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展（深圳）有限公司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</si>
  <si>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白酒; 黄酒; 果酒（含酒精）;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</si>
  <si>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八号地</t>
  </si>
  <si>
    <r>
      <t>北京八号地信息技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</si>
  <si>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</si>
  <si>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MAKE LIFE MORE ENERGETIC VVHAOO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</si>
  <si>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</si>
  <si>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蒙采</t>
  </si>
  <si>
    <r>
      <t>内蒙古弘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</si>
  <si>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</si>
  <si>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焕</t>
    </r>
    <r>
      <rPr>
        <sz val="11"/>
        <color theme="1"/>
        <rFont val="ＭＳ Ｐゴシック"/>
        <family val="3"/>
        <charset val="128"/>
        <scheme val="minor"/>
      </rPr>
      <t>新伊浩</t>
    </r>
  </si>
  <si>
    <r>
      <t>赵焕</t>
    </r>
    <r>
      <rPr>
        <sz val="11"/>
        <color theme="1"/>
        <rFont val="ＭＳ Ｐゴシック"/>
        <family val="3"/>
        <charset val="128"/>
        <scheme val="minor"/>
      </rPr>
      <t>新</t>
    </r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</si>
  <si>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餐后酒（利口酒和烈酒）;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</si>
  <si>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鹿街口</t>
  </si>
  <si>
    <r>
      <t>成都小苗网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</si>
  <si>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米酒; 白干酒（中国白酒）; 含酒精的气泡水; 梅酒; 汽酒; 葡萄酒; 清酒; 白酒; 开胃酒; 甜果酒</t>
  </si>
  <si>
    <t>太极粉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</si>
  <si>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夏太极国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文化交流中心</t>
    </r>
  </si>
  <si>
    <r>
      <t>清酒（日本米酒）;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</si>
  <si>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太极匀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</si>
  <si>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清酒（日本米酒）; 白酒;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</si>
  <si>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汗午滴</t>
  </si>
  <si>
    <t>刘家雄</t>
  </si>
  <si>
    <r>
      <t xml:space="preserve">果酒（含酒精）; 甘蔗制烈酒;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</si>
  <si>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北京猫眼文化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</si>
  <si>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米酒; 威士忌; 苹果酒;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</si>
  <si>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茶酩</t>
  </si>
  <si>
    <r>
      <t>力天酒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研究院（西安）有限公司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</si>
  <si>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</si>
  <si>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粟水家园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</si>
  <si>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昌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制品有限公司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</si>
  <si>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</si>
  <si>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文武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</si>
  <si>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会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</si>
  <si>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</t>
    </r>
  </si>
  <si>
    <r>
      <t>好</t>
    </r>
    <r>
      <rPr>
        <sz val="11"/>
        <color theme="1"/>
        <rFont val="ＭＳ Ｐゴシック"/>
        <family val="3"/>
        <charset val="134"/>
        <scheme val="minor"/>
      </rPr>
      <t>龄树</t>
    </r>
    <r>
      <rPr>
        <sz val="11"/>
        <color theme="1"/>
        <rFont val="ＭＳ Ｐゴシック"/>
        <family val="3"/>
        <charset val="128"/>
        <scheme val="minor"/>
      </rPr>
      <t xml:space="preserve"> HAO LING TREE</t>
    </r>
  </si>
  <si>
    <t>郝霞</t>
  </si>
  <si>
    <r>
      <t>果酒（含酒精）; 白酒; 黄酒; 葡萄酒; 烈酒; 高粱酒; 开胃酒; 蜂蜜酒;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</si>
  <si>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武夷悦</t>
  </si>
  <si>
    <t>朱阳付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</si>
  <si>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白酒;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</si>
  <si>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手壹</t>
    </r>
    <r>
      <rPr>
        <sz val="11"/>
        <color theme="1"/>
        <rFont val="ＭＳ Ｐゴシック"/>
        <family val="3"/>
        <charset val="134"/>
        <scheme val="minor"/>
      </rPr>
      <t>轮</t>
    </r>
  </si>
  <si>
    <r>
      <t>宿迁市洋河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旅游文化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</si>
  <si>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清酒（日本米酒）; 黄酒; 果酒;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</si>
  <si>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黎草堂</t>
  </si>
  <si>
    <r>
      <t>庆</t>
    </r>
    <r>
      <rPr>
        <sz val="11"/>
        <color theme="1"/>
        <rFont val="ＭＳ Ｐゴシック"/>
        <family val="3"/>
        <charset val="128"/>
        <scheme val="minor"/>
      </rPr>
      <t>春堂（海南）健康管理有限公司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</si>
  <si>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黄酒</t>
    </r>
  </si>
  <si>
    <t>徐三少</t>
  </si>
  <si>
    <r>
      <t>徐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</si>
  <si>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 xml:space="preserve">黄酒; 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</si>
  <si>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苏呗</t>
  </si>
  <si>
    <t>徐州中能新能源有限公司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</si>
  <si>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朗姆酒;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露酒;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</si>
  <si>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BLUMILIGHT</t>
  </si>
  <si>
    <r>
      <t>虚</t>
    </r>
    <r>
      <rPr>
        <sz val="11"/>
        <color theme="1"/>
        <rFont val="ＭＳ Ｐゴシック"/>
        <family val="3"/>
        <charset val="134"/>
        <scheme val="minor"/>
      </rPr>
      <t>实</t>
    </r>
    <r>
      <rPr>
        <sz val="11"/>
        <color theme="1"/>
        <rFont val="ＭＳ Ｐゴシック"/>
        <family val="3"/>
        <charset val="128"/>
        <scheme val="minor"/>
      </rPr>
      <t>渲染（上海）生物科技有限公司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</si>
  <si>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水果汽酒; 干型苹果酒;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白酒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</si>
  <si>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荫</t>
    </r>
    <r>
      <rPr>
        <sz val="11"/>
        <color theme="1"/>
        <rFont val="ＭＳ Ｐゴシック"/>
        <family val="3"/>
        <charset val="128"/>
        <scheme val="minor"/>
      </rPr>
      <t>楠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</si>
  <si>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</si>
  <si>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化屋洞天酒海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</si>
  <si>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州御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</si>
  <si>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蒸煮提取物（利口酒和烈酒）;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高粱酒</t>
    </r>
  </si>
  <si>
    <t>宜万福 酒</t>
  </si>
  <si>
    <t>刘宁</t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</si>
  <si>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</si>
  <si>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水沐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亭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</si>
  <si>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西恒玖商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</si>
  <si>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利口酒; 威士忌; 朗姆酒</t>
    </r>
  </si>
  <si>
    <t>毛冭六粮</t>
  </si>
  <si>
    <t>毛阿毛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</si>
  <si>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</si>
  <si>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月里好</t>
  </si>
  <si>
    <r>
      <t>瑞安市温土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</si>
  <si>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</si>
  <si>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根自家酒窖</t>
    </r>
  </si>
  <si>
    <t>曹勇</t>
  </si>
  <si>
    <r>
      <t>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露酒;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</t>
    </r>
  </si>
  <si>
    <t>赤土坡</t>
  </si>
  <si>
    <r>
      <t>上海毅意金成企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</si>
  <si>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</si>
  <si>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速</t>
    </r>
    <r>
      <rPr>
        <sz val="11"/>
        <color theme="1"/>
        <rFont val="ＭＳ Ｐゴシック"/>
        <family val="3"/>
        <charset val="134"/>
        <scheme val="minor"/>
      </rPr>
      <t>呗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</si>
  <si>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果酒（含酒精）; 威士忌</t>
    </r>
  </si>
  <si>
    <t>首山湖</t>
  </si>
  <si>
    <t>王敬国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</si>
  <si>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烈酒;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苦艾酒; 果酒（含酒精）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</si>
  <si>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说</t>
    </r>
  </si>
  <si>
    <t>刘益松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</si>
  <si>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果酒（含酒精）; 威士忌; 清酒（日本米酒）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</si>
  <si>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者荣耀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</si>
  <si>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沙市天心区</t>
    </r>
    <r>
      <rPr>
        <sz val="11"/>
        <color theme="1"/>
        <rFont val="ＭＳ Ｐゴシック"/>
        <family val="3"/>
        <charset val="134"/>
        <scheme val="minor"/>
      </rPr>
      <t>诚财记</t>
    </r>
    <r>
      <rPr>
        <sz val="11"/>
        <color theme="1"/>
        <rFont val="ＭＳ Ｐゴシック"/>
        <family val="3"/>
        <charset val="128"/>
        <scheme val="minor"/>
      </rPr>
      <t>广告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</si>
  <si>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伏特加酒;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清酒; 食用酒精; 烈酒</t>
    </r>
  </si>
  <si>
    <t>DODA</t>
  </si>
  <si>
    <r>
      <t>赵</t>
    </r>
    <r>
      <rPr>
        <sz val="11"/>
        <color theme="1"/>
        <rFont val="ＭＳ Ｐゴシック"/>
        <family val="3"/>
        <charset val="128"/>
        <scheme val="minor"/>
      </rPr>
      <t>中礼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</si>
  <si>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茴香酒（利口酒）; 清酒（日本米酒）; 薄荷酒; 白酒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</si>
  <si>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市普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店区太平街道</t>
    </r>
    <r>
      <rPr>
        <sz val="11"/>
        <color theme="1"/>
        <rFont val="ＭＳ Ｐゴシック"/>
        <family val="3"/>
        <charset val="134"/>
        <scheme val="minor"/>
      </rPr>
      <t>综</t>
    </r>
    <r>
      <rPr>
        <sz val="11"/>
        <color theme="1"/>
        <rFont val="ＭＳ Ｐゴシック"/>
        <family val="3"/>
        <charset val="128"/>
        <scheme val="minor"/>
      </rPr>
      <t>合事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</si>
  <si>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</si>
  <si>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3HEPRNR MOPO3A</t>
  </si>
  <si>
    <r>
      <t>禾慕（浙江）控股有限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</si>
  <si>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佐餐酒;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</si>
  <si>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同田美</t>
  </si>
  <si>
    <r>
      <t>江西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沃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</si>
  <si>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青稞酒;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</t>
    </r>
  </si>
  <si>
    <r>
      <t>越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的邀</t>
    </r>
    <r>
      <rPr>
        <sz val="11"/>
        <color theme="1"/>
        <rFont val="ＭＳ Ｐゴシック"/>
        <family val="3"/>
        <charset val="134"/>
        <scheme val="minor"/>
      </rPr>
      <t>请</t>
    </r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</si>
  <si>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原始森林公园有限公司</t>
    </r>
  </si>
  <si>
    <r>
      <t>清酒（日本米酒）;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</si>
  <si>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TIAN SANSAN</t>
  </si>
  <si>
    <r>
      <t>北京恬三三文化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</si>
  <si>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青梅酒;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</si>
  <si>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</t>
    </r>
    <r>
      <rPr>
        <sz val="11"/>
        <color theme="1"/>
        <rFont val="ＭＳ Ｐゴシック"/>
        <family val="3"/>
        <charset val="134"/>
        <scheme val="minor"/>
      </rPr>
      <t>岚</t>
    </r>
  </si>
  <si>
    <t>靳秋林</t>
  </si>
  <si>
    <r>
      <t xml:space="preserve">威士忌; 青稞酒;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</si>
  <si>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立客富TWONAI酒庄</t>
  </si>
  <si>
    <r>
      <t>罗</t>
    </r>
    <r>
      <rPr>
        <sz val="11"/>
        <color theme="1"/>
        <rFont val="ＭＳ Ｐゴシック"/>
        <family val="3"/>
        <charset val="128"/>
        <scheme val="minor"/>
      </rPr>
      <t>曼尼酒庄（广州）有限公司</t>
    </r>
  </si>
  <si>
    <r>
      <t>果酒（含酒精）; 开胃酒;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威士忌; 白酒</t>
    </r>
  </si>
  <si>
    <t>适要</t>
  </si>
  <si>
    <r>
      <t>邵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须</t>
    </r>
    <r>
      <rPr>
        <sz val="11"/>
        <color theme="1"/>
        <rFont val="ＭＳ Ｐゴシック"/>
        <family val="3"/>
        <charset val="128"/>
        <scheme val="minor"/>
      </rPr>
      <t>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</si>
  <si>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</si>
  <si>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恋人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</si>
  <si>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刘祖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</si>
  <si>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刺五加酒;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清酒; 高粱酒; 青梅酒; 甜果酒;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</si>
  <si>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黔物一号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</si>
  <si>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州黔酒股份有限公司</t>
    </r>
  </si>
  <si>
    <r>
      <t>黄酒;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白酒; 米酒; 果酒（含酒精）; 清酒</t>
    </r>
  </si>
  <si>
    <r>
      <t>忘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爵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</si>
  <si>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明良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</si>
  <si>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</si>
  <si>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一步运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</si>
  <si>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金真</t>
    </r>
    <r>
      <rPr>
        <sz val="11"/>
        <color theme="1"/>
        <rFont val="ＭＳ Ｐゴシック"/>
        <family val="3"/>
        <charset val="134"/>
        <scheme val="minor"/>
      </rPr>
      <t>纺织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</si>
  <si>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白酒; 果酒; 食用酒精; 蒸煮提取物（利口酒和烈酒）; 清酒; 米酒</t>
    </r>
  </si>
  <si>
    <t>帝品朝</t>
  </si>
  <si>
    <t>刘通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</si>
  <si>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</si>
  <si>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懐御</t>
    </r>
  </si>
  <si>
    <r>
      <t>御酒品牌管理（重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</si>
  <si>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白酒; 葡萄酒;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</si>
  <si>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氛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</si>
  <si>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麟餐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</si>
  <si>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黄酒</t>
    </r>
  </si>
  <si>
    <t>米田上</t>
  </si>
  <si>
    <r>
      <t>张</t>
    </r>
    <r>
      <rPr>
        <sz val="11"/>
        <color theme="1"/>
        <rFont val="ＭＳ Ｐゴシック"/>
        <family val="3"/>
        <charset val="128"/>
        <scheme val="minor"/>
      </rPr>
      <t>文中******************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</si>
  <si>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梨酒;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</si>
  <si>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鄂</t>
    </r>
    <r>
      <rPr>
        <sz val="11"/>
        <color theme="1"/>
        <rFont val="ＭＳ Ｐゴシック"/>
        <family val="3"/>
        <charset val="134"/>
        <scheme val="minor"/>
      </rPr>
      <t>辉</t>
    </r>
  </si>
  <si>
    <t>于殿超</t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</si>
  <si>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</si>
  <si>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典</t>
    </r>
    <r>
      <rPr>
        <sz val="11"/>
        <color theme="1"/>
        <rFont val="ＭＳ Ｐゴシック"/>
        <family val="3"/>
        <charset val="134"/>
        <scheme val="minor"/>
      </rPr>
      <t>马东</t>
    </r>
    <r>
      <rPr>
        <sz val="11"/>
        <color theme="1"/>
        <rFont val="ＭＳ Ｐゴシック"/>
        <family val="3"/>
        <charset val="128"/>
        <scheme val="minor"/>
      </rPr>
      <t>西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</si>
  <si>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薄荷酒;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清酒（日本米酒）</t>
    </r>
  </si>
  <si>
    <t>黔物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</si>
  <si>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青稞酒; 米酒; 白酒; 清酒; 葡萄酒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</si>
  <si>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</si>
  <si>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</si>
  <si>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</si>
  <si>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菲拉妃国</t>
    </r>
    <r>
      <rPr>
        <sz val="11"/>
        <color theme="1"/>
        <rFont val="ＭＳ Ｐゴシック"/>
        <family val="3"/>
        <charset val="134"/>
        <scheme val="minor"/>
      </rPr>
      <t>际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</si>
  <si>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市五粮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</si>
  <si>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果酒; 清酒; 米酒</t>
    </r>
  </si>
  <si>
    <t>黄抄茗酒</t>
  </si>
  <si>
    <r>
      <t>泉州市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居的耳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</si>
  <si>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 xml:space="preserve">开胃酒; 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</si>
  <si>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壹不倒</t>
  </si>
  <si>
    <r>
      <t>淄博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盾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</si>
  <si>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葡萄酒;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</si>
  <si>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香港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晟益健科技有限公司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</si>
  <si>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朗姆酒; 葡萄酒; 果酒</t>
    </r>
  </si>
  <si>
    <r>
      <t>道天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</si>
  <si>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蜂蜜酒;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</si>
  <si>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礼小可</t>
  </si>
  <si>
    <t>黄厚游</t>
  </si>
  <si>
    <r>
      <t>米酒;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梅酒; 黄酒; 果酒（含酒精）; 葡萄酒</t>
    </r>
  </si>
  <si>
    <r>
      <t>寂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</si>
  <si>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东华</t>
    </r>
    <r>
      <rPr>
        <sz val="11"/>
        <color theme="1"/>
        <rFont val="ＭＳ Ｐゴシック"/>
        <family val="3"/>
        <charset val="128"/>
        <scheme val="minor"/>
      </rPr>
      <t>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</si>
  <si>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餐后酒（利口酒和烈酒）;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</si>
  <si>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r>
      <t>珠海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波湾后勤管理服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</si>
  <si>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蜂蜜酒; 白干酒（中国白酒）;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</si>
  <si>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蔡氏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蛟</t>
    </r>
    <r>
      <rPr>
        <sz val="11"/>
        <color theme="1"/>
        <rFont val="ＭＳ Ｐゴシック"/>
        <family val="3"/>
        <charset val="134"/>
        <scheme val="minor"/>
      </rPr>
      <t>龙</t>
    </r>
  </si>
  <si>
    <t>黄艮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</si>
  <si>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</t>
    </r>
  </si>
  <si>
    <r>
      <t>帝品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</si>
  <si>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</t>
    </r>
  </si>
  <si>
    <t>ZUI MEI FU MAO</t>
  </si>
  <si>
    <t>王安旭</t>
  </si>
  <si>
    <r>
      <t>果酒（含酒精）;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食用酒精; 黄酒</t>
    </r>
  </si>
  <si>
    <t>初酒庄园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</si>
  <si>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州省美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</si>
  <si>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开胃酒</t>
    </r>
  </si>
  <si>
    <t>梅里山下</t>
  </si>
  <si>
    <t>徐清健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</si>
  <si>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白酒;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</si>
  <si>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帝品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</si>
  <si>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 xml:space="preserve">米酒;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</si>
  <si>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巴蜀元聚</t>
  </si>
  <si>
    <t>胡思祥</t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</si>
  <si>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高粱酒; 青稞酒; 黄酒</t>
    </r>
  </si>
  <si>
    <r>
      <t>沛公大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江山</t>
    </r>
  </si>
  <si>
    <r>
      <t>韩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</si>
  <si>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白酒; 葡萄酒;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</si>
  <si>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京淅源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</si>
  <si>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河南南水北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</si>
  <si>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</si>
  <si>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载</t>
    </r>
    <r>
      <rPr>
        <sz val="11"/>
        <color theme="1"/>
        <rFont val="ＭＳ Ｐゴシック"/>
        <family val="3"/>
        <charset val="128"/>
        <scheme val="minor"/>
      </rPr>
      <t>文君 QAINZAIWENJUN</t>
    </r>
  </si>
  <si>
    <r>
      <t>四川省文君酒厂有限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</si>
  <si>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</si>
  <si>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悦造</t>
  </si>
  <si>
    <r>
      <t>邵安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</si>
  <si>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果酒（含酒精）</t>
    </r>
  </si>
  <si>
    <t>礼者</t>
  </si>
  <si>
    <r>
      <t>河南真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</si>
  <si>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清酒;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</si>
  <si>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路易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蒂伯爵</t>
    </r>
  </si>
  <si>
    <r>
      <t>刘玉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</si>
  <si>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伏特加酒; 朗姆酒; 白酒; 蒸煮提取物（利口酒和烈酒）; 果酒;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</si>
  <si>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酌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春</t>
    </r>
  </si>
  <si>
    <t>蒋佳成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</si>
  <si>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清酒（日本米酒）; 葡萄酒; 白酒;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</si>
  <si>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鸡鸣</t>
    </r>
    <r>
      <rPr>
        <sz val="11"/>
        <color theme="1"/>
        <rFont val="ＭＳ Ｐゴシック"/>
        <family val="3"/>
        <charset val="128"/>
        <scheme val="minor"/>
      </rPr>
      <t>三省赤源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</si>
  <si>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州佳沃品牌运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</si>
  <si>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开胃酒; 威士忌;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</si>
  <si>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麦昂香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</si>
  <si>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苹果酒; 白酒; 白干酒（中国白酒）; 青梅酒; 烈酒; 威士忌;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</si>
  <si>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麦昂雅</t>
  </si>
  <si>
    <r>
      <t xml:space="preserve">苹果酒;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高粱酒; 青梅酒; 烈酒;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</si>
  <si>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龙马</t>
    </r>
    <r>
      <rPr>
        <sz val="11"/>
        <color theme="1"/>
        <rFont val="ＭＳ Ｐゴシック"/>
        <family val="3"/>
        <charset val="128"/>
        <scheme val="minor"/>
      </rPr>
      <t>岳</t>
    </r>
    <r>
      <rPr>
        <sz val="11"/>
        <color theme="1"/>
        <rFont val="ＭＳ Ｐゴシック"/>
        <family val="3"/>
        <charset val="134"/>
        <scheme val="minor"/>
      </rPr>
      <t>飞</t>
    </r>
  </si>
  <si>
    <t>敬彦霞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</si>
  <si>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白酒</t>
    </r>
  </si>
  <si>
    <t>BBICOTA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</si>
  <si>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宁高度商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</si>
  <si>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</si>
  <si>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麦昂丰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</si>
  <si>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高粱酒; 烈酒; 白干酒（中国白酒）; 苹果酒;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青梅酒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</si>
  <si>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酒禧</t>
    </r>
    <r>
      <rPr>
        <sz val="11"/>
        <color theme="1"/>
        <rFont val="ＭＳ Ｐゴシック"/>
        <family val="3"/>
        <charset val="134"/>
        <scheme val="minor"/>
      </rPr>
      <t>钱</t>
    </r>
  </si>
  <si>
    <r>
      <t>逸夫科技（集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</si>
  <si>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黄酒; 白酒; 果酒; 青稞酒;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梅酒; 高粱酒;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</si>
  <si>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观澜</t>
    </r>
    <r>
      <rPr>
        <sz val="11"/>
        <color theme="1"/>
        <rFont val="ＭＳ Ｐゴシック"/>
        <family val="3"/>
        <charset val="128"/>
        <scheme val="minor"/>
      </rPr>
      <t>梦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</si>
  <si>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</si>
  <si>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川</t>
    </r>
  </si>
  <si>
    <r>
      <t>葡萄酒; 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</si>
  <si>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开伊瓶</t>
  </si>
  <si>
    <t>金克全</t>
  </si>
  <si>
    <t>清酒; 开胃酒; 食用酒精; 果酒; 汽酒; 白酒; 米酒; 葡萄酒; 黄酒; 甜酒</t>
  </si>
  <si>
    <t>惠遵香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</si>
  <si>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掌上同城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</si>
  <si>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白酒; 水果汽酒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</si>
  <si>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王嘉年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</si>
  <si>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凌葡院酒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高科技有限公司</t>
    </r>
  </si>
  <si>
    <r>
      <t>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</si>
  <si>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世酒坊乾隆御</t>
    </r>
  </si>
  <si>
    <r>
      <t>河北乾隆御酒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</si>
  <si>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黄酒; 露酒;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梨酒; 米酒; 苹果酒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</si>
  <si>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</si>
  <si>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垂虹</t>
    </r>
    <r>
      <rPr>
        <sz val="11"/>
        <color theme="1"/>
        <rFont val="ＭＳ Ｐゴシック"/>
        <family val="3"/>
        <charset val="134"/>
        <scheme val="minor"/>
      </rPr>
      <t>别</t>
    </r>
    <r>
      <rPr>
        <sz val="11"/>
        <color theme="1"/>
        <rFont val="ＭＳ Ｐゴシック"/>
        <family val="3"/>
        <charset val="128"/>
        <scheme val="minor"/>
      </rPr>
      <t>意·唐寅</t>
    </r>
  </si>
  <si>
    <r>
      <t>上海唐塔国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</si>
  <si>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</t>
    </r>
  </si>
  <si>
    <t>天天儿</t>
  </si>
  <si>
    <r>
      <t>陈</t>
    </r>
    <r>
      <rPr>
        <sz val="11"/>
        <color theme="1"/>
        <rFont val="ＭＳ Ｐゴシック"/>
        <family val="3"/>
        <charset val="128"/>
        <scheme val="minor"/>
      </rPr>
      <t>耀光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</si>
  <si>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杜松子酒; 白酒; 黄酒; 葡萄酒; 伏特加酒; 利口酒; 清酒（日本米酒）</t>
    </r>
  </si>
  <si>
    <t>醉名安</t>
  </si>
  <si>
    <t>何琳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</si>
  <si>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</si>
  <si>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 xml:space="preserve">万丰福 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</si>
  <si>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州黔北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</si>
  <si>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果酒（含酒精）; 苹果酒; 餐后酒（利口酒和烈酒）;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</si>
  <si>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满泽</t>
  </si>
  <si>
    <r>
      <t>王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</si>
  <si>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 xml:space="preserve">葡萄酒; 白酒; 清酒（日本米酒）;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</t>
    </r>
  </si>
  <si>
    <r>
      <t>曹溪大南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</si>
  <si>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韶关市金百穗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</si>
  <si>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梅酒; 黄酒; 露酒</t>
    </r>
  </si>
  <si>
    <t>鹿养臣</t>
  </si>
  <si>
    <r>
      <t>陈陆</t>
    </r>
    <r>
      <rPr>
        <sz val="11"/>
        <color theme="1"/>
        <rFont val="ＭＳ Ｐゴシック"/>
        <family val="3"/>
        <charset val="128"/>
        <scheme val="minor"/>
      </rPr>
      <t>中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</si>
  <si>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</t>
    </r>
  </si>
  <si>
    <t>白虎咀</t>
  </si>
  <si>
    <r>
      <t>巾</t>
    </r>
    <r>
      <rPr>
        <sz val="11"/>
        <color theme="1"/>
        <rFont val="ＭＳ Ｐゴシック"/>
        <family val="3"/>
        <charset val="134"/>
        <scheme val="minor"/>
      </rPr>
      <t>帼汇</t>
    </r>
    <r>
      <rPr>
        <sz val="11"/>
        <color theme="1"/>
        <rFont val="ＭＳ Ｐゴシック"/>
        <family val="3"/>
        <charset val="128"/>
        <scheme val="minor"/>
      </rPr>
      <t>（海南）投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</si>
  <si>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餐后酒（利口酒和烈酒）;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露酒; 苹果酒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</si>
  <si>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东红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塑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</si>
  <si>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</si>
  <si>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云月藤</t>
  </si>
  <si>
    <r>
      <t>成都市云月藤文化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</si>
  <si>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</si>
  <si>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林距离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</si>
  <si>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圆润农业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</si>
  <si>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果酒（含酒精）</t>
    </r>
  </si>
  <si>
    <t>玉夫酒</t>
  </si>
  <si>
    <t>广西天星目科技有限公司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</si>
  <si>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米酒; 高粱酒; 甜酒; 烈酒; 白酒; 果酒（含酒精）;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黄酒</t>
    </r>
  </si>
  <si>
    <t>涵庄</t>
  </si>
  <si>
    <r>
      <t>赵</t>
    </r>
    <r>
      <rPr>
        <sz val="11"/>
        <color theme="1"/>
        <rFont val="ＭＳ Ｐゴシック"/>
        <family val="3"/>
        <charset val="128"/>
        <scheme val="minor"/>
      </rPr>
      <t>哲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</si>
  <si>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</si>
  <si>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群雄岳</t>
  </si>
  <si>
    <r>
      <t>白酒; 汽酒; 食用酒精;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</si>
  <si>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零距里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</si>
  <si>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开胃酒;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起泡白葡萄酒;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</si>
  <si>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高娃</t>
    </r>
  </si>
  <si>
    <r>
      <t>通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精挑</t>
    </r>
    <r>
      <rPr>
        <sz val="11"/>
        <color theme="1"/>
        <rFont val="ＭＳ Ｐゴシック"/>
        <family val="3"/>
        <charset val="134"/>
        <scheme val="minor"/>
      </rPr>
      <t>细选贸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</si>
  <si>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伏特加酒;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</si>
  <si>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r>
      <t>麦昂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</si>
  <si>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 xml:space="preserve">黄酒; 白酒; 高粱酒; 苹果酒; 烈酒; 青梅酒; 白干酒（中国白酒）;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</si>
  <si>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莲</t>
    </r>
    <r>
      <rPr>
        <sz val="11"/>
        <color theme="1"/>
        <rFont val="ＭＳ Ｐゴシック"/>
        <family val="3"/>
        <charset val="128"/>
        <scheme val="minor"/>
      </rPr>
      <t>塘恰噶</t>
    </r>
  </si>
  <si>
    <r>
      <t>南昌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塘高粱酒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</si>
  <si>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米酒; 白酒</t>
    </r>
  </si>
  <si>
    <t>天星目</t>
  </si>
  <si>
    <r>
      <t>甜酒;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高粱酒; 果酒; 白酒; 朗姆酒;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</si>
  <si>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冶父</t>
  </si>
  <si>
    <r>
      <t>庐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冶父山明圣村股份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</si>
  <si>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汽酒;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梨酒; 白酒</t>
    </r>
  </si>
  <si>
    <r>
      <t>洱</t>
    </r>
    <r>
      <rPr>
        <sz val="11"/>
        <color theme="1"/>
        <rFont val="ＭＳ Ｐゴシック"/>
        <family val="3"/>
        <charset val="134"/>
        <scheme val="minor"/>
      </rPr>
      <t>滨</t>
    </r>
    <r>
      <rPr>
        <sz val="11"/>
        <color theme="1"/>
        <rFont val="ＭＳ Ｐゴシック"/>
        <family val="3"/>
        <charset val="128"/>
        <scheme val="minor"/>
      </rPr>
      <t>刀刀家</t>
    </r>
  </si>
  <si>
    <r>
      <t>云南刀刀家餐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</si>
  <si>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清酒; 葡萄酒; 伏特加酒; 果酒; 白酒; 食用酒精;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</si>
  <si>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麦昂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</si>
  <si>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 xml:space="preserve">高粱酒; 白干酒（中国白酒）;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烈酒; 白酒; 青梅酒;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</si>
  <si>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9"/>
        <scheme val="minor"/>
      </rPr>
      <t>龘龘</t>
    </r>
  </si>
  <si>
    <r>
      <t>陈凤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</si>
  <si>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 xml:space="preserve">黄酒; 高粱酒;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</si>
  <si>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福然堂</t>
  </si>
  <si>
    <r>
      <t>吉林省麦宴餐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</si>
  <si>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</si>
  <si>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杞光</t>
  </si>
  <si>
    <r>
      <t>宁夏西部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界影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</si>
  <si>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</si>
  <si>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仙春禄</t>
  </si>
  <si>
    <t>任广香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</si>
  <si>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利口酒; 米酒;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</si>
  <si>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路易墨尼伯爵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</si>
  <si>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伏特加酒; 威士忌;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</si>
  <si>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凤锦</t>
    </r>
  </si>
  <si>
    <r>
      <t>广州小方桌餐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</si>
  <si>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蜂蜜酒;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</si>
  <si>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麦昂印象</t>
  </si>
  <si>
    <r>
      <t>青梅酒; 白干酒（中国白酒）;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苹果酒; 威士忌;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</si>
  <si>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范蠡运</t>
  </si>
  <si>
    <r>
      <t>贾</t>
    </r>
    <r>
      <rPr>
        <sz val="11"/>
        <color theme="1"/>
        <rFont val="ＭＳ Ｐゴシック"/>
        <family val="3"/>
        <charset val="128"/>
        <scheme val="minor"/>
      </rPr>
      <t>建浩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</si>
  <si>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苦味酒; 清酒（日本米酒）; 白酒; 米酒; 葡萄酒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</si>
  <si>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</si>
  <si>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州潭泉酒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</si>
  <si>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</t>
    </r>
  </si>
  <si>
    <t>褚京</t>
  </si>
  <si>
    <r>
      <t>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米酒; 葡萄酒; 汽酒</t>
    </r>
  </si>
  <si>
    <r>
      <t xml:space="preserve">XWICU </t>
    </r>
    <r>
      <rPr>
        <sz val="11"/>
        <color theme="1"/>
        <rFont val="ＭＳ Ｐゴシック"/>
        <family val="3"/>
        <charset val="134"/>
        <scheme val="minor"/>
      </rPr>
      <t>纤</t>
    </r>
    <r>
      <rPr>
        <sz val="11"/>
        <color theme="1"/>
        <rFont val="ＭＳ Ｐゴシック"/>
        <family val="3"/>
        <charset val="128"/>
        <scheme val="minor"/>
      </rPr>
      <t>唯初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</si>
  <si>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诗维</t>
    </r>
    <r>
      <rPr>
        <sz val="11"/>
        <color theme="1"/>
        <rFont val="ＭＳ Ｐゴシック"/>
        <family val="3"/>
        <charset val="128"/>
        <scheme val="minor"/>
      </rPr>
      <t>斯海外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合生物科技有限公司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</si>
  <si>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</si>
  <si>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妙九州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</si>
  <si>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薄荷酒; 清酒（日本米酒）;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</si>
  <si>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睦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</si>
  <si>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</si>
  <si>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吐木柯</t>
  </si>
  <si>
    <r>
      <t>马</t>
    </r>
    <r>
      <rPr>
        <sz val="11"/>
        <color theme="1"/>
        <rFont val="ＭＳ Ｐゴシック"/>
        <family val="3"/>
        <charset val="128"/>
        <scheme val="minor"/>
      </rPr>
      <t>良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</si>
  <si>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开胃酒; 葡萄酒;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</si>
  <si>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路易克里伯爵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</si>
  <si>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果酒; 朗姆酒; 伏特加酒</t>
    </r>
  </si>
  <si>
    <t>无座巴士 WOOZZY</t>
  </si>
  <si>
    <t>袁立涵</t>
  </si>
  <si>
    <r>
      <t xml:space="preserve">白酒;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</si>
  <si>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武王威</t>
  </si>
  <si>
    <r>
      <t>五寨</t>
    </r>
    <r>
      <rPr>
        <sz val="11"/>
        <color theme="1"/>
        <rFont val="ＭＳ Ｐゴシック"/>
        <family val="3"/>
        <charset val="134"/>
        <scheme val="minor"/>
      </rPr>
      <t>县汇</t>
    </r>
    <r>
      <rPr>
        <sz val="11"/>
        <color theme="1"/>
        <rFont val="ＭＳ Ｐゴシック"/>
        <family val="3"/>
        <charset val="128"/>
        <scheme val="minor"/>
      </rPr>
      <t>通八方商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商行（个人独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</si>
  <si>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露酒; 威士忌; 黄酒; 白酒;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</si>
  <si>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王明晴</t>
  </si>
  <si>
    <r>
      <t>日式甜米酒;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干型苹果酒;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卡沙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酒; 清酒; 黑覆盆子酒; 黑醋栗酒</t>
    </r>
  </si>
  <si>
    <t>梦扎</t>
  </si>
  <si>
    <r>
      <t>天津万象恒科技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</si>
  <si>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</si>
  <si>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铜</t>
    </r>
    <r>
      <rPr>
        <sz val="11"/>
        <color theme="1"/>
        <rFont val="ＭＳ Ｐゴシック"/>
        <family val="3"/>
        <charset val="128"/>
        <scheme val="minor"/>
      </rPr>
      <t>中同源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</si>
  <si>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州酉心酒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</si>
  <si>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薄荷酒; 威末酒; 白酒; 葡萄酒; 威士忌; 黄酒; 清酒; 开胃酒; 苹果酒; 汽酒</t>
  </si>
  <si>
    <r>
      <t>孟享老酒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</si>
  <si>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州中安信息技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</si>
  <si>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</si>
  <si>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馥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</si>
  <si>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利霞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</si>
  <si>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黄酒; 葡萄酒; 威士忌; 白酒;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</si>
  <si>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此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</si>
  <si>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清酒（日本米酒）; 葡萄酒; 米酒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</si>
  <si>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探掌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</si>
  <si>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</si>
  <si>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含酒精的气泡水; 梨酒;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</si>
  <si>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我的</t>
    </r>
    <r>
      <rPr>
        <sz val="11"/>
        <color theme="1"/>
        <rFont val="ＭＳ Ｐゴシック"/>
        <family val="3"/>
        <charset val="134"/>
        <scheme val="minor"/>
      </rPr>
      <t>铜</t>
    </r>
    <r>
      <rPr>
        <sz val="11"/>
        <color theme="1"/>
        <rFont val="ＭＳ Ｐゴシック"/>
        <family val="3"/>
        <charset val="128"/>
        <scheme val="minor"/>
      </rPr>
      <t>中</t>
    </r>
  </si>
  <si>
    <t>威末酒; 葡萄酒; 清酒; 汽酒; 白酒; 威士忌; 薄荷酒; 开胃酒; 苹果酒; 黄酒</t>
  </si>
  <si>
    <r>
      <t>临</t>
    </r>
    <r>
      <rPr>
        <sz val="11"/>
        <color theme="1"/>
        <rFont val="ＭＳ Ｐゴシック"/>
        <family val="3"/>
        <charset val="128"/>
        <scheme val="minor"/>
      </rPr>
      <t>距里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</si>
  <si>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起泡白葡萄酒; 开胃酒</t>
    </r>
  </si>
  <si>
    <t>忳郁</t>
  </si>
  <si>
    <t>李婷婷</t>
  </si>
  <si>
    <r>
      <t xml:space="preserve">米酒; 青稞酒; 黄酒; 食用酒精; 葡萄酒;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</t>
    </r>
  </si>
  <si>
    <r>
      <t>万丰福 王家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</si>
  <si>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餐后酒（利口酒和烈酒）;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露酒</t>
    </r>
  </si>
  <si>
    <t>麦昂谷</t>
  </si>
  <si>
    <r>
      <t xml:space="preserve">苹果酒; 白干酒（中国白酒）; 白酒; 高粱酒;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青梅酒</t>
    </r>
  </si>
  <si>
    <t>古周名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</si>
  <si>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州周氏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</si>
  <si>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葡萄酒; 蒸煮提取物（利口酒和烈酒）;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</si>
  <si>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沅仙</t>
  </si>
  <si>
    <r>
      <t>保定鑫世福商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</si>
  <si>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白酒; 食用酒精; 果酒; 高粱酒; 白干酒（中国白酒）; 烈酒</t>
    </r>
  </si>
  <si>
    <r>
      <t>餐后酒（利口酒和烈酒）; 苹果酒; 葡萄酒; 露酒;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</si>
  <si>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金楢</t>
  </si>
  <si>
    <r>
      <t>今宝佑（广州）商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</si>
  <si>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果酒</t>
    </r>
  </si>
  <si>
    <t>福品福</t>
  </si>
  <si>
    <t>曹小芳</t>
  </si>
  <si>
    <r>
      <t>利口酒; 白酒; 米酒;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</si>
  <si>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潇</t>
    </r>
    <r>
      <rPr>
        <sz val="11"/>
        <color theme="1"/>
        <rFont val="ＭＳ Ｐゴシック"/>
        <family val="3"/>
        <charset val="128"/>
        <scheme val="minor"/>
      </rPr>
      <t>湘虎粮液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</si>
  <si>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沙港大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</si>
  <si>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</si>
  <si>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呡</t>
    </r>
    <r>
      <rPr>
        <sz val="11"/>
        <color theme="1"/>
        <rFont val="ＭＳ Ｐゴシック"/>
        <family val="3"/>
        <charset val="128"/>
        <scheme val="minor"/>
      </rPr>
      <t>韵味</t>
    </r>
  </si>
  <si>
    <t>林青梅</t>
  </si>
  <si>
    <r>
      <t xml:space="preserve">利口酒; 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米酒; 葡萄酒</t>
    </r>
  </si>
  <si>
    <r>
      <t>君醉</t>
    </r>
    <r>
      <rPr>
        <sz val="11"/>
        <color theme="1"/>
        <rFont val="ＭＳ Ｐゴシック"/>
        <family val="3"/>
        <charset val="134"/>
        <scheme val="minor"/>
      </rPr>
      <t>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</si>
  <si>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露酒; 高粱酒; 白酒; 梅酒;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烈酒; 白干酒（中国白酒）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</si>
  <si>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风</t>
    </r>
  </si>
  <si>
    <t>广州孜漫品牌策划有限公司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</si>
  <si>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果酒（含酒精）; 葡萄酒; 白酒; 干型苹果酒;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烈酒</t>
    </r>
  </si>
  <si>
    <r>
      <t>潇</t>
    </r>
    <r>
      <rPr>
        <sz val="11"/>
        <color theme="1"/>
        <rFont val="ＭＳ Ｐゴシック"/>
        <family val="3"/>
        <charset val="128"/>
        <scheme val="minor"/>
      </rPr>
      <t>湘虎</t>
    </r>
  </si>
  <si>
    <r>
      <t>高粱酒;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</si>
  <si>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哈酒客</t>
  </si>
  <si>
    <r>
      <t>温州市鹿城区澄霓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</si>
  <si>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白酒; 米酒; 伏特加酒;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</si>
  <si>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t>桃酣 酒</t>
  </si>
  <si>
    <r>
      <t>赵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</si>
  <si>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</si>
  <si>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安安大吉</t>
  </si>
  <si>
    <t>安立民</t>
  </si>
  <si>
    <r>
      <t xml:space="preserve">果酒（含酒精）;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白干酒（中国白酒）;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</t>
    </r>
  </si>
  <si>
    <t>天尊沙</t>
  </si>
  <si>
    <r>
      <t>张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环</t>
    </r>
  </si>
  <si>
    <r>
      <t xml:space="preserve">白干酒（中国白酒）;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烈酒; 露酒; 清酒;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</si>
  <si>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轴</t>
    </r>
    <r>
      <rPr>
        <sz val="11"/>
        <color theme="1"/>
        <rFont val="ＭＳ Ｐゴシック"/>
        <family val="3"/>
        <charset val="128"/>
        <scheme val="minor"/>
      </rPr>
      <t>礼序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</si>
  <si>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轴</t>
    </r>
    <r>
      <rPr>
        <sz val="11"/>
        <color theme="1"/>
        <rFont val="ＭＳ Ｐゴシック"/>
        <family val="3"/>
        <charset val="128"/>
        <scheme val="minor"/>
      </rPr>
      <t>礼序文化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</si>
  <si>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果酒（含酒精）; 白酒;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</si>
  <si>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市年</t>
  </si>
  <si>
    <r>
      <t>赵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</si>
  <si>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 xml:space="preserve">白酒; 梨酒; 利口酒; 米酒; 薄荷酒; 苦味酒;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</si>
  <si>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坤味久</t>
  </si>
  <si>
    <r>
      <t xml:space="preserve">烈酒; 白酒; 清酒; 梅酒;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高粱酒; 青稞酒</t>
    </r>
  </si>
  <si>
    <t>和养森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</si>
  <si>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伏特加酒; 葡萄酒</t>
    </r>
  </si>
  <si>
    <t>悠沫茶序</t>
  </si>
  <si>
    <t>泰广品牌管理(湖北)有限公司</t>
  </si>
  <si>
    <r>
      <t>清酒（日本米酒）; 米酒; 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</si>
  <si>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万粮堆</t>
  </si>
  <si>
    <t>于千芳</t>
  </si>
  <si>
    <r>
      <t xml:space="preserve">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白酒; 烈酒;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</si>
  <si>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孤峰独秀</t>
  </si>
  <si>
    <r>
      <t>平度市新盛启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品店</t>
    </r>
  </si>
  <si>
    <r>
      <t>五加皮酒（中国混合烈酒）;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米酒; 果酒（含酒精）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</si>
  <si>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雾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</si>
  <si>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四川秦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</si>
  <si>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</si>
  <si>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瑶大夫</t>
  </si>
  <si>
    <t>瑶家良品（佛山）生物科技有限公司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</si>
  <si>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蜂蜜酒; 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烈酒; 果酒; 米酒</t>
    </r>
  </si>
  <si>
    <t>三国桃园情</t>
  </si>
  <si>
    <r>
      <t>许</t>
    </r>
    <r>
      <rPr>
        <sz val="11"/>
        <color theme="1"/>
        <rFont val="ＭＳ Ｐゴシック"/>
        <family val="3"/>
        <charset val="128"/>
        <scheme val="minor"/>
      </rPr>
      <t>昌初彩商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</si>
  <si>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</si>
  <si>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故酒迎</t>
    </r>
    <r>
      <rPr>
        <sz val="11"/>
        <color theme="1"/>
        <rFont val="ＭＳ Ｐゴシック"/>
        <family val="3"/>
        <charset val="134"/>
        <scheme val="minor"/>
      </rPr>
      <t>宾馆</t>
    </r>
  </si>
  <si>
    <r>
      <t>故酒（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</si>
  <si>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葡萄酒; 米酒</t>
    </r>
  </si>
  <si>
    <r>
      <t>云游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</si>
  <si>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 xml:space="preserve">米酒; 青稞酒;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烈酒;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</si>
  <si>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爱樱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</si>
  <si>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东爱樱维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</si>
  <si>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果酒; 白酒; 露酒;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</si>
  <si>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润东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</si>
  <si>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湘阴花尽百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</si>
  <si>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黄酒; 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</si>
  <si>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酕</t>
    </r>
    <r>
      <rPr>
        <sz val="11"/>
        <color theme="1"/>
        <rFont val="ＭＳ Ｐゴシック"/>
        <family val="3"/>
        <charset val="128"/>
        <scheme val="minor"/>
      </rPr>
      <t>佬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</si>
  <si>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市醉一回酒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</si>
  <si>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</si>
  <si>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t>樵果</t>
  </si>
  <si>
    <r>
      <t>邹</t>
    </r>
    <r>
      <rPr>
        <sz val="11"/>
        <color theme="1"/>
        <rFont val="ＭＳ Ｐゴシック"/>
        <family val="3"/>
        <charset val="128"/>
        <scheme val="minor"/>
      </rPr>
      <t>承浩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</si>
  <si>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朗姆酒; 伏特加酒; 果酒（含酒精）; 黄酒;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</si>
  <si>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智勇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</si>
  <si>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州宋窖酒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</si>
  <si>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威士忌; 果酒（含酒精）; 蒸煮提取物（利口酒和烈酒）;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</si>
  <si>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芈</t>
    </r>
    <r>
      <rPr>
        <sz val="11"/>
        <color theme="1"/>
        <rFont val="ＭＳ Ｐゴシック"/>
        <family val="3"/>
        <charset val="128"/>
        <scheme val="minor"/>
      </rPr>
      <t>厯</t>
    </r>
  </si>
  <si>
    <r>
      <t>天津原之味餐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</si>
  <si>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</si>
  <si>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叶溪</t>
  </si>
  <si>
    <r>
      <t>郑</t>
    </r>
    <r>
      <rPr>
        <sz val="11"/>
        <color theme="1"/>
        <rFont val="ＭＳ Ｐゴシック"/>
        <family val="3"/>
        <charset val="128"/>
        <scheme val="minor"/>
      </rPr>
      <t>大平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</si>
  <si>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果酒（含酒精）; 白酒;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</si>
  <si>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眉府春</t>
  </si>
  <si>
    <r>
      <t>眉山市正好醇酒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</si>
  <si>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威士忌</t>
    </r>
  </si>
  <si>
    <t>千禧客</t>
  </si>
  <si>
    <r>
      <t>白酒;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开胃酒; 蜂蜜酒;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</si>
  <si>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梅小丫 宴席上的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龙凤</t>
    </r>
  </si>
  <si>
    <r>
      <t>四川棋泉商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</si>
  <si>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开胃酒; 白酒; 果酒</t>
    </r>
  </si>
  <si>
    <r>
      <t>积</t>
    </r>
    <r>
      <rPr>
        <sz val="11"/>
        <color theme="1"/>
        <rFont val="ＭＳ Ｐゴシック"/>
        <family val="3"/>
        <charset val="128"/>
        <scheme val="minor"/>
      </rPr>
      <t>烈</t>
    </r>
  </si>
  <si>
    <t>蒋海霞</t>
  </si>
  <si>
    <r>
      <t>果酒（含酒精）; 米酒; 白酒;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蒸煮提取物（利口酒和烈酒）; 葡萄酒</t>
    </r>
  </si>
  <si>
    <t>月溪霞</t>
  </si>
  <si>
    <r>
      <t>巴</t>
    </r>
    <r>
      <rPr>
        <sz val="11"/>
        <color theme="1"/>
        <rFont val="ＭＳ Ｐゴシック"/>
        <family val="3"/>
        <charset val="134"/>
        <scheme val="minor"/>
      </rPr>
      <t>东县</t>
    </r>
    <r>
      <rPr>
        <sz val="11"/>
        <color theme="1"/>
        <rFont val="ＭＳ Ｐゴシック"/>
        <family val="3"/>
        <charset val="128"/>
        <scheme val="minor"/>
      </rPr>
      <t>宜</t>
    </r>
    <r>
      <rPr>
        <sz val="11"/>
        <color theme="1"/>
        <rFont val="ＭＳ Ｐゴシック"/>
        <family val="3"/>
        <charset val="134"/>
        <scheme val="minor"/>
      </rPr>
      <t>诺农业发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</si>
  <si>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米酒; 高粱酒; 佐餐酒; 威士忌; 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</t>
    </r>
  </si>
  <si>
    <r>
      <t>渡河天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</si>
  <si>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州渡河沙酒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</si>
  <si>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</t>
    </r>
  </si>
  <si>
    <r>
      <t>绍县</t>
    </r>
    <r>
      <rPr>
        <sz val="11"/>
        <color theme="1"/>
        <rFont val="ＭＳ Ｐゴシック"/>
        <family val="3"/>
        <charset val="128"/>
        <scheme val="minor"/>
      </rPr>
      <t>令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</si>
  <si>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市越城区同荣酒</t>
    </r>
    <r>
      <rPr>
        <sz val="11"/>
        <color theme="1"/>
        <rFont val="ＭＳ Ｐゴシック"/>
        <family val="3"/>
        <charset val="134"/>
        <scheme val="minor"/>
      </rPr>
      <t>业经营</t>
    </r>
    <r>
      <rPr>
        <sz val="11"/>
        <color theme="1"/>
        <rFont val="ＭＳ Ｐゴシック"/>
        <family val="3"/>
        <charset val="128"/>
        <scheme val="minor"/>
      </rPr>
      <t>部(个体工商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</si>
  <si>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开胃酒; 薄荷酒; 黄酒; 食用酒精; 葡萄酒; 伏特加酒</t>
    </r>
  </si>
  <si>
    <t>派利特瑞</t>
  </si>
  <si>
    <r>
      <t>邹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</si>
  <si>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露酒; 甜酒; 白酒; 白葡萄酒; 果酒;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</si>
  <si>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龙马</t>
    </r>
    <r>
      <rPr>
        <sz val="11"/>
        <color theme="1"/>
        <rFont val="ＭＳ Ｐゴシック"/>
        <family val="3"/>
        <charset val="128"/>
        <scheme val="minor"/>
      </rPr>
      <t>三殿</t>
    </r>
  </si>
  <si>
    <t>莱州元亨海洋生物科技有限公司</t>
  </si>
  <si>
    <r>
      <t>烈酒; 伏特加酒; 米酒; 果酒; 葡萄酒; 黄酒; 白酒; 食用酒精;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</si>
  <si>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解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解蜜</t>
    </r>
  </si>
  <si>
    <r>
      <t>屈奇</t>
    </r>
    <r>
      <rPr>
        <sz val="11"/>
        <color theme="1"/>
        <rFont val="ＭＳ Ｐゴシック"/>
        <family val="3"/>
        <charset val="134"/>
        <scheme val="minor"/>
      </rPr>
      <t>顿电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(深圳)有限公司</t>
    </r>
  </si>
  <si>
    <r>
      <t xml:space="preserve">威士忌; 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甜果酒; 开胃酒</t>
    </r>
  </si>
  <si>
    <r>
      <t>牛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</si>
  <si>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>牛</t>
    </r>
    <r>
      <rPr>
        <sz val="11"/>
        <color theme="1"/>
        <rFont val="ＭＳ Ｐゴシック"/>
        <family val="3"/>
        <charset val="134"/>
        <scheme val="minor"/>
      </rPr>
      <t>树贵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</si>
  <si>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</si>
  <si>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波叔匠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</si>
  <si>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州佘氏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</si>
  <si>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</si>
  <si>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天安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</si>
  <si>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子雷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</si>
  <si>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果酒; 葡萄酒;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</si>
  <si>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五家翁</t>
  </si>
  <si>
    <r>
      <t>谢</t>
    </r>
    <r>
      <rPr>
        <sz val="11"/>
        <color theme="1"/>
        <rFont val="ＭＳ Ｐゴシック"/>
        <family val="3"/>
        <charset val="128"/>
        <scheme val="minor"/>
      </rPr>
      <t>尚丰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</si>
  <si>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白酒; 食用酒精; 开胃酒; 葡萄酒; 高粱酒; 刺五加酒</t>
    </r>
  </si>
  <si>
    <r>
      <t>叶溪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房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</si>
  <si>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清酒（日本米酒）; 威士忌; 食用酒精;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</si>
  <si>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江舵</t>
  </si>
  <si>
    <r>
      <t>新疆伊窖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</si>
  <si>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清酒; 葡萄酒</t>
    </r>
  </si>
  <si>
    <t>ROYAL ICE KING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</si>
  <si>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甜酒; 白酒; 葡萄酒; 白葡萄酒; 露酒; 果酒</t>
    </r>
  </si>
  <si>
    <r>
      <t>中天</t>
    </r>
    <r>
      <rPr>
        <sz val="11"/>
        <color theme="1"/>
        <rFont val="ＭＳ Ｐゴシック"/>
        <family val="3"/>
        <charset val="134"/>
        <scheme val="minor"/>
      </rPr>
      <t>华玺</t>
    </r>
  </si>
  <si>
    <r>
      <t>烟台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</si>
  <si>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汽酒</t>
    </r>
  </si>
  <si>
    <t>黔潭令</t>
  </si>
  <si>
    <r>
      <t>孙</t>
    </r>
    <r>
      <rPr>
        <sz val="11"/>
        <color theme="1"/>
        <rFont val="ＭＳ Ｐゴシック"/>
        <family val="3"/>
        <charset val="128"/>
        <scheme val="minor"/>
      </rPr>
      <t>文杰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</si>
  <si>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</si>
  <si>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博得了</t>
  </si>
  <si>
    <r>
      <t>四川博源酒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</si>
  <si>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食用酒精;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</si>
  <si>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伏特加酒; 薄荷酒; 食用酒精; 葡萄酒; 白酒; 威士忌</t>
    </r>
  </si>
  <si>
    <t>VEARANUT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</si>
  <si>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沙盛捷酒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</si>
  <si>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伏特加酒;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</si>
  <si>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XIAERBA</t>
  </si>
  <si>
    <r>
      <t>西藏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朱帕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林下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源有限公司</t>
    </r>
  </si>
  <si>
    <r>
      <t>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利口酒;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</si>
  <si>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同心海誓山盟</t>
  </si>
  <si>
    <r>
      <t>北京臻迹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</si>
  <si>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酸酒（低等葡萄酒）;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</si>
  <si>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r>
      <t>嵘东</t>
    </r>
    <r>
      <rPr>
        <sz val="11"/>
        <color theme="1"/>
        <rFont val="ＭＳ Ｐゴシック"/>
        <family val="3"/>
        <charset val="128"/>
        <scheme val="minor"/>
      </rPr>
      <t>方</t>
    </r>
  </si>
  <si>
    <t>林倩伶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</si>
  <si>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</si>
  <si>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清眠</t>
  </si>
  <si>
    <r>
      <t>钱晓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</si>
  <si>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食用酒精;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</si>
  <si>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盏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</si>
  <si>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</si>
  <si>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清酒;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青稞酒;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</si>
  <si>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英豪台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</si>
  <si>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州全太品牌管理有限公司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</si>
  <si>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果酒（含酒精）; 威士忌; 白酒; 葡萄酒</t>
    </r>
  </si>
  <si>
    <t>九只手</t>
  </si>
  <si>
    <r>
      <t>杭州九只手文化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</si>
  <si>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白酒;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</si>
  <si>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坤太一</t>
    </r>
    <r>
      <rPr>
        <sz val="11"/>
        <color theme="1"/>
        <rFont val="ＭＳ Ｐゴシック"/>
        <family val="3"/>
        <charset val="134"/>
        <scheme val="minor"/>
      </rPr>
      <t>觉</t>
    </r>
  </si>
  <si>
    <r>
      <t>宣威市太坤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味品厂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</si>
  <si>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烈酒; 黄酒; 白酒; 果酒; 开胃酒; 米酒</t>
    </r>
  </si>
  <si>
    <t>君丰泰斗</t>
  </si>
  <si>
    <r>
      <t>赵</t>
    </r>
    <r>
      <rPr>
        <sz val="11"/>
        <color theme="1"/>
        <rFont val="ＭＳ Ｐゴシック"/>
        <family val="3"/>
        <charset val="128"/>
        <scheme val="minor"/>
      </rPr>
      <t>洪昌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</si>
  <si>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米酒; 葡萄酒</t>
    </r>
  </si>
  <si>
    <t>C味·C位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</si>
  <si>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州元本健康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</si>
  <si>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露酒; 果酒;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含酒精的气泡水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</si>
  <si>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地尊</t>
    </r>
  </si>
  <si>
    <r>
      <t>沁阳市众德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</si>
  <si>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米酒; 白酒;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</si>
  <si>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地尊宝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</si>
  <si>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</si>
  <si>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皇家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冰王</t>
    </r>
  </si>
  <si>
    <r>
      <t>葡萄酒; 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</si>
  <si>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珍韶</t>
  </si>
  <si>
    <r>
      <t>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</si>
  <si>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寒疆壹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田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</si>
  <si>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江省巨源水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稻良种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</si>
  <si>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高粱酒; 清酒;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</si>
  <si>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路易奥朴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</si>
  <si>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蒸煮提取物（利口酒和烈酒）;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</si>
  <si>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</si>
  <si>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朋商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</si>
  <si>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</si>
  <si>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昕灶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</si>
  <si>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家勇</t>
    </r>
  </si>
  <si>
    <r>
      <t>黄酒; 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佐餐酒;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</si>
  <si>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枊</t>
    </r>
    <r>
      <rPr>
        <sz val="11"/>
        <color theme="1"/>
        <rFont val="ＭＳ Ｐゴシック"/>
        <family val="3"/>
        <charset val="128"/>
        <scheme val="minor"/>
      </rPr>
      <t>上</t>
    </r>
    <r>
      <rPr>
        <sz val="11"/>
        <color theme="1"/>
        <rFont val="ＭＳ Ｐゴシック"/>
        <family val="3"/>
        <charset val="134"/>
        <scheme val="minor"/>
      </rPr>
      <t>归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</si>
  <si>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柳上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</si>
  <si>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草莓酒; 葡萄酒; 高粱酒; 水果汽酒; 薄荷酒; 果酒（含酒精）</t>
    </r>
  </si>
  <si>
    <t>最仙人</t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</si>
  <si>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</si>
  <si>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r>
      <t>酝</t>
    </r>
    <r>
      <rPr>
        <sz val="11"/>
        <color theme="1"/>
        <rFont val="ＭＳ Ｐゴシック"/>
        <family val="3"/>
        <charset val="128"/>
        <scheme val="minor"/>
      </rPr>
      <t>仙翁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</si>
  <si>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含酒精的气泡水; 食用酒精; 果酒（含酒精）; 白酒</t>
    </r>
  </si>
  <si>
    <r>
      <t>景阳玉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</si>
  <si>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白酒; 餐后酒（利口酒和烈酒）; 果酒（含酒精）;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</si>
  <si>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天峡酒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</si>
  <si>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</si>
  <si>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</t>
    </r>
  </si>
  <si>
    <r>
      <t>钩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</si>
  <si>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蒋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</si>
  <si>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</si>
  <si>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酝传</t>
    </r>
    <r>
      <rPr>
        <sz val="11"/>
        <color theme="1"/>
        <rFont val="ＭＳ Ｐゴシック"/>
        <family val="3"/>
        <charset val="128"/>
        <scheme val="minor"/>
      </rPr>
      <t>波叔匠</t>
    </r>
  </si>
  <si>
    <r>
      <t>葡萄酒;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</si>
  <si>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智熊</t>
  </si>
  <si>
    <t>金随元</t>
  </si>
  <si>
    <r>
      <t xml:space="preserve">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威士忌; 葡萄酒</t>
    </r>
  </si>
  <si>
    <r>
      <t>王</t>
    </r>
    <r>
      <rPr>
        <sz val="11"/>
        <color theme="1"/>
        <rFont val="ＭＳ Ｐゴシック"/>
        <family val="3"/>
        <charset val="129"/>
        <scheme val="minor"/>
      </rPr>
      <t>冇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</si>
  <si>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州秉乾老窖酒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</si>
  <si>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</si>
  <si>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河南圣善网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</si>
  <si>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</si>
  <si>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野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与天使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</si>
  <si>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旗牌食品有限公司</t>
    </r>
  </si>
  <si>
    <r>
      <t xml:space="preserve">青稞酒; 果酒;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汽酒; 清酒; 米酒; 黄酒</t>
    </r>
  </si>
  <si>
    <t>寄希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</si>
  <si>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市寄希咖啡有限公司</t>
    </r>
  </si>
  <si>
    <r>
      <t>伏特加酒; 汽酒;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</si>
  <si>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荐</t>
    </r>
    <r>
      <rPr>
        <sz val="11"/>
        <color theme="1"/>
        <rFont val="ＭＳ Ｐゴシック"/>
        <family val="3"/>
        <charset val="134"/>
        <scheme val="minor"/>
      </rPr>
      <t>盏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</si>
  <si>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坊信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</si>
  <si>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</si>
  <si>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枧</t>
    </r>
    <r>
      <rPr>
        <sz val="11"/>
        <color theme="1"/>
        <rFont val="ＭＳ Ｐゴシック"/>
        <family val="3"/>
        <charset val="128"/>
        <scheme val="minor"/>
      </rPr>
      <t>柳酒</t>
    </r>
  </si>
  <si>
    <t>王雄英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</si>
  <si>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</si>
  <si>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客黎塞留</t>
    </r>
  </si>
  <si>
    <t>黎塞留城堡</t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</si>
  <si>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</si>
  <si>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桃小曼</t>
  </si>
  <si>
    <t>云南傲虎食品有限公司</t>
  </si>
  <si>
    <r>
      <t xml:space="preserve">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水果汽酒; 朗姆酒</t>
    </r>
  </si>
  <si>
    <t>夏斌</t>
  </si>
  <si>
    <r>
      <t>葡萄酒;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蒸煮提取物（利口酒和烈酒）; 果酒（含酒精）; 食用酒精; 白酒</t>
    </r>
  </si>
  <si>
    <r>
      <t>庆</t>
    </r>
    <r>
      <rPr>
        <sz val="11"/>
        <color theme="1"/>
        <rFont val="ＭＳ Ｐゴシック"/>
        <family val="3"/>
        <charset val="129"/>
        <scheme val="minor"/>
      </rPr>
      <t>龘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</si>
  <si>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农业农</t>
    </r>
    <r>
      <rPr>
        <sz val="11"/>
        <color theme="1"/>
        <rFont val="ＭＳ Ｐゴシック"/>
        <family val="3"/>
        <charset val="128"/>
        <scheme val="minor"/>
      </rPr>
      <t>村社会事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</si>
  <si>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</si>
  <si>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项</t>
    </r>
    <r>
      <rPr>
        <sz val="11"/>
        <color theme="1"/>
        <rFont val="ＭＳ Ｐゴシック"/>
        <family val="3"/>
        <charset val="128"/>
        <scheme val="minor"/>
      </rPr>
      <t>氏人家</t>
    </r>
  </si>
  <si>
    <r>
      <t>项</t>
    </r>
    <r>
      <rPr>
        <sz val="11"/>
        <color theme="1"/>
        <rFont val="ＭＳ Ｐゴシック"/>
        <family val="3"/>
        <charset val="128"/>
        <scheme val="minor"/>
      </rPr>
      <t>旭</t>
    </r>
  </si>
  <si>
    <r>
      <t xml:space="preserve">白酒; 蜂蜜酒;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</si>
  <si>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仙</t>
    </r>
  </si>
  <si>
    <t>石利芳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</si>
  <si>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清酒（日本米酒）; 米酒; 白酒</t>
    </r>
  </si>
  <si>
    <t>毓皓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</si>
  <si>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市本味坊酒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</si>
  <si>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果酒; 高粱酒; 开胃酒; 青稞酒</t>
    </r>
  </si>
  <si>
    <r>
      <t>商樽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</si>
  <si>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</si>
  <si>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MAYRICHE</t>
  </si>
  <si>
    <r>
      <t>上海九赫</t>
    </r>
    <r>
      <rPr>
        <sz val="11"/>
        <color theme="1"/>
        <rFont val="ＭＳ Ｐゴシック"/>
        <family val="3"/>
        <charset val="134"/>
        <scheme val="minor"/>
      </rPr>
      <t>兹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</si>
  <si>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威士忌; 葡萄酒; 黄酒;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</si>
  <si>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t>渡河地利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</si>
  <si>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米酒</t>
    </r>
  </si>
  <si>
    <t>开路宝</t>
  </si>
  <si>
    <t>胡群星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</si>
  <si>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米酒; 葡萄酒; 伏特加酒; 白酒</t>
    </r>
  </si>
  <si>
    <t>洞外洞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</si>
  <si>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</si>
  <si>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清笑</t>
  </si>
  <si>
    <r>
      <t>蜂蜜酒; 米酒; 清酒（日本米酒）; 葡萄酒;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</si>
  <si>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寒氷翠</t>
  </si>
  <si>
    <r>
      <t xml:space="preserve">果酒（含酒精）; 草莓酒; 薄荷酒; 黄酒; 米酒;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葡萄酒; 水果汽酒</t>
    </r>
  </si>
  <si>
    <t>毓峰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</si>
  <si>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利口酒; 白酒; 果酒; 开胃酒;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米酒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</si>
  <si>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衡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</si>
  <si>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薄荷酒; 黄酒;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</si>
  <si>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一城一景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</si>
  <si>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州万粒粮酒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</si>
  <si>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青稞酒; 食用酒精;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</si>
  <si>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弓</t>
    </r>
  </si>
  <si>
    <r>
      <t>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</t>
    </r>
  </si>
  <si>
    <t>疆舵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</si>
  <si>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白酒</t>
    </r>
  </si>
  <si>
    <t>大朴家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</si>
  <si>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市大朴酒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</si>
  <si>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白干酒（中国白酒）;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</si>
  <si>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标</t>
    </r>
    <r>
      <rPr>
        <sz val="11"/>
        <color theme="1"/>
        <rFont val="ＭＳ Ｐゴシック"/>
        <family val="3"/>
        <charset val="128"/>
        <scheme val="minor"/>
      </rPr>
      <t>之星</t>
    </r>
  </si>
  <si>
    <r>
      <t>丁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家(******************)</t>
    </r>
  </si>
  <si>
    <r>
      <t xml:space="preserve">梨酒; 白酒; 蜂蜜酒; 果酒（含酒精）;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苹果酒;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</si>
  <si>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北京建国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</si>
  <si>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</si>
  <si>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过</t>
    </r>
    <r>
      <rPr>
        <sz val="11"/>
        <color theme="1"/>
        <rFont val="ＭＳ Ｐゴシック"/>
        <family val="3"/>
        <charset val="128"/>
        <scheme val="minor"/>
      </rPr>
      <t>山借水</t>
    </r>
  </si>
  <si>
    <r>
      <t>上海启航达国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</si>
  <si>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清酒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</si>
  <si>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王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</si>
  <si>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镇汉</t>
    </r>
    <r>
      <rPr>
        <sz val="11"/>
        <color theme="1"/>
        <rFont val="ＭＳ Ｐゴシック"/>
        <family val="3"/>
        <charset val="128"/>
        <scheme val="minor"/>
      </rPr>
      <t>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</si>
  <si>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</si>
  <si>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指做</t>
  </si>
  <si>
    <t>上海淏鑫食品包装有限公司</t>
  </si>
  <si>
    <r>
      <t>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</si>
  <si>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利斯迪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</si>
  <si>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果酒; 朗姆酒</t>
    </r>
  </si>
  <si>
    <t>世外臻</t>
  </si>
  <si>
    <r>
      <t>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食用酒精;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</si>
  <si>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双仰</t>
  </si>
  <si>
    <r>
      <t>张爱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</si>
  <si>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伏特加酒;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</si>
  <si>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窖</t>
    </r>
  </si>
  <si>
    <r>
      <t>保定醇源酒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</si>
  <si>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</si>
  <si>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鱼</t>
    </r>
    <r>
      <rPr>
        <sz val="11"/>
        <color theme="1"/>
        <rFont val="ＭＳ Ｐゴシック"/>
        <family val="3"/>
        <charset val="128"/>
        <scheme val="minor"/>
      </rPr>
      <t>上岸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</si>
  <si>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</si>
  <si>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食用酒精; 葡萄酒; 烈酒; 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</si>
  <si>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</si>
  <si>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果酒（含酒精）</t>
    </r>
  </si>
  <si>
    <t>叶溪谷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</si>
  <si>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米酒;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</si>
  <si>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皮勒冰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</si>
  <si>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露酒; 甜酒</t>
    </r>
  </si>
  <si>
    <r>
      <t>牧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</si>
  <si>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</si>
  <si>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清酒; 青稞酒; 威士忌; 朗姆酒;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</si>
  <si>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齐风</t>
    </r>
    <r>
      <rPr>
        <sz val="11"/>
        <color theme="1"/>
        <rFont val="ＭＳ Ｐゴシック"/>
        <family val="3"/>
        <charset val="128"/>
        <scheme val="minor"/>
      </rPr>
      <t>韵河</t>
    </r>
  </si>
  <si>
    <r>
      <t>四川星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映月酒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</si>
  <si>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食用酒精;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</si>
  <si>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小云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酒仙</t>
    </r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</si>
  <si>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市圣海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</si>
  <si>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伏特加酒;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</si>
  <si>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倍圣</t>
    </r>
    <r>
      <rPr>
        <sz val="11"/>
        <color theme="1"/>
        <rFont val="ＭＳ Ｐゴシック"/>
        <family val="3"/>
        <charset val="134"/>
        <scheme val="minor"/>
      </rPr>
      <t>宠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</si>
  <si>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澳特莱斯（广州）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</si>
  <si>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</si>
  <si>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卤</t>
    </r>
    <r>
      <rPr>
        <sz val="11"/>
        <color theme="1"/>
        <rFont val="ＭＳ Ｐゴシック"/>
        <family val="3"/>
        <charset val="128"/>
        <scheme val="minor"/>
      </rPr>
      <t>有</t>
    </r>
    <r>
      <rPr>
        <sz val="11"/>
        <color theme="1"/>
        <rFont val="ＭＳ Ｐゴシック"/>
        <family val="3"/>
        <charset val="134"/>
        <scheme val="minor"/>
      </rPr>
      <t>财</t>
    </r>
  </si>
  <si>
    <t>葛然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</si>
  <si>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</si>
  <si>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稻泥</t>
    </r>
    <r>
      <rPr>
        <sz val="11"/>
        <color theme="1"/>
        <rFont val="ＭＳ Ｐゴシック"/>
        <family val="3"/>
        <charset val="134"/>
        <scheme val="minor"/>
      </rPr>
      <t>纯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</si>
  <si>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尖穗酒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</si>
  <si>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高粱酒</t>
    </r>
  </si>
  <si>
    <r>
      <t>顶</t>
    </r>
    <r>
      <rPr>
        <sz val="11"/>
        <color theme="1"/>
        <rFont val="ＭＳ Ｐゴシック"/>
        <family val="3"/>
        <charset val="128"/>
        <scheme val="minor"/>
      </rPr>
      <t>航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杯藏品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</si>
  <si>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月年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</si>
  <si>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黄酒; 葡萄酒</t>
    </r>
  </si>
  <si>
    <t>苗多宝</t>
  </si>
  <si>
    <r>
      <t>唐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</si>
  <si>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>白酒; 蜂蜜酒;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果酒（含酒精）; 蝮蛇酒;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含酒精的气泡水; 葡萄酒</t>
    </r>
  </si>
  <si>
    <t>半醉舞</t>
  </si>
  <si>
    <r>
      <t xml:space="preserve">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蜂蜜酒; 白酒</t>
    </r>
  </si>
  <si>
    <t>膳小茂</t>
  </si>
  <si>
    <r>
      <t>陈</t>
    </r>
    <r>
      <rPr>
        <sz val="11"/>
        <color theme="1"/>
        <rFont val="ＭＳ Ｐゴシック"/>
        <family val="3"/>
        <charset val="128"/>
        <scheme val="minor"/>
      </rPr>
      <t>紫雯</t>
    </r>
  </si>
  <si>
    <r>
      <t>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</si>
  <si>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娴苏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</si>
  <si>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娴苏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</si>
  <si>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葡萄酒; 黄酒; 白酒</t>
    </r>
  </si>
  <si>
    <t>袖香盈</t>
  </si>
  <si>
    <r>
      <t>贾</t>
    </r>
    <r>
      <rPr>
        <sz val="11"/>
        <color theme="1"/>
        <rFont val="ＭＳ Ｐゴシック"/>
        <family val="3"/>
        <charset val="128"/>
        <scheme val="minor"/>
      </rPr>
      <t>娟娟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</si>
  <si>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葡萄酒; 白酒; 黄酒; 食用酒精</t>
    </r>
  </si>
  <si>
    <t>膳无双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</si>
  <si>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福元商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</si>
  <si>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果酒（含酒精）;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</si>
  <si>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t>PKZA</t>
  </si>
  <si>
    <t>蓓香（广州）科技有限公司</t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</si>
  <si>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</si>
  <si>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范成雕</t>
  </si>
  <si>
    <t>聂娅</t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</si>
  <si>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高粱酒; 葡萄酒; 黄酒</t>
    </r>
  </si>
  <si>
    <t>山山小土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</si>
  <si>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</si>
  <si>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柏宁鎏金</t>
  </si>
  <si>
    <r>
      <t>山西柏宁商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</si>
  <si>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果酒(含酒精);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黄酒; 白酒; 葡萄酒</t>
    </r>
  </si>
  <si>
    <r>
      <t>领酿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</si>
  <si>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爱东</t>
    </r>
  </si>
  <si>
    <r>
      <t xml:space="preserve">黄酒; 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果酒（含酒精）; 米酒; 白酒; 烈酒</t>
    </r>
  </si>
  <si>
    <t>玉工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</si>
  <si>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州玉工酒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</si>
  <si>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</si>
  <si>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战马</t>
  </si>
  <si>
    <r>
      <t>完美珍珠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球香港公司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</si>
  <si>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葡萄酒; 威士忌</t>
    </r>
  </si>
  <si>
    <t>KEYNICE DRINK</t>
  </si>
  <si>
    <r>
      <t>龙门</t>
    </r>
    <r>
      <rPr>
        <sz val="11"/>
        <color theme="1"/>
        <rFont val="ＭＳ Ｐゴシック"/>
        <family val="3"/>
        <charset val="128"/>
        <scheme val="minor"/>
      </rPr>
      <t>奇楠醉酒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</si>
  <si>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</t>
    </r>
  </si>
  <si>
    <t>汴京豫</t>
  </si>
  <si>
    <r>
      <t>范景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</si>
  <si>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开胃酒; 青稞酒; 黄酒</t>
    </r>
  </si>
  <si>
    <r>
      <t>天都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席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</si>
  <si>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彬管理咨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</si>
  <si>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伏特加酒; 白酒</t>
    </r>
  </si>
  <si>
    <t>春阳暖</t>
  </si>
  <si>
    <r>
      <t>赵</t>
    </r>
    <r>
      <rPr>
        <sz val="11"/>
        <color theme="1"/>
        <rFont val="ＭＳ Ｐゴシック"/>
        <family val="3"/>
        <charset val="128"/>
        <scheme val="minor"/>
      </rPr>
      <t>春来</t>
    </r>
  </si>
  <si>
    <r>
      <t>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</si>
  <si>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榛</t>
    </r>
    <r>
      <rPr>
        <sz val="11"/>
        <color theme="1"/>
        <rFont val="ＭＳ Ｐゴシック"/>
        <family val="3"/>
        <charset val="134"/>
        <scheme val="minor"/>
      </rPr>
      <t>龟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</si>
  <si>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山西晋阳楼餐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</si>
  <si>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</si>
  <si>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布易德森</t>
  </si>
  <si>
    <r>
      <t>联</t>
    </r>
    <r>
      <rPr>
        <sz val="11"/>
        <color theme="1"/>
        <rFont val="ＭＳ Ｐゴシック"/>
        <family val="3"/>
        <charset val="128"/>
        <scheme val="minor"/>
      </rPr>
      <t>合宣（深圳）商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</si>
  <si>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米酒; 葡萄酒;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</si>
  <si>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</si>
  <si>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竹市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</si>
  <si>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</t>
    </r>
  </si>
  <si>
    <r>
      <t>大梁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</si>
  <si>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恩昇</t>
    </r>
  </si>
  <si>
    <r>
      <t>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</si>
  <si>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小丑瑞德 JOKERRED</t>
  </si>
  <si>
    <r>
      <t>深圳市酒香江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</si>
  <si>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餐后酒（利口酒和烈酒）; 伏特加酒;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</si>
  <si>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青江</t>
    </r>
    <r>
      <rPr>
        <sz val="11"/>
        <color theme="1"/>
        <rFont val="ＭＳ Ｐゴシック"/>
        <family val="3"/>
        <charset val="134"/>
        <scheme val="minor"/>
      </rPr>
      <t>驿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</si>
  <si>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晟大酒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</si>
  <si>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白干酒（中国白酒）; 米酒; 白酒; 果酒;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烈酒</t>
    </r>
  </si>
  <si>
    <t>趟月光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</si>
  <si>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州言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</si>
  <si>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白酒; 葡萄酒; 果酒; 汽酒; 黄酒; 食用酒精;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</si>
  <si>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启</t>
    </r>
    <r>
      <rPr>
        <sz val="11"/>
        <color theme="1"/>
        <rFont val="ＭＳ Ｐゴシック"/>
        <family val="3"/>
        <charset val="134"/>
        <scheme val="minor"/>
      </rPr>
      <t>户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</si>
  <si>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溪市庶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土特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</si>
  <si>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米酒; 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</si>
  <si>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争</t>
    </r>
    <r>
      <rPr>
        <sz val="11"/>
        <color theme="1"/>
        <rFont val="ＭＳ Ｐゴシック"/>
        <family val="3"/>
        <charset val="134"/>
        <scheme val="minor"/>
      </rPr>
      <t>驰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</si>
  <si>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</si>
  <si>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寒陵关</t>
  </si>
  <si>
    <r>
      <t xml:space="preserve">黄酒; 清酒; 白酒; 烈酒; 葡萄酒; 高粱酒;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</si>
  <si>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BABA YAGA</t>
  </si>
  <si>
    <r>
      <t>深圳市欧美</t>
    </r>
    <r>
      <rPr>
        <sz val="11"/>
        <color theme="1"/>
        <rFont val="ＭＳ Ｐゴシック"/>
        <family val="3"/>
        <charset val="134"/>
        <scheme val="minor"/>
      </rPr>
      <t>联电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</si>
  <si>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</si>
  <si>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奈接</t>
  </si>
  <si>
    <r>
      <t>韦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绕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</si>
  <si>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</si>
  <si>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俊</t>
    </r>
    <r>
      <rPr>
        <sz val="11"/>
        <color theme="1"/>
        <rFont val="ＭＳ Ｐゴシック"/>
        <family val="3"/>
        <charset val="134"/>
        <scheme val="minor"/>
      </rPr>
      <t>叁叁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</si>
  <si>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俊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</si>
  <si>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</si>
  <si>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来眷属</t>
    </r>
  </si>
  <si>
    <r>
      <t>河南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预应</t>
    </r>
    <r>
      <rPr>
        <sz val="11"/>
        <color theme="1"/>
        <rFont val="ＭＳ Ｐゴシック"/>
        <family val="3"/>
        <charset val="128"/>
        <scheme val="minor"/>
      </rPr>
      <t>力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</si>
  <si>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果酒;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</si>
  <si>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MRSTIANLI</t>
  </si>
  <si>
    <r>
      <t>深圳市奥斯卡国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</si>
  <si>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>阿蒙蒂拉多白葡萄酒; 威士忌; 朗姆酒;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</si>
  <si>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t>云祥碧露</t>
  </si>
  <si>
    <r>
      <t>湛江市</t>
    </r>
    <r>
      <rPr>
        <sz val="11"/>
        <color theme="1"/>
        <rFont val="ＭＳ Ｐゴシック"/>
        <family val="3"/>
        <charset val="134"/>
        <scheme val="minor"/>
      </rPr>
      <t>漋</t>
    </r>
    <r>
      <rPr>
        <sz val="11"/>
        <color theme="1"/>
        <rFont val="ＭＳ Ｐゴシック"/>
        <family val="3"/>
        <charset val="128"/>
        <scheme val="minor"/>
      </rPr>
      <t>源化工有限公司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</si>
  <si>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清酒（日本米酒）;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</si>
  <si>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苗家姑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</si>
  <si>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会同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彩云谷文化旅游有限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</si>
  <si>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白酒;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苦味酒;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</si>
  <si>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君朝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</si>
  <si>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州尊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</si>
  <si>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茴香酒（利口酒）; 蒸煮提取物（利口酒和烈酒）; 清酒（日本米酒）; 烈酒;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</si>
  <si>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咏和液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</si>
  <si>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市咏和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</si>
  <si>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果酒; 白酒; 威士忌</t>
    </r>
  </si>
  <si>
    <t>春花里</t>
  </si>
  <si>
    <t>胡穗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</si>
  <si>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果酒（含酒精）; 黄酒</t>
    </r>
  </si>
  <si>
    <r>
      <t>宁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</si>
  <si>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</si>
  <si>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沛小二</t>
  </si>
  <si>
    <r>
      <t>海南</t>
    </r>
    <r>
      <rPr>
        <sz val="11"/>
        <color theme="1"/>
        <rFont val="ＭＳ Ｐゴシック"/>
        <family val="3"/>
        <charset val="134"/>
        <scheme val="minor"/>
      </rPr>
      <t>义兴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</si>
  <si>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利口酒;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</si>
  <si>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</si>
  <si>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王明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</si>
  <si>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果酒（含酒精）;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</si>
  <si>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TRICUR</t>
  </si>
  <si>
    <r>
      <t>蒙</t>
    </r>
    <r>
      <rPr>
        <sz val="11"/>
        <color theme="1"/>
        <rFont val="ＭＳ Ｐゴシック"/>
        <family val="3"/>
        <charset val="134"/>
        <scheme val="minor"/>
      </rPr>
      <t>维尔</t>
    </r>
    <r>
      <rPr>
        <sz val="11"/>
        <color theme="1"/>
        <rFont val="ＭＳ Ｐゴシック"/>
        <family val="3"/>
        <charset val="128"/>
        <scheme val="minor"/>
      </rPr>
      <t>特</t>
    </r>
    <r>
      <rPr>
        <sz val="11"/>
        <color theme="1"/>
        <rFont val="ＭＳ Ｐゴシック"/>
        <family val="3"/>
        <charset val="134"/>
        <scheme val="minor"/>
      </rPr>
      <t>简单农业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</si>
  <si>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</si>
  <si>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坝</t>
    </r>
    <r>
      <rPr>
        <sz val="11"/>
        <color theme="1"/>
        <rFont val="ＭＳ Ｐゴシック"/>
        <family val="3"/>
        <charset val="128"/>
        <scheme val="minor"/>
      </rPr>
      <t>上欧李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</si>
  <si>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坝</t>
    </r>
    <r>
      <rPr>
        <sz val="11"/>
        <color theme="1"/>
        <rFont val="ＭＳ Ｐゴシック"/>
        <family val="3"/>
        <charset val="128"/>
        <scheme val="minor"/>
      </rPr>
      <t>上欧李（北京）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科技研究院有限公司</t>
    </r>
  </si>
  <si>
    <r>
      <t>露酒;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清酒;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</si>
  <si>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WONDERCABINET</t>
  </si>
  <si>
    <t>高宇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</si>
  <si>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伏特加酒;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朗姆酒; 果酒（含酒精）</t>
    </r>
  </si>
  <si>
    <t>博唐</t>
  </si>
  <si>
    <r>
      <t>四川星企点餐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</si>
  <si>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甜酒; 梅酒;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刺五加酒; 白酒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</si>
  <si>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医生</t>
    </r>
  </si>
  <si>
    <r>
      <t>蒋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芝*****************X</t>
    </r>
  </si>
  <si>
    <r>
      <t>白酒;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</si>
  <si>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州省芳昕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用水有限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</si>
  <si>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</t>
    </r>
  </si>
  <si>
    <t>腾帅牦</t>
  </si>
  <si>
    <t>王法兵******************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</si>
  <si>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清酒; 白酒</t>
    </r>
  </si>
  <si>
    <t>南方都市小酒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</si>
  <si>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湾</t>
    </r>
    <r>
      <rPr>
        <sz val="11"/>
        <color theme="1"/>
        <rFont val="ＭＳ Ｐゴシック"/>
        <family val="3"/>
        <charset val="134"/>
        <scheme val="minor"/>
      </rPr>
      <t>财传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</si>
  <si>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</si>
  <si>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尊戎七彩</t>
  </si>
  <si>
    <r>
      <t>兵哥哥（江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</si>
  <si>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</si>
  <si>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HAI ZHU ZHU</t>
  </si>
  <si>
    <r>
      <t>深圳市海猪猪供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</si>
  <si>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</si>
  <si>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崃</t>
    </r>
    <r>
      <rPr>
        <sz val="11"/>
        <color theme="1"/>
        <rFont val="ＭＳ Ｐゴシック"/>
        <family val="3"/>
        <charset val="128"/>
        <scheme val="minor"/>
      </rPr>
      <t>州</t>
    </r>
  </si>
  <si>
    <r>
      <t>上海巴克斯酒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</si>
  <si>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混合威士忌酒;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果酒（含酒精）;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麦芽威士忌;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</si>
  <si>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炎黄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</si>
  <si>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喜多多（洛阳）健康科技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</si>
  <si>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清酒; 白酒; 果酒（含酒精）; 葡萄酒; 甜酒</t>
    </r>
  </si>
  <si>
    <t>彭旺嘉</t>
  </si>
  <si>
    <t>彭明星</t>
  </si>
  <si>
    <r>
      <t>烈酒; 米酒; 白酒; 高粱酒;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</si>
  <si>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百酒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</si>
  <si>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孟</t>
    </r>
    <r>
      <rPr>
        <sz val="11"/>
        <color theme="1"/>
        <rFont val="ＭＳ Ｐゴシック"/>
        <family val="3"/>
        <charset val="134"/>
        <scheme val="minor"/>
      </rPr>
      <t>华伟</t>
    </r>
  </si>
  <si>
    <r>
      <t>白酒; 开胃酒;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</si>
  <si>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秦面倌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</si>
  <si>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秦面倌餐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</si>
  <si>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果酒（含酒精）; 开胃酒; 葡萄酒; 米酒</t>
    </r>
  </si>
  <si>
    <r>
      <t>贶</t>
    </r>
    <r>
      <rPr>
        <sz val="11"/>
        <color theme="1"/>
        <rFont val="ＭＳ Ｐゴシック"/>
        <family val="3"/>
        <charset val="128"/>
        <scheme val="minor"/>
      </rPr>
      <t>彭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</si>
  <si>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贶</t>
    </r>
    <r>
      <rPr>
        <sz val="11"/>
        <color theme="1"/>
        <rFont val="ＭＳ Ｐゴシック"/>
        <family val="3"/>
        <charset val="128"/>
        <scheme val="minor"/>
      </rPr>
      <t>彭企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</si>
  <si>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烈酒;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</si>
  <si>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袋鼠童年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</si>
  <si>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黄橙文具用品有限公司</t>
    </r>
  </si>
  <si>
    <r>
      <t xml:space="preserve">黄酒; 食用酒精;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果酒（含酒精）;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</si>
  <si>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采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</si>
  <si>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亭健康管理（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莞）有限公司</t>
    </r>
  </si>
  <si>
    <r>
      <t xml:space="preserve">白酒; 开胃酒; 烈酒; 黄酒; 利口酒;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</si>
  <si>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豹抱虎</t>
  </si>
  <si>
    <r>
      <t>芝芝（</t>
    </r>
    <r>
      <rPr>
        <sz val="11"/>
        <color theme="1"/>
        <rFont val="ＭＳ Ｐゴシック"/>
        <family val="3"/>
        <charset val="134"/>
        <scheme val="minor"/>
      </rPr>
      <t>珲</t>
    </r>
    <r>
      <rPr>
        <sz val="11"/>
        <color theme="1"/>
        <rFont val="ＭＳ Ｐゴシック"/>
        <family val="3"/>
        <charset val="128"/>
        <scheme val="minor"/>
      </rPr>
      <t>春）文化科技有限公司</t>
    </r>
  </si>
  <si>
    <r>
      <t>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</t>
    </r>
  </si>
  <si>
    <t>昊峰祥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</si>
  <si>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州昊峰祥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</si>
  <si>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黄酒; 青稞酒;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含酒精的气泡水; 米酒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</si>
  <si>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湘</t>
    </r>
  </si>
  <si>
    <r>
      <t>麻阳麻匠酒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</si>
  <si>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果酒; 开胃酒; 食用酒精</t>
    </r>
  </si>
  <si>
    <t>供叔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</si>
  <si>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沙天橙广告策划有限公司</t>
    </r>
  </si>
  <si>
    <r>
      <t>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蒸煮提取物（利口酒和烈酒）; 葡萄酒</t>
    </r>
  </si>
  <si>
    <r>
      <t>六</t>
    </r>
    <r>
      <rPr>
        <sz val="11"/>
        <color theme="1"/>
        <rFont val="ＭＳ Ｐゴシック"/>
        <family val="3"/>
        <charset val="134"/>
        <scheme val="minor"/>
      </rPr>
      <t>宫颜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</si>
  <si>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清酒（日本米酒）; 蜂蜜酒; 果酒（含酒精）</t>
    </r>
  </si>
  <si>
    <r>
      <t>莓来</t>
    </r>
    <r>
      <rPr>
        <sz val="11"/>
        <color theme="1"/>
        <rFont val="ＭＳ Ｐゴシック"/>
        <family val="3"/>
        <charset val="134"/>
        <scheme val="minor"/>
      </rPr>
      <t>风华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</si>
  <si>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江莓派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</si>
  <si>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白干酒（中国白酒）; 白酒; 含酒精蛋奶酒;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含酒精的气泡水</t>
    </r>
  </si>
  <si>
    <t>世界令</t>
  </si>
  <si>
    <r>
      <t xml:space="preserve">葡萄酒; 白酒; 高粱酒; 烈酒; 黄酒; 甜酒;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</si>
  <si>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巴士基</t>
  </si>
  <si>
    <r>
      <t>巴士基（宁夏）餐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</si>
  <si>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蜂蜜酒; 果酒;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高粱酒</t>
    </r>
  </si>
  <si>
    <t>粮橙泊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</si>
  <si>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州山里人家商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</si>
  <si>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烈酒; 果酒（含酒精）; 白酒;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</si>
  <si>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山灵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</si>
  <si>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浙江怡美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林开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</si>
  <si>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酸酒（低等葡萄酒）;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</si>
  <si>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献天下</t>
    </r>
  </si>
  <si>
    <t>段霖</t>
  </si>
  <si>
    <r>
      <t>蜂蜜酒; 白酒;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天然汽酒;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</si>
  <si>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芝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尼</t>
    </r>
  </si>
  <si>
    <r>
      <t>蓬莱卡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</si>
  <si>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朗姆酒; 汽酒;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</t>
    </r>
  </si>
  <si>
    <t>X1 YAGA</t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</si>
  <si>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甜酒;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果酒（含酒精）; 米酒</t>
    </r>
  </si>
  <si>
    <t>庆扬红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</si>
  <si>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江卓隆生物科技有限公司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</si>
  <si>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</t>
    </r>
  </si>
  <si>
    <r>
      <t>战马</t>
    </r>
    <r>
      <rPr>
        <sz val="11"/>
        <color theme="1"/>
        <rFont val="ＭＳ Ｐゴシック"/>
        <family val="3"/>
        <charset val="128"/>
        <scheme val="minor"/>
      </rPr>
      <t xml:space="preserve"> WAR HORSE</t>
    </r>
  </si>
  <si>
    <r>
      <t>食用酒精;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</si>
  <si>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圣么</t>
  </si>
  <si>
    <r>
      <t>苏顺</t>
    </r>
    <r>
      <rPr>
        <sz val="11"/>
        <color theme="1"/>
        <rFont val="ＭＳ Ｐゴシック"/>
        <family val="3"/>
        <charset val="128"/>
        <scheme val="minor"/>
      </rPr>
      <t>学******************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</si>
  <si>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汽酒;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</si>
  <si>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甄霜</t>
  </si>
  <si>
    <r>
      <t>武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瑶</t>
    </r>
  </si>
  <si>
    <r>
      <t>白酒;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青稞酒; 伏特加酒;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</si>
  <si>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迎界</t>
  </si>
  <si>
    <r>
      <t>盛台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</si>
  <si>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葡萄酒; 清酒（日本米酒）</t>
    </r>
  </si>
  <si>
    <r>
      <t>冰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</si>
  <si>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城冰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</si>
  <si>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清酒（日本米酒）; 白酒;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黄酒; 威士忌; 果酒（含酒精）; 朗姆酒</t>
    </r>
  </si>
  <si>
    <r>
      <t>岽</t>
    </r>
    <r>
      <rPr>
        <sz val="11"/>
        <color theme="1"/>
        <rFont val="ＭＳ Ｐゴシック"/>
        <family val="3"/>
        <charset val="128"/>
        <scheme val="minor"/>
      </rPr>
      <t>道煮</t>
    </r>
  </si>
  <si>
    <r>
      <t>屏南山野妹妹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</si>
  <si>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食用酒精; 薄荷酒; 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葡萄酒; 白酒; 青稞酒; 黄酒;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</si>
  <si>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POLO RALPH LAUREN</t>
  </si>
  <si>
    <r>
      <t>波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/</t>
    </r>
    <r>
      <rPr>
        <sz val="11"/>
        <color theme="1"/>
        <rFont val="ＭＳ Ｐゴシック"/>
        <family val="3"/>
        <charset val="134"/>
        <scheme val="minor"/>
      </rPr>
      <t>劳伦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</si>
  <si>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麦芽威士忌; 混合威士忌酒;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</si>
  <si>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临门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</si>
  <si>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蜂蜜酒; 薄荷酒; 米酒; 黄酒; 威士忌; 葡萄酒; 食用酒精</t>
    </r>
  </si>
  <si>
    <r>
      <t>朝阳九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灵泉</t>
    </r>
  </si>
  <si>
    <r>
      <t>孙润</t>
    </r>
    <r>
      <rPr>
        <sz val="11"/>
        <color theme="1"/>
        <rFont val="ＭＳ Ｐゴシック"/>
        <family val="3"/>
        <charset val="128"/>
        <scheme val="minor"/>
      </rPr>
      <t>先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</si>
  <si>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利口酒; 米酒; 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</si>
  <si>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清清源正本生物医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</si>
  <si>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露酒;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</si>
  <si>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掼</t>
    </r>
    <r>
      <rPr>
        <sz val="11"/>
        <color theme="1"/>
        <rFont val="ＭＳ Ｐゴシック"/>
        <family val="3"/>
        <charset val="128"/>
        <scheme val="minor"/>
      </rPr>
      <t>蛋星卉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</si>
  <si>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掼</t>
    </r>
    <r>
      <rPr>
        <sz val="11"/>
        <color theme="1"/>
        <rFont val="ＭＳ Ｐゴシック"/>
        <family val="3"/>
        <charset val="128"/>
        <scheme val="minor"/>
      </rPr>
      <t>蛋酒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</si>
  <si>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米酒; 高粱酒;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清酒; 葡萄酒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</si>
  <si>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奇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</si>
  <si>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福建唯茶</t>
    </r>
    <r>
      <rPr>
        <sz val="11"/>
        <color theme="1"/>
        <rFont val="ＭＳ Ｐゴシック"/>
        <family val="3"/>
        <charset val="134"/>
        <scheme val="minor"/>
      </rPr>
      <t>创业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中心（有限合伙）</t>
    </r>
  </si>
  <si>
    <r>
      <t xml:space="preserve">食用酒精; 米酒;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</si>
  <si>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t>绵头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</si>
  <si>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</si>
  <si>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君之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</si>
  <si>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州林灵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</si>
  <si>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梅酒;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白干酒（中国白酒）; 果酒</t>
    </r>
  </si>
  <si>
    <r>
      <t>选</t>
    </r>
    <r>
      <rPr>
        <sz val="11"/>
        <color theme="1"/>
        <rFont val="ＭＳ Ｐゴシック"/>
        <family val="3"/>
        <charset val="128"/>
        <scheme val="minor"/>
      </rPr>
      <t>庄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泉玉液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</si>
  <si>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澄海酒厂股份有限公司</t>
    </r>
  </si>
  <si>
    <r>
      <t xml:space="preserve">果酒（含酒精）;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</si>
  <si>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统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</si>
  <si>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州禹仁酒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</si>
  <si>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</si>
  <si>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奥米惠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</si>
  <si>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奥米惠新材料有限公司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</si>
  <si>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清酒（日本米酒）;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</si>
  <si>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肯悦</t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</si>
  <si>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格家居科技有限公司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</si>
  <si>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</si>
  <si>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青杆坪</t>
  </si>
  <si>
    <t>荣洪（******************）</t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</si>
  <si>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米酒; 开胃酒;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</si>
  <si>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猪猪三</t>
  </si>
  <si>
    <r>
      <t>赵沧</t>
    </r>
    <r>
      <rPr>
        <sz val="11"/>
        <color theme="1"/>
        <rFont val="ＭＳ Ｐゴシック"/>
        <family val="3"/>
        <charset val="128"/>
        <scheme val="minor"/>
      </rPr>
      <t>桑</t>
    </r>
  </si>
  <si>
    <r>
      <t>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白酒; 果酒（含酒精）;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</si>
  <si>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君合会名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</si>
  <si>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州江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君品酒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</si>
  <si>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餐后酒（利口酒和烈酒）; 葡萄酒; 露酒;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</si>
  <si>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甬小南</t>
  </si>
  <si>
    <t>杨卫龙</t>
  </si>
  <si>
    <r>
      <t xml:space="preserve">清酒; 食用酒精; 果酒（含酒精）; 米酒; 白酒; 汽酒; 葡萄酒; 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</si>
  <si>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荣耀托卡依</t>
  </si>
  <si>
    <r>
      <t>金樽格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（上海）酒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</si>
  <si>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果酒（含酒精）;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</si>
  <si>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至尊精灵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</si>
  <si>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精灵食品有限公司</t>
    </r>
  </si>
  <si>
    <r>
      <t>苹果酒;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起泡白葡萄酒;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</si>
  <si>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衡粮</t>
  </si>
  <si>
    <r>
      <t>蔡海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</si>
  <si>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米酒; 利口酒;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</t>
    </r>
  </si>
  <si>
    <t>LVNI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</si>
  <si>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零智能科技股份有限公司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</si>
  <si>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清酒（日本米酒）</t>
    </r>
  </si>
  <si>
    <t>宋品天下</t>
  </si>
  <si>
    <t>刘大阳</t>
  </si>
  <si>
    <r>
      <t>果酒（含酒精）;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清酒;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果酒</t>
    </r>
  </si>
  <si>
    <r>
      <t>获泽</t>
    </r>
    <r>
      <rPr>
        <sz val="11"/>
        <color theme="1"/>
        <rFont val="ＭＳ Ｐゴシック"/>
        <family val="3"/>
        <charset val="128"/>
        <scheme val="minor"/>
      </rPr>
      <t>古城</t>
    </r>
  </si>
  <si>
    <r>
      <t>卫晓</t>
    </r>
    <r>
      <rPr>
        <sz val="11"/>
        <color theme="1"/>
        <rFont val="ＭＳ Ｐゴシック"/>
        <family val="3"/>
        <charset val="128"/>
        <scheme val="minor"/>
      </rPr>
      <t>米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</si>
  <si>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蜂蜜酒;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</si>
  <si>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君合会美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</si>
  <si>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苹果酒; 米酒; 露酒; 餐后酒（利口酒和烈酒）</t>
    </r>
  </si>
  <si>
    <r>
      <t>花开知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</si>
  <si>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景德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市空山知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</si>
  <si>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青稞酒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</si>
  <si>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伯（内蒙古）人工智能科技有限公司</t>
    </r>
  </si>
  <si>
    <r>
      <t>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</si>
  <si>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丰公</t>
  </si>
  <si>
    <t>徐州保乾新材料科技有限公司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</si>
  <si>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</si>
  <si>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卫</t>
    </r>
    <r>
      <rPr>
        <sz val="11"/>
        <color theme="1"/>
        <rFont val="ＭＳ Ｐゴシック"/>
        <family val="3"/>
        <charset val="128"/>
        <scheme val="minor"/>
      </rPr>
      <t>司格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</si>
  <si>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雳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</si>
  <si>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</si>
  <si>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t>小聚路易</t>
  </si>
  <si>
    <r>
      <t>湖南小聚氿酒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</si>
  <si>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</t>
    </r>
  </si>
  <si>
    <r>
      <t>广西迎君城文化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</si>
  <si>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米酒; 柑香酒; 朗姆酒; 伏特加酒</t>
    </r>
  </si>
  <si>
    <t>聚宝台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</si>
  <si>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聚宝酒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</si>
  <si>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烈酒;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葡萄酒; 食用酒精</t>
    </r>
  </si>
  <si>
    <t>永丰沙溪</t>
  </si>
  <si>
    <r>
      <t>江西省羊大生物科技有限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</si>
  <si>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日式甜米酒; 果酒;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</si>
  <si>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动</t>
    </r>
    <r>
      <rPr>
        <sz val="11"/>
        <color theme="1"/>
        <rFont val="ＭＳ Ｐゴシック"/>
        <family val="3"/>
        <charset val="128"/>
        <scheme val="minor"/>
      </rPr>
      <t>力斗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</si>
  <si>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邑国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品牌管理（深圳）有限公司</t>
    </r>
  </si>
  <si>
    <r>
      <t xml:space="preserve">利口酒;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白酒; 果酒（含酒精）</t>
    </r>
  </si>
  <si>
    <t>寿水溪</t>
  </si>
  <si>
    <r>
      <t>石家庄丰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园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</si>
  <si>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五加皮酒（中国混合烈酒）; 葡萄酒; 白酒; 米酒; 果酒</t>
    </r>
  </si>
  <si>
    <r>
      <t>草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被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急</t>
    </r>
    <r>
      <rPr>
        <sz val="11"/>
        <color theme="1"/>
        <rFont val="ＭＳ Ｐゴシック"/>
        <family val="3"/>
        <charset val="134"/>
        <scheme val="minor"/>
      </rPr>
      <t>驿</t>
    </r>
    <r>
      <rPr>
        <sz val="11"/>
        <color theme="1"/>
        <rFont val="ＭＳ Ｐゴシック"/>
        <family val="3"/>
        <charset val="128"/>
        <scheme val="minor"/>
      </rPr>
      <t>站（北京）管理咨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</si>
  <si>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</si>
  <si>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中装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达 798</t>
    </r>
  </si>
  <si>
    <r>
      <t>北京中装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达建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</si>
  <si>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</si>
  <si>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口子窖山海有灵</t>
  </si>
  <si>
    <r>
      <t>安徽口子酒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</si>
  <si>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黄酒;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白酒</t>
    </r>
  </si>
  <si>
    <t>董弓庄园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</si>
  <si>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富有美誉科技有限公司</t>
    </r>
  </si>
  <si>
    <r>
      <t>烈酒;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威士忌; 白酒; 黄酒; 清酒（日本米酒）</t>
    </r>
  </si>
  <si>
    <r>
      <t>一粟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禾</t>
    </r>
  </si>
  <si>
    <r>
      <t>砀</t>
    </r>
    <r>
      <rPr>
        <sz val="11"/>
        <color theme="1"/>
        <rFont val="ＭＳ Ｐゴシック"/>
        <family val="3"/>
        <charset val="128"/>
        <scheme val="minor"/>
      </rPr>
      <t>山桃源古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</si>
  <si>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葡萄酒; 餐后酒（利口酒和烈酒）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</si>
  <si>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47八十一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</si>
  <si>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忠国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</si>
  <si>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刺五加酒;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</si>
  <si>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双坑</t>
  </si>
  <si>
    <t>张凯</t>
  </si>
  <si>
    <r>
      <t>白酒; 高粱酒;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伏特加酒; 黄酒</t>
    </r>
  </si>
  <si>
    <r>
      <t>毂</t>
    </r>
    <r>
      <rPr>
        <sz val="11"/>
        <color theme="1"/>
        <rFont val="ＭＳ Ｐゴシック"/>
        <family val="3"/>
        <charset val="128"/>
        <scheme val="minor"/>
      </rPr>
      <t>台</t>
    </r>
  </si>
  <si>
    <t>戴克云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</si>
  <si>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米酒; 开胃酒;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</si>
  <si>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宝鼎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台淳韵</t>
    </r>
  </si>
  <si>
    <t>熊天蛟</t>
  </si>
  <si>
    <r>
      <t>葡萄酒;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</si>
  <si>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t>赤滔坊</t>
  </si>
  <si>
    <r>
      <t>赵</t>
    </r>
    <r>
      <rPr>
        <sz val="11"/>
        <color theme="1"/>
        <rFont val="ＭＳ Ｐゴシック"/>
        <family val="3"/>
        <charset val="128"/>
        <scheme val="minor"/>
      </rPr>
      <t>修波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</si>
  <si>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葡萄酒; 清酒（日本米酒）; 果酒;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</si>
  <si>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BRIYUT</t>
  </si>
  <si>
    <r>
      <t>布里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特有限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任合伙公司</t>
    </r>
  </si>
  <si>
    <t>伏特加酒; 苦味酒</t>
  </si>
  <si>
    <t>逾静园</t>
  </si>
  <si>
    <r>
      <t>昆山裕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</t>
    </r>
    <r>
      <rPr>
        <sz val="11"/>
        <color theme="1"/>
        <rFont val="ＭＳ Ｐゴシック"/>
        <family val="3"/>
        <charset val="128"/>
        <scheme val="minor"/>
      </rPr>
      <t>庄有限公司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</si>
  <si>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米酒;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</si>
  <si>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巴多</t>
  </si>
  <si>
    <r>
      <t>榆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市巴多酒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</si>
  <si>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高粱酒; 米酒; 葡萄酒; 白酒; 水果汽酒;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青梅酒;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</si>
  <si>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罗记</t>
    </r>
    <r>
      <rPr>
        <sz val="11"/>
        <color theme="1"/>
        <rFont val="ＭＳ Ｐゴシック"/>
        <family val="3"/>
        <charset val="128"/>
        <scheme val="minor"/>
      </rPr>
      <t>梓阳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</si>
  <si>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</si>
  <si>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果酒;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</si>
  <si>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君合会老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</si>
  <si>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露酒;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果酒（含酒精）</t>
    </r>
  </si>
  <si>
    <t>DEARGE</t>
  </si>
  <si>
    <r>
      <t>成都市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天悦商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</si>
  <si>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利口酒;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</t>
    </r>
  </si>
  <si>
    <t>清御禾塘</t>
  </si>
  <si>
    <r>
      <t>清御禾塘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展（天津）有限公司</t>
    </r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</si>
  <si>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米酒;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</si>
  <si>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伍帝小聚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</si>
  <si>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米酒; 葡萄酒; 果酒（含酒精）</t>
    </r>
  </si>
  <si>
    <t>碧君</t>
  </si>
  <si>
    <r>
      <t>白酒;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</si>
  <si>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盛宏</t>
    </r>
    <r>
      <rPr>
        <sz val="11"/>
        <color theme="1"/>
        <rFont val="ＭＳ Ｐゴシック"/>
        <family val="3"/>
        <charset val="134"/>
        <scheme val="minor"/>
      </rPr>
      <t>缘</t>
    </r>
  </si>
  <si>
    <t>刘素荣</t>
  </si>
  <si>
    <r>
      <t xml:space="preserve">威士忌;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</si>
  <si>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AXX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</si>
  <si>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白酒; 食用酒精; 果酒（含酒精）;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伏特加酒; 蒸煮提取物（利口酒和烈酒）</t>
    </r>
  </si>
  <si>
    <t>WHIPSHOTS</t>
  </si>
  <si>
    <r>
      <t>艾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瑞德科技有限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</si>
  <si>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奶油利口酒; 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含奶油利口酒;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</si>
  <si>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BRBR</t>
  </si>
  <si>
    <t>王思</t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</si>
  <si>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朗姆酒;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</si>
  <si>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BHH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</si>
  <si>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苹果酒;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葡萄酒; 白酒</t>
    </r>
  </si>
  <si>
    <r>
      <t>弦</t>
    </r>
    <r>
      <rPr>
        <sz val="11"/>
        <color theme="1"/>
        <rFont val="ＭＳ Ｐゴシック"/>
        <family val="3"/>
        <charset val="134"/>
        <scheme val="minor"/>
      </rPr>
      <t>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</si>
  <si>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州申克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</si>
  <si>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米酒; 果酒;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</si>
  <si>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州淙台酒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</si>
  <si>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食用酒精; 烈酒;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</si>
  <si>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格桑迪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</si>
  <si>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州豫之葡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</si>
  <si>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果酒（含酒精）; 白酒; 伏特加酒;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杜松子酒; 汽酒; 葡萄酒</t>
    </r>
  </si>
  <si>
    <r>
      <t>泓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梦</t>
    </r>
  </si>
  <si>
    <r>
      <t>魏春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</si>
  <si>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果酒（含酒精）; 白酒; 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青稞酒; 薄荷酒; 日式甜米酒</t>
    </r>
  </si>
  <si>
    <r>
      <t>和方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</si>
  <si>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市和方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人力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源有限公司</t>
    </r>
  </si>
  <si>
    <t>MAA</t>
  </si>
  <si>
    <r>
      <t>食用酒精; 葡萄酒;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</t>
    </r>
  </si>
  <si>
    <r>
      <t>巅</t>
    </r>
    <r>
      <rPr>
        <sz val="11"/>
        <color theme="1"/>
        <rFont val="ＭＳ Ｐゴシック"/>
        <family val="3"/>
        <charset val="128"/>
        <scheme val="minor"/>
      </rPr>
      <t>造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</si>
  <si>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蜂蜜酒;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</si>
  <si>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洹榕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</si>
  <si>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州省洹榕食品科技有限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</si>
  <si>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白酒; 黄酒; 米酒; 开胃酒;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</si>
  <si>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紫</t>
    </r>
    <r>
      <rPr>
        <sz val="11"/>
        <color theme="1"/>
        <rFont val="ＭＳ Ｐゴシック"/>
        <family val="3"/>
        <charset val="134"/>
        <scheme val="minor"/>
      </rPr>
      <t>阙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</si>
  <si>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宁夏紫</t>
    </r>
    <r>
      <rPr>
        <sz val="11"/>
        <color theme="1"/>
        <rFont val="ＭＳ Ｐゴシック"/>
        <family val="3"/>
        <charset val="134"/>
        <scheme val="minor"/>
      </rPr>
      <t>阙</t>
    </r>
    <r>
      <rPr>
        <sz val="11"/>
        <color theme="1"/>
        <rFont val="ＭＳ Ｐゴシック"/>
        <family val="3"/>
        <charset val="128"/>
        <scheme val="minor"/>
      </rPr>
      <t>天和葡萄酒庄有限公司</t>
    </r>
  </si>
  <si>
    <r>
      <t>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威士忌; 果酒（含酒精）</t>
    </r>
  </si>
  <si>
    <r>
      <t>紫</t>
    </r>
    <r>
      <rPr>
        <sz val="11"/>
        <color theme="1"/>
        <rFont val="ＭＳ Ｐゴシック"/>
        <family val="3"/>
        <charset val="134"/>
        <scheme val="minor"/>
      </rPr>
      <t>阙</t>
    </r>
    <r>
      <rPr>
        <sz val="11"/>
        <color theme="1"/>
        <rFont val="ＭＳ Ｐゴシック"/>
        <family val="3"/>
        <charset val="128"/>
        <scheme val="minor"/>
      </rPr>
      <t>天和</t>
    </r>
  </si>
  <si>
    <r>
      <t>开胃酒; 汽酒; 利口酒;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</si>
  <si>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AKK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</si>
  <si>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</si>
  <si>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 xml:space="preserve">DR.NOELLE 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艾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博士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</si>
  <si>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艾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博士（中国）医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跨国集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</si>
  <si>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果酒;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</si>
  <si>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举</t>
    </r>
  </si>
  <si>
    <t>万勇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</si>
  <si>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葡萄酒; 黄酒; 利口酒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</si>
  <si>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皛</t>
    </r>
    <r>
      <rPr>
        <sz val="11"/>
        <color theme="1"/>
        <rFont val="ＭＳ Ｐゴシック"/>
        <family val="3"/>
        <charset val="134"/>
        <scheme val="minor"/>
      </rPr>
      <t>汣</t>
    </r>
  </si>
  <si>
    <r>
      <t>德惠市德粮大曲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</si>
  <si>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米酒; 葡萄酒</t>
    </r>
  </si>
  <si>
    <r>
      <t>上海佰</t>
    </r>
    <r>
      <rPr>
        <sz val="11"/>
        <color theme="1"/>
        <rFont val="ＭＳ Ｐゴシック"/>
        <family val="3"/>
        <charset val="134"/>
        <scheme val="minor"/>
      </rPr>
      <t>亿联</t>
    </r>
    <r>
      <rPr>
        <sz val="11"/>
        <color theme="1"/>
        <rFont val="ＭＳ Ｐゴシック"/>
        <family val="3"/>
        <charset val="128"/>
        <scheme val="minor"/>
      </rPr>
      <t>科技（集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</si>
  <si>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</t>
    </r>
  </si>
  <si>
    <t>数康福</t>
  </si>
  <si>
    <r>
      <t>湖北神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架</t>
    </r>
    <r>
      <rPr>
        <sz val="11"/>
        <color theme="1"/>
        <rFont val="ＭＳ Ｐゴシック"/>
        <family val="3"/>
        <charset val="134"/>
        <scheme val="minor"/>
      </rPr>
      <t>丛</t>
    </r>
    <r>
      <rPr>
        <sz val="11"/>
        <color theme="1"/>
        <rFont val="ＭＳ Ｐゴシック"/>
        <family val="3"/>
        <charset val="128"/>
        <scheme val="minor"/>
      </rPr>
      <t>友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</si>
  <si>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</t>
    </r>
  </si>
  <si>
    <t>妃映</t>
  </si>
  <si>
    <r>
      <t>果酒（含酒精）; 白酒; 葡萄酒; 汽酒; 伏特加酒;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</si>
  <si>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从容好运</t>
  </si>
  <si>
    <r>
      <t>内蒙古王</t>
    </r>
    <r>
      <rPr>
        <sz val="11"/>
        <color theme="1"/>
        <rFont val="ＭＳ Ｐゴシック"/>
        <family val="3"/>
        <charset val="134"/>
        <scheme val="minor"/>
      </rPr>
      <t>爷</t>
    </r>
    <r>
      <rPr>
        <sz val="11"/>
        <color theme="1"/>
        <rFont val="ＭＳ Ｐゴシック"/>
        <family val="3"/>
        <charset val="128"/>
        <scheme val="minor"/>
      </rPr>
      <t>地</t>
    </r>
    <r>
      <rPr>
        <sz val="11"/>
        <color theme="1"/>
        <rFont val="ＭＳ Ｐゴシック"/>
        <family val="3"/>
        <charset val="134"/>
        <scheme val="minor"/>
      </rPr>
      <t>苁</t>
    </r>
    <r>
      <rPr>
        <sz val="11"/>
        <color theme="1"/>
        <rFont val="ＭＳ Ｐゴシック"/>
        <family val="3"/>
        <charset val="128"/>
        <scheme val="minor"/>
      </rPr>
      <t>蓉生物有限公司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</si>
  <si>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</t>
    </r>
  </si>
  <si>
    <r>
      <t>楚天</t>
    </r>
    <r>
      <rPr>
        <sz val="11"/>
        <color theme="1"/>
        <rFont val="ＭＳ Ｐゴシック"/>
        <family val="3"/>
        <charset val="134"/>
        <scheme val="minor"/>
      </rPr>
      <t>郧</t>
    </r>
  </si>
  <si>
    <r>
      <t>闵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</si>
  <si>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 xml:space="preserve">葡萄酒; 梨酒;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酸酒（低等葡萄酒）;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</t>
    </r>
  </si>
  <si>
    <t>深乾</t>
  </si>
  <si>
    <r>
      <t>周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</si>
  <si>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清酒（日本米酒）; 葡萄酒; 威士忌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</si>
  <si>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</si>
  <si>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爆网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科技（杭州）有限公司</t>
    </r>
  </si>
  <si>
    <r>
      <t xml:space="preserve">甜酒; 果酒; 烈酒; 黄酒; 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米酒; 白酒</t>
    </r>
  </si>
  <si>
    <r>
      <t>阿</t>
    </r>
    <r>
      <rPr>
        <sz val="11"/>
        <color theme="1"/>
        <rFont val="ＭＳ Ｐゴシック"/>
        <family val="3"/>
        <charset val="129"/>
        <scheme val="minor"/>
      </rPr>
      <t>咚</t>
    </r>
    <r>
      <rPr>
        <sz val="11"/>
        <color theme="1"/>
        <rFont val="ＭＳ Ｐゴシック"/>
        <family val="3"/>
        <charset val="128"/>
        <scheme val="minor"/>
      </rPr>
      <t>之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</si>
  <si>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市翠帆翡翠有限公司</t>
    </r>
  </si>
  <si>
    <t>高粱酒; 白酒; 青梅酒; 青稞酒; 果酒（含酒精）; 米酒; 露酒</t>
  </si>
  <si>
    <t>槐花井登高</t>
  </si>
  <si>
    <r>
      <t>四川槐花井酒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</si>
  <si>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清酒; 威士忌; 蜂蜜酒; 米酒;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</si>
  <si>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AHH</t>
  </si>
  <si>
    <r>
      <t>食用酒精;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</t>
    </r>
  </si>
  <si>
    <t>RONG TAI SUI</t>
  </si>
  <si>
    <r>
      <t>江西金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生物制品有限公司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</si>
  <si>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</si>
  <si>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福承年</t>
  </si>
  <si>
    <r>
      <t>青稞酒; 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白酒; 果酒（含酒精）; 薄荷酒; 米酒; 甜酒; 日式甜米酒;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</si>
  <si>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泉酒</t>
    </r>
  </si>
  <si>
    <r>
      <t>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白葡萄酒;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</t>
    </r>
  </si>
  <si>
    <t>HSS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</si>
  <si>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食用酒精; 果酒（含酒精）;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汽酒; 葡萄酒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</si>
  <si>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</si>
  <si>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小霞</t>
    </r>
  </si>
  <si>
    <r>
      <t>威士忌; 果酒（含酒精）; 葡萄酒;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</si>
  <si>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睿臻至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</si>
  <si>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睿臻（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岩）信息科技有限公司</t>
    </r>
  </si>
  <si>
    <r>
      <t xml:space="preserve">食用酒精; 果酒;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清酒; 高粱酒; 米酒</t>
    </r>
  </si>
  <si>
    <t>甲卓</t>
  </si>
  <si>
    <r>
      <t>四川甲着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</si>
  <si>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青稞酒</t>
    </r>
  </si>
  <si>
    <r>
      <t>槐花井望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</si>
  <si>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葡萄酒; 威士忌; 蜂蜜酒; 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</si>
  <si>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举</t>
    </r>
    <r>
      <rPr>
        <sz val="11"/>
        <color theme="1"/>
        <rFont val="ＭＳ Ｐゴシック"/>
        <family val="3"/>
        <charset val="128"/>
        <scheme val="minor"/>
      </rPr>
      <t>秘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</si>
  <si>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蜂蜜酒;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</si>
  <si>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三河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</si>
  <si>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江品牌管理集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</si>
  <si>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薄荷酒;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</si>
  <si>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沙黄 喜上梅梢沙黄</t>
  </si>
  <si>
    <r>
      <t>五米集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</si>
  <si>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米酒; 梅酒; 黄酒; 果酒; 高粱酒; 白酒</t>
  </si>
  <si>
    <r>
      <t>福建省宁德市粉白熊商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</si>
  <si>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苹果酒; 黄酒; 伏特加酒; 果酒（含酒精）; 白酒; 朗姆酒; 威士忌</t>
    </r>
  </si>
  <si>
    <r>
      <t>湾澳莱禧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</si>
  <si>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珠海市莱禧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</si>
  <si>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黄酒; 清酒;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</si>
  <si>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FMM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</si>
  <si>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蒸煮提取物（利口酒和烈酒）; 食用酒精; 开胃酒; 葡萄酒</t>
    </r>
  </si>
  <si>
    <t>森阳</t>
  </si>
  <si>
    <r>
      <t>云南森阳林木种植有限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</si>
  <si>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</si>
  <si>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商供</t>
    </r>
    <r>
      <rPr>
        <sz val="11"/>
        <color theme="1"/>
        <rFont val="ＭＳ Ｐゴシック"/>
        <family val="3"/>
        <charset val="134"/>
        <scheme val="minor"/>
      </rPr>
      <t>联</t>
    </r>
  </si>
  <si>
    <r>
      <t>亳州中支酒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</si>
  <si>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梨酒; 蜂蜜酒; 黄酒; 开胃酒; 葡萄酒;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白酒</t>
    </r>
  </si>
  <si>
    <t>奉旺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</si>
  <si>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蒸煮提取物（利口酒和烈酒）; 米酒; 黄酒;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</si>
  <si>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OVAJES</t>
  </si>
  <si>
    <r>
      <t>深圳市美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</si>
  <si>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葡萄酒; 甜果酒</t>
    </r>
  </si>
  <si>
    <r>
      <t>昆羽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圣</t>
    </r>
  </si>
  <si>
    <r>
      <t>九江中科瑞邦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</si>
  <si>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伏特加酒;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汽酒</t>
    </r>
  </si>
  <si>
    <r>
      <t>垫</t>
    </r>
    <r>
      <rPr>
        <sz val="11"/>
        <color theme="1"/>
        <rFont val="ＭＳ Ｐゴシック"/>
        <family val="3"/>
        <charset val="128"/>
        <scheme val="minor"/>
      </rPr>
      <t>白</t>
    </r>
  </si>
  <si>
    <t>易延</t>
  </si>
  <si>
    <r>
      <t>清酒;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食用酒精;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黑覆盆子酒; 露酒</t>
    </r>
  </si>
  <si>
    <r>
      <t>禾园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合</t>
    </r>
  </si>
  <si>
    <r>
      <t>光山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禾园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村土地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</si>
  <si>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白酒; 烈酒;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</si>
  <si>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KMM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</si>
  <si>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蒸煮提取物（利口酒和烈酒）; 食用酒精; 开胃酒; 苹果酒; 葡萄酒</t>
    </r>
  </si>
  <si>
    <r>
      <t>绎铭</t>
    </r>
    <r>
      <rPr>
        <sz val="11"/>
        <color theme="1"/>
        <rFont val="ＭＳ Ｐゴシック"/>
        <family val="3"/>
        <charset val="128"/>
        <scheme val="minor"/>
      </rPr>
      <t>富盛泉</t>
    </r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</si>
  <si>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簇八珍食品有限公司</t>
    </r>
  </si>
  <si>
    <r>
      <t>威士忌; 烈酒;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</si>
  <si>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利口酒; 果酒（含酒精）;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</si>
  <si>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ZIQUE TIANHE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</si>
  <si>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利口酒; 葡萄酒; 威士忌; 汽酒</t>
    </r>
  </si>
  <si>
    <r>
      <t>绎铭</t>
    </r>
    <r>
      <rPr>
        <sz val="11"/>
        <color theme="1"/>
        <rFont val="ＭＳ Ｐゴシック"/>
        <family val="3"/>
        <charset val="128"/>
        <scheme val="minor"/>
      </rPr>
      <t>广成当</t>
    </r>
  </si>
  <si>
    <r>
      <t>果酒（含酒精）; 开胃酒;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朗姆酒; 黄酒; 威士忌</t>
    </r>
  </si>
  <si>
    <t>拾黛</t>
  </si>
  <si>
    <t>郭明磊</t>
  </si>
  <si>
    <r>
      <t>青稞酒;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梨酒;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利口酒; 露酒; 清酒（日本米酒）; 梅酒</t>
    </r>
  </si>
  <si>
    <r>
      <t>觞</t>
    </r>
    <r>
      <rPr>
        <sz val="11"/>
        <color theme="1"/>
        <rFont val="ＭＳ Ｐゴシック"/>
        <family val="3"/>
        <charset val="128"/>
        <scheme val="minor"/>
      </rPr>
      <t>多多</t>
    </r>
  </si>
  <si>
    <r>
      <t>云南最品供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</si>
  <si>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米酒; 青稞酒;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黄酒; 杜松子酒; 果酒（含酒精）</t>
    </r>
  </si>
  <si>
    <t>DMM</t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</si>
  <si>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开胃酒;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果酒（含酒精）; 苹果酒</t>
    </r>
  </si>
  <si>
    <r>
      <t>悟空大圣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</si>
  <si>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山西青花古汾酒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</si>
  <si>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</t>
    </r>
  </si>
  <si>
    <r>
      <t>咸巴</t>
    </r>
    <r>
      <rPr>
        <sz val="11"/>
        <color theme="1"/>
        <rFont val="ＭＳ Ｐゴシック"/>
        <family val="3"/>
        <charset val="134"/>
        <scheme val="minor"/>
      </rPr>
      <t>兽</t>
    </r>
  </si>
  <si>
    <r>
      <t>京都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寿堂国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（石家庄）有限公司</t>
    </r>
  </si>
  <si>
    <r>
      <t>伏特加酒; 清酒（日本米酒）; 威士忌; 白酒; 米酒; 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</si>
  <si>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听杉</t>
  </si>
  <si>
    <r>
      <t>新</t>
    </r>
    <r>
      <rPr>
        <sz val="11"/>
        <color theme="1"/>
        <rFont val="ＭＳ Ｐゴシック"/>
        <family val="3"/>
        <charset val="134"/>
        <scheme val="minor"/>
      </rPr>
      <t>乡乐</t>
    </r>
    <r>
      <rPr>
        <sz val="11"/>
        <color theme="1"/>
        <rFont val="ＭＳ Ｐゴシック"/>
        <family val="3"/>
        <charset val="128"/>
        <scheme val="minor"/>
      </rPr>
      <t>享弘达商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</si>
  <si>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高粱酒; 米酒; 白干酒（中国白酒）; 葡萄酒; 开胃酒; 果酒（含酒精）;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</si>
  <si>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屹野</t>
  </si>
  <si>
    <r>
      <t>福州名隆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</si>
  <si>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薄荷酒; 苹果酒; 蜂蜜酒;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</si>
  <si>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瑞和福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</si>
  <si>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州君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</si>
  <si>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果酒; 高粱酒; 食用酒精; 烈酒; 开胃酒;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</si>
  <si>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原始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洲</t>
    </r>
  </si>
  <si>
    <t>韩飞飞</t>
  </si>
  <si>
    <t>开胃酒; 清酒; 果酒; 食用酒精; 葡萄酒; 汽酒; 白酒; 米酒; 甜酒; 黄酒</t>
  </si>
  <si>
    <r>
      <t>湖畔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荷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</si>
  <si>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步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</si>
  <si>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米酒;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甜果酒</t>
    </r>
  </si>
  <si>
    <t>ESS</t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</si>
  <si>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白酒; 蒸煮提取物（利口酒和烈酒）;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葡萄酒</t>
    </r>
  </si>
  <si>
    <t>弈都</t>
  </si>
  <si>
    <r>
      <t>美味可可餐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</si>
  <si>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</si>
  <si>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普森</t>
    </r>
  </si>
  <si>
    <r>
      <t>果酒（含酒精）; 葡萄酒;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杜松子酒; 伏特加酒; 朗姆酒</t>
    </r>
  </si>
  <si>
    <r>
      <t>朗士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</si>
  <si>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伏特加酒;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朗姆酒; 杜松子酒</t>
    </r>
  </si>
  <si>
    <t>GREE MAY</t>
  </si>
  <si>
    <r>
      <t>珠海格力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器股份有限公司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</si>
  <si>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</si>
  <si>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JXX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</si>
  <si>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汽酒; 果酒（含酒精）; 蒸煮提取物（利口酒和烈酒）;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苦味酒</t>
    </r>
  </si>
  <si>
    <r>
      <t>朗山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</si>
  <si>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杭州郎山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健康管理有限公司</t>
    </r>
  </si>
  <si>
    <r>
      <t>苹果酒;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葡萄酒; 白酒; 白葡萄酒; 清酒（日本米酒）</t>
    </r>
  </si>
  <si>
    <t>粉白熊</t>
  </si>
  <si>
    <r>
      <t>威士忌; 苹果酒; 朗姆酒; 果酒（含酒精）; 米酒; 葡萄酒; 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</si>
  <si>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坝库</t>
  </si>
  <si>
    <r>
      <t>江城勐康众</t>
    </r>
    <r>
      <rPr>
        <sz val="11"/>
        <color theme="1"/>
        <rFont val="ＭＳ Ｐゴシック"/>
        <family val="3"/>
        <charset val="134"/>
        <scheme val="minor"/>
      </rPr>
      <t>联农业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</si>
  <si>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青梅酒; 食用酒精; 白酒; 果酒; 咖啡利口酒; 米酒; 白葡萄酒; 白干酒（中国白酒）;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</si>
  <si>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紫</t>
    </r>
    <r>
      <rPr>
        <sz val="11"/>
        <color theme="1"/>
        <rFont val="ＭＳ Ｐゴシック"/>
        <family val="3"/>
        <charset val="134"/>
        <scheme val="minor"/>
      </rPr>
      <t>阙</t>
    </r>
    <r>
      <rPr>
        <sz val="11"/>
        <color theme="1"/>
        <rFont val="ＭＳ Ｐゴシック"/>
        <family val="3"/>
        <charset val="128"/>
        <scheme val="minor"/>
      </rPr>
      <t>云鼎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</si>
  <si>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汽酒; 果酒（含酒精）</t>
    </r>
  </si>
  <si>
    <r>
      <t>九天正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</si>
  <si>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翠文化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中心有限公司</t>
    </r>
  </si>
  <si>
    <r>
      <t>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米酒</t>
    </r>
  </si>
  <si>
    <t>PZZ</t>
  </si>
  <si>
    <r>
      <t>高家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</si>
  <si>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白酒; 葡萄酒;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威士忌</t>
    </r>
  </si>
  <si>
    <r>
      <t>普吉</t>
    </r>
    <r>
      <rPr>
        <sz val="11"/>
        <color theme="1"/>
        <rFont val="ＭＳ Ｐゴシック"/>
        <family val="3"/>
        <charset val="134"/>
        <scheme val="minor"/>
      </rPr>
      <t>诺</t>
    </r>
  </si>
  <si>
    <r>
      <t>果酒（含酒精）; 葡萄酒; 汽酒; 杜松子酒;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朗姆酒; 白酒</t>
    </r>
  </si>
  <si>
    <r>
      <t>坤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</si>
  <si>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河津市威清生物科技有限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</si>
  <si>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青稞酒; 高粱酒;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</si>
  <si>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禧悦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</si>
  <si>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江恒念食品有限公司</t>
    </r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</si>
  <si>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</si>
  <si>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会鑫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</si>
  <si>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州鑫程企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</si>
  <si>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烈酒; 高粱酒;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</si>
  <si>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韵酒九州</t>
    </r>
  </si>
  <si>
    <t>冉慧</t>
  </si>
  <si>
    <r>
      <t>高粱酒;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烈酒; 葡萄酒;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</si>
  <si>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槐花井老川</t>
  </si>
  <si>
    <r>
      <t>开胃酒; 威士忌;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蜂蜜酒</t>
    </r>
  </si>
  <si>
    <t>XZZ</t>
  </si>
  <si>
    <r>
      <t>伏特加酒; 葡萄酒; 清酒; 蒸煮提取物（利口酒和烈酒）; 梅酒;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</t>
    </r>
  </si>
  <si>
    <r>
      <t>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</si>
  <si>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威士忌;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果酒（含酒精）</t>
    </r>
  </si>
  <si>
    <t>OUEJAS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</si>
  <si>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清酒</t>
    </r>
  </si>
  <si>
    <t>寿极芝</t>
  </si>
  <si>
    <r>
      <t>京都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寿堂品牌管理（石家庄）合伙企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</si>
  <si>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青稞酒; 清酒; 威士忌;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汽酒; 米酒</t>
    </r>
  </si>
  <si>
    <r>
      <t>谷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来</t>
    </r>
  </si>
  <si>
    <t>秦多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</si>
  <si>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白酒; 葡萄酒;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烈酒; 白干酒（中国白酒）</t>
    </r>
  </si>
  <si>
    <t>井江河</t>
  </si>
  <si>
    <t>余江</t>
  </si>
  <si>
    <r>
      <t xml:space="preserve">餐后酒（利口酒和烈酒）;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</si>
  <si>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公聚昌</t>
  </si>
  <si>
    <r>
      <t>威士忌; 朗姆酒; 白酒; 葡萄酒;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</si>
  <si>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苝</t>
    </r>
    <r>
      <rPr>
        <sz val="11"/>
        <color theme="1"/>
        <rFont val="ＭＳ Ｐゴシック"/>
        <family val="3"/>
        <charset val="128"/>
        <scheme val="minor"/>
      </rPr>
      <t>川</t>
    </r>
  </si>
  <si>
    <r>
      <t>北川聚</t>
    </r>
    <r>
      <rPr>
        <sz val="11"/>
        <color theme="1"/>
        <rFont val="ＭＳ Ｐゴシック"/>
        <family val="3"/>
        <charset val="134"/>
        <scheme val="minor"/>
      </rPr>
      <t>农农业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</si>
  <si>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</si>
  <si>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PLUS ELECTRO X 粒刻</t>
  </si>
  <si>
    <t>上海翰猿科技有限公司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</si>
  <si>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开胃酒; 米酒; 餐后酒（利口酒和烈酒）</t>
    </r>
  </si>
  <si>
    <r>
      <t>宇宁</t>
    </r>
    <r>
      <rPr>
        <sz val="11"/>
        <color theme="1"/>
        <rFont val="ＭＳ Ｐゴシック"/>
        <family val="3"/>
        <charset val="134"/>
        <scheme val="minor"/>
      </rPr>
      <t>观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</si>
  <si>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汀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</si>
  <si>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果酒; 白酒;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</si>
  <si>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湾澳莱福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</si>
  <si>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烈酒;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</si>
  <si>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赤平窖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</si>
  <si>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</si>
  <si>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衡昌福大</t>
  </si>
  <si>
    <r>
      <t>白干酒（中国白酒）; 白酒; 蒸煮提取物（利口酒和烈酒）; 高粱酒; 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五加皮酒（中国混合烈酒）;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</si>
  <si>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博菲妮</t>
    </r>
  </si>
  <si>
    <r>
      <t>葡萄酒; 汽酒; 米酒; 杜松子酒; 白酒;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</t>
    </r>
  </si>
  <si>
    <t>富士元</t>
  </si>
  <si>
    <r>
      <t>绵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鲸诺</t>
    </r>
    <r>
      <rPr>
        <sz val="11"/>
        <color theme="1"/>
        <rFont val="ＭＳ Ｐゴシック"/>
        <family val="3"/>
        <charset val="128"/>
        <scheme val="minor"/>
      </rPr>
      <t>良品商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</si>
  <si>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梅酒; 蒸煮提取物（利口酒和烈酒）;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</t>
    </r>
  </si>
  <si>
    <t>卿大哥</t>
  </si>
  <si>
    <r>
      <t>上海味君子食品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</si>
  <si>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青稞酒; 酸酒（低等葡萄酒）;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食用酒精; 汽酒</t>
    </r>
  </si>
  <si>
    <r>
      <t>时间</t>
    </r>
    <r>
      <rPr>
        <sz val="11"/>
        <color theme="1"/>
        <rFont val="ＭＳ Ｐゴシック"/>
        <family val="3"/>
        <charset val="128"/>
        <scheme val="minor"/>
      </rPr>
      <t>答案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</si>
  <si>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新安德集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</si>
  <si>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白酒; 清酒（日本米酒）; 朗姆酒; 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</si>
  <si>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上海大</t>
    </r>
    <r>
      <rPr>
        <sz val="11"/>
        <color theme="1"/>
        <rFont val="ＭＳ Ｐゴシック"/>
        <family val="3"/>
        <charset val="134"/>
        <scheme val="minor"/>
      </rPr>
      <t>润发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</si>
  <si>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清酒（日本米酒）; 利口酒;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果酒（含酒精）; 朗姆酒</t>
    </r>
  </si>
  <si>
    <t>舜天下</t>
  </si>
  <si>
    <r>
      <t>南阳舜天下酒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</si>
  <si>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烈酒; 黄酒; 清酒;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</si>
  <si>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芷郁</t>
  </si>
  <si>
    <t>胡春燕</t>
  </si>
  <si>
    <r>
      <t>清酒（日本米酒）; 威士忌;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</si>
  <si>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路承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</si>
  <si>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市百家福商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</si>
  <si>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</si>
  <si>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灵爵</t>
  </si>
  <si>
    <t>郭海涛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</si>
  <si>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伏特加酒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</si>
  <si>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</si>
  <si>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昌源酒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</si>
  <si>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黄酒; 白酒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</si>
  <si>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吾福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</si>
  <si>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（北京）健康科技有限公司</t>
    </r>
  </si>
  <si>
    <r>
      <t xml:space="preserve">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白酒; 甜果酒;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果酒（含酒精）</t>
    </r>
  </si>
  <si>
    <t>彰邑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</si>
  <si>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州邀朋君酒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</si>
  <si>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</si>
  <si>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农垦</t>
    </r>
    <r>
      <rPr>
        <sz val="11"/>
        <color theme="1"/>
        <rFont val="ＭＳ Ｐゴシック"/>
        <family val="3"/>
        <charset val="128"/>
        <scheme val="minor"/>
      </rPr>
      <t>年代</t>
    </r>
  </si>
  <si>
    <r>
      <t>中糖大荒健康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（北京）股份有限公司</t>
    </r>
  </si>
  <si>
    <r>
      <t xml:space="preserve">开胃酒;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露酒;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</si>
  <si>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延城成功</t>
  </si>
  <si>
    <r>
      <t>南平市源</t>
    </r>
    <r>
      <rPr>
        <sz val="11"/>
        <color theme="1"/>
        <rFont val="ＭＳ Ｐゴシック"/>
        <family val="3"/>
        <charset val="134"/>
        <scheme val="minor"/>
      </rPr>
      <t>闽</t>
    </r>
    <r>
      <rPr>
        <sz val="11"/>
        <color theme="1"/>
        <rFont val="ＭＳ Ｐゴシック"/>
        <family val="3"/>
        <charset val="128"/>
        <scheme val="minor"/>
      </rPr>
      <t>北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</si>
  <si>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</si>
  <si>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甲古酒坊</t>
  </si>
  <si>
    <t>方明亮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</si>
  <si>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</si>
  <si>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河涌泉</t>
    </r>
  </si>
  <si>
    <r>
      <t>北京忠玖企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</si>
  <si>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米酒; 葡萄酒</t>
    </r>
  </si>
  <si>
    <t>酉星火</t>
  </si>
  <si>
    <r>
      <t>杨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</si>
  <si>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黄酒; 果酒(含酒精);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料);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清酒(日本米酒); 白酒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</si>
  <si>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托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</si>
  <si>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化盈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</si>
  <si>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烈酒;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餐后酒（利口酒和烈酒）</t>
    </r>
  </si>
  <si>
    <t>悦蓉城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</si>
  <si>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州新孟达酒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</si>
  <si>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清酒（日本米酒）; 开胃酒; 食用酒精;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</si>
  <si>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DANIELLEEN</t>
  </si>
  <si>
    <t>黄昌智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</si>
  <si>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威士忌;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</si>
  <si>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盛兔帮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</si>
  <si>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</si>
  <si>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</t>
    </r>
  </si>
  <si>
    <r>
      <t>蒂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雅邑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</si>
  <si>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金明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</si>
  <si>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果酒（含酒精）; 白酒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</si>
  <si>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润发</t>
    </r>
  </si>
  <si>
    <r>
      <t xml:space="preserve">葡萄酒;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清酒（日本米酒）;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白葡萄酒; 朗姆酒; 果酒（含酒精）</t>
    </r>
  </si>
  <si>
    <r>
      <t>窖灶</t>
    </r>
    <r>
      <rPr>
        <sz val="11"/>
        <color theme="1"/>
        <rFont val="ＭＳ Ｐゴシック"/>
        <family val="3"/>
        <charset val="134"/>
        <scheme val="minor"/>
      </rPr>
      <t>头</t>
    </r>
  </si>
  <si>
    <t>吴秀成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</si>
  <si>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米酒; 清酒; 白酒; 黄酒; 露酒; 果酒; 葡萄酒</t>
    </r>
  </si>
  <si>
    <t>鑫美泉</t>
  </si>
  <si>
    <r>
      <t>延安美泉酒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</si>
  <si>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白干酒（中国白酒）;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</si>
  <si>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咸亨金宵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</si>
  <si>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咸亨酒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</si>
  <si>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</t>
    </r>
  </si>
  <si>
    <t>觥能星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</si>
  <si>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市和光同</t>
    </r>
    <r>
      <rPr>
        <sz val="11"/>
        <color theme="1"/>
        <rFont val="ＭＳ Ｐゴシック"/>
        <family val="3"/>
        <charset val="134"/>
        <scheme val="minor"/>
      </rPr>
      <t>尘电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</si>
  <si>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薄荷酒; 开胃酒; 含酒精的气泡水; 白酒; 米酒; 黄酒; 果酒（含酒精）; 葡萄酒; 清酒（日本米酒）; 青稞酒</t>
  </si>
  <si>
    <t>丹妮琳</t>
  </si>
  <si>
    <r>
      <t xml:space="preserve">黄酒; 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</si>
  <si>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巴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·澳富庄园</t>
    </r>
  </si>
  <si>
    <r>
      <t>杭州鑫特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</si>
  <si>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</si>
  <si>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普湖</t>
  </si>
  <si>
    <r>
      <t>贾</t>
    </r>
    <r>
      <rPr>
        <sz val="11"/>
        <color theme="1"/>
        <rFont val="ＭＳ Ｐゴシック"/>
        <family val="3"/>
        <charset val="128"/>
        <scheme val="minor"/>
      </rPr>
      <t>茂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</si>
  <si>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利口酒; 葡萄酒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</si>
  <si>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漓</t>
    </r>
  </si>
  <si>
    <r>
      <t>金力餐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</si>
  <si>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米酒;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</si>
  <si>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州尚意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</si>
  <si>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照文化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</si>
  <si>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清酒; 白酒; 黄酒;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</si>
  <si>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玺贡</t>
    </r>
    <r>
      <rPr>
        <sz val="11"/>
        <color theme="1"/>
        <rFont val="ＭＳ Ｐゴシック"/>
        <family val="3"/>
        <charset val="128"/>
        <scheme val="minor"/>
      </rPr>
      <t>皇藏</t>
    </r>
  </si>
  <si>
    <t>李宇阳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</si>
  <si>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</si>
  <si>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清号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</si>
  <si>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</si>
  <si>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爱玛</t>
    </r>
    <r>
      <rPr>
        <sz val="11"/>
        <color theme="1"/>
        <rFont val="ＭＳ Ｐゴシック"/>
        <family val="3"/>
        <charset val="128"/>
        <scheme val="minor"/>
      </rPr>
      <t>士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菲</t>
    </r>
  </si>
  <si>
    <t>姜城******************</t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</si>
  <si>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蒸煮提取物（利口酒和烈酒）; 酸酒（低等葡萄酒）;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</si>
  <si>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京憨憨</t>
  </si>
  <si>
    <r>
      <t>周文</t>
    </r>
    <r>
      <rPr>
        <sz val="11"/>
        <color theme="1"/>
        <rFont val="ＭＳ Ｐゴシック"/>
        <family val="3"/>
        <charset val="134"/>
        <scheme val="minor"/>
      </rPr>
      <t>凯</t>
    </r>
  </si>
  <si>
    <t>甜酒; 黄酒; 清酒; 葡萄酒; 食用酒精; 汽酒; 白酒; 米酒; 开胃酒; 果酒</t>
  </si>
  <si>
    <r>
      <t>濠品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</si>
  <si>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广州市濠品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</si>
  <si>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甜酒;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果酒; 威士忌; 黄酒; 青稞酒</t>
    </r>
  </si>
  <si>
    <t>北京港茅科技有限公司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</si>
  <si>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葡萄酒; 清酒（日本米酒）;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</si>
  <si>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t>悦花里</t>
  </si>
  <si>
    <r>
      <t>李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</si>
  <si>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威士忌;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</si>
  <si>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</si>
  <si>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白酒</t>
    </r>
  </si>
  <si>
    <t>WHIDY</t>
  </si>
  <si>
    <r>
      <t>藏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酒庄（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</si>
  <si>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白酒; 葡萄酒; 混合威士忌酒;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烈酒;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</si>
  <si>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滋滋</t>
    </r>
  </si>
  <si>
    <r>
      <t>芦溪</t>
    </r>
    <r>
      <rPr>
        <sz val="11"/>
        <color theme="1"/>
        <rFont val="ＭＳ Ｐゴシック"/>
        <family val="3"/>
        <charset val="134"/>
        <scheme val="minor"/>
      </rPr>
      <t>县农业农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</si>
  <si>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汽酒; 果酒; 米酒; 白酒</t>
    </r>
  </si>
  <si>
    <t>盛兔</t>
  </si>
  <si>
    <r>
      <t xml:space="preserve">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烈酒;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</si>
  <si>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程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三瑞</t>
    </r>
  </si>
  <si>
    <r>
      <t>程恩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</si>
  <si>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</t>
    </r>
  </si>
  <si>
    <r>
      <t>明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大夏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</si>
  <si>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葡萄酒; 米酒; 果酒（含酒精）;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</si>
  <si>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苏坞</t>
  </si>
  <si>
    <t>唐生林</t>
  </si>
  <si>
    <r>
      <t xml:space="preserve">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葡萄酒; 白酒; 清酒</t>
    </r>
  </si>
  <si>
    <t>悦新蓉城</t>
  </si>
  <si>
    <r>
      <t>开胃酒; 利口酒;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</si>
  <si>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t>西更道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</si>
  <si>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南禧舍文化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</si>
  <si>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米酒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</si>
  <si>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酒庄</t>
    </r>
  </si>
  <si>
    <t>何春林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</si>
  <si>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蒸煮提取物（利口酒和烈酒）; 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白酒</t>
    </r>
  </si>
  <si>
    <t>喀普斯浪布英</t>
  </si>
  <si>
    <r>
      <t>常玉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</si>
  <si>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白干酒（中国白酒）; 混合威士忌酒;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葡萄酒; 烈酒; 白葡萄酒; 朗姆酒; 白酒</t>
    </r>
  </si>
  <si>
    <t>威崎士</t>
  </si>
  <si>
    <r>
      <t>福建雲水酒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</si>
  <si>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葡萄酒; 梅酒; 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清酒; 威士忌</t>
    </r>
  </si>
  <si>
    <r>
      <t>内蒙古米村粮油食品商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</si>
  <si>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白酒;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</si>
  <si>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甲古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</si>
  <si>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</si>
  <si>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弘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</si>
  <si>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市弘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</si>
  <si>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</si>
  <si>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t>映京台九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</si>
  <si>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</t>
    </r>
  </si>
  <si>
    <t>咸亨金宵一刻</t>
  </si>
  <si>
    <r>
      <t>米酒;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</t>
    </r>
  </si>
  <si>
    <t>晋尊天下</t>
  </si>
  <si>
    <r>
      <t>翟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普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</si>
  <si>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果酒（含酒精）;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</si>
  <si>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澳巴莎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</si>
  <si>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>烟台白洋河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</si>
  <si>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利口酒; 开胃酒;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</si>
  <si>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熳品雅酌</t>
  </si>
  <si>
    <r>
      <t>张</t>
    </r>
    <r>
      <rPr>
        <sz val="11"/>
        <color theme="1"/>
        <rFont val="ＭＳ Ｐゴシック"/>
        <family val="3"/>
        <charset val="128"/>
        <scheme val="minor"/>
      </rPr>
      <t>熳熳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</si>
  <si>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烈酒; 利口酒</t>
    </r>
  </si>
  <si>
    <t>北窗高卧</t>
  </si>
  <si>
    <r>
      <t>北京快雪文化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</si>
  <si>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</si>
  <si>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小乎</t>
    </r>
    <r>
      <rPr>
        <sz val="11"/>
        <color theme="1"/>
        <rFont val="ＭＳ Ｐゴシック"/>
        <family val="3"/>
        <charset val="134"/>
        <scheme val="minor"/>
      </rPr>
      <t>谭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</si>
  <si>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</si>
  <si>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周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</si>
  <si>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庆贤</t>
    </r>
    <r>
      <rPr>
        <sz val="11"/>
        <color theme="1"/>
        <rFont val="ＭＳ Ｐゴシック"/>
        <family val="3"/>
        <charset val="128"/>
        <scheme val="minor"/>
      </rPr>
      <t>二科技有限公司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</si>
  <si>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白干酒（中国白酒）; 米酒</t>
    </r>
  </si>
  <si>
    <r>
      <t>共</t>
    </r>
    <r>
      <rPr>
        <sz val="11"/>
        <color theme="1"/>
        <rFont val="ＭＳ Ｐゴシック"/>
        <family val="3"/>
        <charset val="134"/>
        <scheme val="minor"/>
      </rPr>
      <t>济岛</t>
    </r>
  </si>
  <si>
    <t>解日宏</t>
  </si>
  <si>
    <r>
      <t>高粱酒; 葡萄酒;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</si>
  <si>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斌翔</t>
  </si>
  <si>
    <t>董理想</t>
  </si>
  <si>
    <r>
      <t>蒸煮提取物（利口酒和烈酒）;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开胃酒; 白酒; 利口酒</t>
    </r>
  </si>
  <si>
    <t>好道佳</t>
  </si>
  <si>
    <r>
      <t>北京好道佳供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</si>
  <si>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</si>
  <si>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中壹星城</t>
  </si>
  <si>
    <t>石晚良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</si>
  <si>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果酒; 黄酒; 清酒; 食用酒精;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</si>
  <si>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威地</t>
  </si>
  <si>
    <r>
      <t>威士忌; 果酒（含酒精）; 烈酒; 白酒; 混合威士忌酒;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</si>
  <si>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诗轩</t>
    </r>
    <r>
      <rPr>
        <sz val="11"/>
        <color theme="1"/>
        <rFont val="ＭＳ Ｐゴシック"/>
        <family val="3"/>
        <charset val="128"/>
        <scheme val="minor"/>
      </rPr>
      <t>雅邑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</si>
  <si>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朗姆酒;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</t>
    </r>
  </si>
  <si>
    <r>
      <t>鹏</t>
    </r>
    <r>
      <rPr>
        <sz val="11"/>
        <color theme="1"/>
        <rFont val="ＭＳ Ｐゴシック"/>
        <family val="3"/>
        <charset val="128"/>
        <scheme val="minor"/>
      </rPr>
      <t>宇天祥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</si>
  <si>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肃鹏</t>
    </r>
    <r>
      <rPr>
        <sz val="11"/>
        <color theme="1"/>
        <rFont val="ＭＳ Ｐゴシック"/>
        <family val="3"/>
        <charset val="128"/>
        <scheme val="minor"/>
      </rPr>
      <t>宇天祥建筑安装有限公司</t>
    </r>
  </si>
  <si>
    <r>
      <t>米酒; 高粱酒;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</si>
  <si>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斑</t>
    </r>
    <r>
      <rPr>
        <sz val="11"/>
        <color theme="1"/>
        <rFont val="ＭＳ Ｐゴシック"/>
        <family val="3"/>
        <charset val="134"/>
        <scheme val="minor"/>
      </rPr>
      <t>马仓</t>
    </r>
  </si>
  <si>
    <r>
      <t>高粱酒;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</si>
  <si>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楼香裕园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</si>
  <si>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造甲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崔梅家庭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</si>
  <si>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葡萄酒; 白酒; 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米酒</t>
    </r>
  </si>
  <si>
    <t>州逍遥十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</si>
  <si>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葡萄酒; 黄酒; 青稞酒; 食用酒精;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</t>
    </r>
  </si>
  <si>
    <t>明姑仙子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</si>
  <si>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莱</t>
    </r>
    <r>
      <rPr>
        <sz val="11"/>
        <color theme="1"/>
        <rFont val="ＭＳ Ｐゴシック"/>
        <family val="3"/>
        <charset val="134"/>
        <scheme val="minor"/>
      </rPr>
      <t>芜</t>
    </r>
    <r>
      <rPr>
        <sz val="11"/>
        <color theme="1"/>
        <rFont val="ＭＳ Ｐゴシック"/>
        <family val="3"/>
        <charset val="128"/>
        <scheme val="minor"/>
      </rPr>
      <t>大明姑乳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</si>
  <si>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汽酒;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苹果酒</t>
    </r>
  </si>
  <si>
    <t>杏册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</si>
  <si>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</si>
  <si>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海盟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</si>
  <si>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海新通道运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</si>
  <si>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</t>
    </r>
  </si>
  <si>
    <r>
      <t>绥</t>
    </r>
    <r>
      <rPr>
        <sz val="11"/>
        <color theme="1"/>
        <rFont val="ＭＳ Ｐゴシック"/>
        <family val="3"/>
        <charset val="128"/>
        <scheme val="minor"/>
      </rPr>
      <t>武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</si>
  <si>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义飞</t>
    </r>
    <r>
      <rPr>
        <sz val="11"/>
        <color theme="1"/>
        <rFont val="ＭＳ Ｐゴシック"/>
        <family val="3"/>
        <charset val="128"/>
        <scheme val="minor"/>
      </rPr>
      <t>熊入梦文化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</si>
  <si>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葡萄酒; 蜂蜜酒; 青稞酒;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露酒;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</si>
  <si>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巴山柔毛</t>
  </si>
  <si>
    <r>
      <t>绵</t>
    </r>
    <r>
      <rPr>
        <sz val="11"/>
        <color theme="1"/>
        <rFont val="ＭＳ Ｐゴシック"/>
        <family val="3"/>
        <charset val="128"/>
        <scheme val="minor"/>
      </rPr>
      <t>阳百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</si>
  <si>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</si>
  <si>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t>㑞台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</si>
  <si>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</si>
  <si>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明方式</t>
  </si>
  <si>
    <r>
      <t>过</t>
    </r>
    <r>
      <rPr>
        <sz val="11"/>
        <color theme="1"/>
        <rFont val="ＭＳ Ｐゴシック"/>
        <family val="3"/>
        <charset val="128"/>
        <scheme val="minor"/>
      </rPr>
      <t>得好（山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</si>
  <si>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黄酒; 清酒; 果酒（含酒精）;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白酒</t>
    </r>
  </si>
  <si>
    <r>
      <t>细桥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</si>
  <si>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李小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</si>
  <si>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 xml:space="preserve">米酒; 利口酒; 果酒;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</t>
    </r>
  </si>
  <si>
    <t>艾麦奇</t>
  </si>
  <si>
    <r>
      <t>乌鲁</t>
    </r>
    <r>
      <rPr>
        <sz val="11"/>
        <color theme="1"/>
        <rFont val="ＭＳ Ｐゴシック"/>
        <family val="3"/>
        <charset val="128"/>
        <scheme val="minor"/>
      </rPr>
      <t>木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仟嘉福商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</si>
  <si>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白酒</t>
    </r>
  </si>
  <si>
    <r>
      <t>昆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乾坤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</si>
  <si>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幼津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</si>
  <si>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葡萄酒;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黄酒; 白酒; 开胃酒</t>
    </r>
  </si>
  <si>
    <t>鹿自在</t>
  </si>
  <si>
    <r>
      <t>谭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</si>
  <si>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利口酒;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蜂蜜酒</t>
    </r>
  </si>
  <si>
    <r>
      <t>优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</si>
  <si>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保林</t>
    </r>
  </si>
  <si>
    <r>
      <t>清酒; 白酒; 汽酒; 米酒;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</si>
  <si>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柔姑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</si>
  <si>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昌市魏都区支路百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</si>
  <si>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</si>
  <si>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祥</t>
    </r>
  </si>
  <si>
    <t>林楚城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</si>
  <si>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果酒（含酒精）; 威士忌; 烈酒; 葡萄酒</t>
    </r>
  </si>
  <si>
    <t>百越庭</t>
  </si>
  <si>
    <r>
      <t>曾子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</si>
  <si>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开胃酒; 白酒; 黄酒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</si>
  <si>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总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</si>
  <si>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开胃酒; 白干酒（中国白酒）; 清酒; 利口酒; 果酒（含酒精）</t>
    </r>
  </si>
  <si>
    <t>天蜓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</si>
  <si>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利口酒; 汽酒; 米酒; 黄酒; 果酒（含酒精）</t>
    </r>
  </si>
  <si>
    <t>玖君将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</si>
  <si>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州玖君酒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</si>
  <si>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食用酒精; 蜂蜜酒; 果酒（含酒精）; 烈酒</t>
    </r>
  </si>
  <si>
    <t>漓逍</t>
  </si>
  <si>
    <r>
      <t>许</t>
    </r>
    <r>
      <rPr>
        <sz val="11"/>
        <color theme="1"/>
        <rFont val="ＭＳ Ｐゴシック"/>
        <family val="3"/>
        <charset val="128"/>
        <scheme val="minor"/>
      </rPr>
      <t>昌市魏都区柯蒂百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零售行（个体工商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</si>
  <si>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白酒; 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</si>
  <si>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漓庄酒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</si>
  <si>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 xml:space="preserve">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</si>
  <si>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赫文集</t>
  </si>
  <si>
    <t>黄南南</t>
  </si>
  <si>
    <r>
      <t>含酒精的气泡水;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米酒; 白酒;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</t>
    </r>
  </si>
  <si>
    <t>慈都家</t>
  </si>
  <si>
    <r>
      <t>邹庆</t>
    </r>
    <r>
      <rPr>
        <sz val="11"/>
        <color theme="1"/>
        <rFont val="ＭＳ Ｐゴシック"/>
        <family val="3"/>
        <charset val="128"/>
        <scheme val="minor"/>
      </rPr>
      <t>苗</t>
    </r>
  </si>
  <si>
    <r>
      <t>果酒; 葡萄酒; 白酒;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</si>
  <si>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江月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</si>
  <si>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黄酒; 葡萄酒; 开胃酒; 白酒; 果酒（含酒精）; 清酒</t>
    </r>
  </si>
  <si>
    <r>
      <t>琳琅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</si>
  <si>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果酒（含酒精）; 开胃酒;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</si>
  <si>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r>
      <t>漓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</si>
  <si>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米酒; 黄酒;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</t>
    </r>
  </si>
  <si>
    <t>魔法御医</t>
  </si>
  <si>
    <r>
      <t>白酒; 蜂蜜酒; 葡萄酒; 果酒（含酒精）;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</t>
    </r>
  </si>
  <si>
    <t>SHEENLULU</t>
  </si>
  <si>
    <r>
      <t>赵</t>
    </r>
    <r>
      <rPr>
        <sz val="11"/>
        <color theme="1"/>
        <rFont val="ＭＳ Ｐゴシック"/>
        <family val="3"/>
        <charset val="128"/>
        <scheme val="minor"/>
      </rPr>
      <t>中秋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</si>
  <si>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清酒; 葡萄酒; 白葡萄酒;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</si>
  <si>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君盖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</si>
  <si>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利口酒; 白干酒（中国白酒）; 清酒; 葡萄酒; 白酒</t>
    </r>
  </si>
  <si>
    <r>
      <t>蒙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沁</t>
    </r>
  </si>
  <si>
    <t>于洪生</t>
  </si>
  <si>
    <r>
      <t>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蒸煮提取物（利口酒和烈酒）;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</si>
  <si>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元和匠人酒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</si>
  <si>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元和酒厂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</si>
  <si>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伏特加酒; 白酒; 清酒（日本米酒）; 甜果酒; 米酒; 高粱酒; 黄酒</t>
    </r>
  </si>
  <si>
    <t>原食社会</t>
  </si>
  <si>
    <r>
      <t xml:space="preserve">果酒（含酒精）; 清酒; 黄酒; 利口酒; 葡萄酒; 白酒; 白干酒（中国白酒）;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</si>
  <si>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BEKE</t>
  </si>
  <si>
    <r>
      <t>李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</si>
  <si>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白酒; 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</t>
    </r>
  </si>
  <si>
    <t>漓潭</t>
  </si>
  <si>
    <r>
      <t xml:space="preserve">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</si>
  <si>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r>
      <t>心得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</si>
  <si>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果酒（含酒精）; 黄酒; 利口酒; 葡萄酒; 白干酒（中国白酒）; 开胃酒; 清酒;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</si>
  <si>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黔仲福地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</si>
  <si>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市甘氏酒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</si>
  <si>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刺五加酒;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</si>
  <si>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黔舌</t>
  </si>
  <si>
    <r>
      <t xml:space="preserve">米酒; 烈酒;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</t>
    </r>
  </si>
  <si>
    <r>
      <t>馨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李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</si>
  <si>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</si>
  <si>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</si>
  <si>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魂</t>
    </r>
  </si>
  <si>
    <r>
      <t>福建国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</si>
  <si>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黄酒;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</si>
  <si>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酒复春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</si>
  <si>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州黔心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</si>
  <si>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果酒; 烈性干酒; 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白酒</t>
    </r>
  </si>
  <si>
    <r>
      <t>梅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波峰泉</t>
    </r>
  </si>
  <si>
    <r>
      <t>苍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梅岭酒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</si>
  <si>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水果汽酒; 果酒; 青稞酒; 开胃酒; 梅酒</t>
    </r>
  </si>
  <si>
    <r>
      <t>壶头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</si>
  <si>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永嘉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三江街道泉客酒厂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</si>
  <si>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</si>
  <si>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LAMIAMAMMA</t>
  </si>
  <si>
    <r>
      <t>王</t>
    </r>
    <r>
      <rPr>
        <sz val="11"/>
        <color theme="1"/>
        <rFont val="ＭＳ Ｐゴシック"/>
        <family val="3"/>
        <charset val="134"/>
        <scheme val="minor"/>
      </rPr>
      <t>劲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</si>
  <si>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>果酒（含酒精）;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</t>
    </r>
  </si>
  <si>
    <t>HEHE LEGEND</t>
  </si>
  <si>
    <r>
      <t>北京藏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</si>
  <si>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葡萄酒;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清酒; 白干酒（中国白酒）; 高粱酒; 甜酒; 果酒</t>
    </r>
  </si>
  <si>
    <r>
      <t>伊涵</t>
    </r>
    <r>
      <rPr>
        <sz val="11"/>
        <color theme="1"/>
        <rFont val="ＭＳ Ｐゴシック"/>
        <family val="3"/>
        <charset val="134"/>
        <scheme val="minor"/>
      </rPr>
      <t>轩</t>
    </r>
  </si>
  <si>
    <t>翟丞玉******************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</si>
  <si>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</si>
  <si>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北同内庭</t>
  </si>
  <si>
    <r>
      <t>青峰健康(厦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)供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</si>
  <si>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米酒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</si>
  <si>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来客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</si>
  <si>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州圣浩佳工</t>
    </r>
    <r>
      <rPr>
        <sz val="11"/>
        <color theme="1"/>
        <rFont val="ＭＳ Ｐゴシック"/>
        <family val="3"/>
        <charset val="134"/>
        <scheme val="minor"/>
      </rPr>
      <t>业设备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</si>
  <si>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日本梅子酒;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白酒;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青稞酒</t>
    </r>
  </si>
  <si>
    <r>
      <t>尧诗</t>
    </r>
    <r>
      <rPr>
        <sz val="11"/>
        <color theme="1"/>
        <rFont val="ＭＳ Ｐゴシック"/>
        <family val="3"/>
        <charset val="128"/>
        <scheme val="minor"/>
      </rPr>
      <t>舜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</si>
  <si>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玖福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子科技（福州）有限公司</t>
    </r>
  </si>
  <si>
    <r>
      <t xml:space="preserve">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</si>
  <si>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宜玥坊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</si>
  <si>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五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</si>
  <si>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露酒; 青稞酒; 果酒（含酒精）; 米酒</t>
    </r>
  </si>
  <si>
    <t>吉云五露</t>
  </si>
  <si>
    <r>
      <t>河南艾柏坊文化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</si>
  <si>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露酒; 白酒; 葡萄酒; 清酒（日本米酒）</t>
    </r>
  </si>
  <si>
    <t>德益乾</t>
  </si>
  <si>
    <t>詹志昂</t>
  </si>
  <si>
    <r>
      <t>葡萄酒;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清酒（日本米酒）; 伏特加酒;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</si>
  <si>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味多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</si>
  <si>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兆磊</t>
    </r>
  </si>
  <si>
    <r>
      <t xml:space="preserve">葡萄酒; 白酒; 咖啡利口酒;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佐餐酒; 含酒精蛋奶酒; 含酒精的气泡水;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</si>
  <si>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茂盛昌</t>
  </si>
  <si>
    <t>佘素敏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</si>
  <si>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</si>
  <si>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汕汕金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</si>
  <si>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省味</t>
    </r>
    <r>
      <rPr>
        <sz val="11"/>
        <color theme="1"/>
        <rFont val="ＭＳ Ｐゴシック"/>
        <family val="3"/>
        <charset val="134"/>
        <scheme val="minor"/>
      </rPr>
      <t>柠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</si>
  <si>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柑香酒</t>
    </r>
  </si>
  <si>
    <r>
      <t>扎西尼</t>
    </r>
    <r>
      <rPr>
        <sz val="11"/>
        <color theme="1"/>
        <rFont val="ＭＳ Ｐゴシック"/>
        <family val="3"/>
        <charset val="134"/>
        <scheme val="minor"/>
      </rPr>
      <t>玛龙</t>
    </r>
    <r>
      <rPr>
        <sz val="11"/>
        <color theme="1"/>
        <rFont val="ＭＳ Ｐゴシック"/>
        <family val="3"/>
        <charset val="128"/>
        <scheme val="minor"/>
      </rPr>
      <t xml:space="preserve"> C-47</t>
    </r>
  </si>
  <si>
    <r>
      <t>得荣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太阳魂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品加工有限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</si>
  <si>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</si>
  <si>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云台</t>
    </r>
  </si>
  <si>
    <r>
      <t>河北邯</t>
    </r>
    <r>
      <rPr>
        <sz val="11"/>
        <color theme="1"/>
        <rFont val="ＭＳ Ｐゴシック"/>
        <family val="3"/>
        <charset val="134"/>
        <scheme val="minor"/>
      </rPr>
      <t>郸丛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</si>
  <si>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</si>
  <si>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喜炖炖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</si>
  <si>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宁盈月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</si>
  <si>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开胃酒; 威士忌;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</si>
  <si>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翠谷春</t>
  </si>
  <si>
    <r>
      <t>深圳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声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</si>
  <si>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清酒;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米酒; 高粱酒</t>
    </r>
  </si>
  <si>
    <t>茶柏棠</t>
  </si>
  <si>
    <t>吉首市茶柏棠生物科技有限公司</t>
  </si>
  <si>
    <r>
      <t>果酒（含酒精）; 米酒;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</si>
  <si>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素岑</t>
  </si>
  <si>
    <r>
      <t>江山市匠人建材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</si>
  <si>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</t>
    </r>
  </si>
  <si>
    <t>凌雪香</t>
  </si>
  <si>
    <r>
      <t>平湖市静升服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</si>
  <si>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果酒（含酒精）; 白酒; 苹果酒; 草本型利口酒; 薄荷酒; 茴芹酒（利口酒）;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茴香酒（利口酒）; 苦味酒</t>
    </r>
  </si>
  <si>
    <r>
      <t>帝王宏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</si>
  <si>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夏建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</si>
  <si>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葡萄酒; 米酒; 黄酒; 清酒（日本米酒）;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</si>
  <si>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帝本</t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</si>
  <si>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清酒（日本米酒）; 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</si>
  <si>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AIRMAXNA</t>
  </si>
  <si>
    <r>
      <t>黄志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</si>
  <si>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黄酒;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</si>
  <si>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遇慢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</si>
  <si>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</si>
  <si>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珲骏</t>
  </si>
  <si>
    <t>王健宇</t>
  </si>
  <si>
    <r>
      <t>黄酒; 开胃酒;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</t>
    </r>
  </si>
  <si>
    <r>
      <t>疆域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</si>
  <si>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阿拉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市康之味果品有限公司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</si>
  <si>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</si>
  <si>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南洋筋斗云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</si>
  <si>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南洋大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</si>
  <si>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米酒; 白酒</t>
    </r>
  </si>
  <si>
    <t>南洋悟空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</si>
  <si>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</si>
  <si>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红砖块</t>
  </si>
  <si>
    <r>
      <t>韦</t>
    </r>
    <r>
      <rPr>
        <sz val="11"/>
        <color theme="1"/>
        <rFont val="ＭＳ Ｐゴシック"/>
        <family val="3"/>
        <charset val="128"/>
        <scheme val="minor"/>
      </rPr>
      <t>正冲</t>
    </r>
  </si>
  <si>
    <r>
      <t xml:space="preserve">烈酒; 高粱酒; 果酒; 白酒; 清酒;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白干酒（中国白酒）</t>
    </r>
  </si>
  <si>
    <t>文氏家族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</si>
  <si>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市文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</si>
  <si>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苹果酒; 黄酒;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高粱酒;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</si>
  <si>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孙绍铨</t>
  </si>
  <si>
    <t>丁象恒</t>
  </si>
  <si>
    <r>
      <t>葡萄酒; 烈酒; 白酒;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</si>
  <si>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r>
      <t>青宵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</si>
  <si>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州茅台酒厂（集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）保健酒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</si>
  <si>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清酒; 蒸煮提取物（利口酒和烈酒）;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</si>
  <si>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r>
      <t>苗</t>
    </r>
    <r>
      <rPr>
        <sz val="11"/>
        <color theme="1"/>
        <rFont val="ＭＳ Ｐゴシック"/>
        <family val="3"/>
        <charset val="134"/>
        <scheme val="minor"/>
      </rPr>
      <t>忆传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</si>
  <si>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纳</t>
    </r>
    <r>
      <rPr>
        <sz val="11"/>
        <color theme="1"/>
        <rFont val="ＭＳ Ｐゴシック"/>
        <family val="3"/>
        <charset val="128"/>
        <scheme val="minor"/>
      </rPr>
      <t>雍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新房</t>
    </r>
    <r>
      <rPr>
        <sz val="11"/>
        <color theme="1"/>
        <rFont val="ＭＳ Ｐゴシック"/>
        <family val="3"/>
        <charset val="134"/>
        <scheme val="minor"/>
      </rPr>
      <t>乡华</t>
    </r>
    <r>
      <rPr>
        <sz val="11"/>
        <color theme="1"/>
        <rFont val="ＭＳ Ｐゴシック"/>
        <family val="3"/>
        <charset val="128"/>
        <scheme val="minor"/>
      </rPr>
      <t>冬酒厂</t>
    </r>
  </si>
  <si>
    <r>
      <t>苦味酒; 果酒; 米酒;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</t>
    </r>
  </si>
  <si>
    <t>魏公王侯</t>
  </si>
  <si>
    <t>袁柱石</t>
  </si>
  <si>
    <r>
      <t>食用酒精;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</si>
  <si>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r>
      <t>醁舘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</si>
  <si>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四川民望科技集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</si>
  <si>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高粱酒; 甜酒; 果酒;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白酒; 黄酒; 米酒</t>
    </r>
  </si>
  <si>
    <t>吻加</t>
  </si>
  <si>
    <r>
      <t>环</t>
    </r>
    <r>
      <rPr>
        <sz val="11"/>
        <color theme="1"/>
        <rFont val="ＭＳ Ｐゴシック"/>
        <family val="3"/>
        <charset val="128"/>
        <scheme val="minor"/>
      </rPr>
      <t>球有限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</si>
  <si>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果酒; 果酒（含酒精）</t>
    </r>
  </si>
  <si>
    <t>机来</t>
  </si>
  <si>
    <r>
      <t>果酒（含酒精）;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</si>
  <si>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大福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</si>
  <si>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大福酒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</si>
  <si>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葡萄酒; 餐后酒（利口酒和烈酒）; 白酒; 米酒</t>
    </r>
  </si>
  <si>
    <t>南洋哪吒</t>
  </si>
  <si>
    <r>
      <t>果酒（含酒精）;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</si>
  <si>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灵圉台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</si>
  <si>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诣</t>
    </r>
    <r>
      <rPr>
        <sz val="11"/>
        <color theme="1"/>
        <rFont val="ＭＳ Ｐゴシック"/>
        <family val="3"/>
        <charset val="128"/>
        <scheme val="minor"/>
      </rPr>
      <t>工坊酒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</si>
  <si>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</si>
  <si>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崖</t>
    </r>
    <r>
      <rPr>
        <sz val="11"/>
        <color theme="1"/>
        <rFont val="ＭＳ Ｐゴシック"/>
        <family val="3"/>
        <charset val="134"/>
        <scheme val="minor"/>
      </rPr>
      <t>齿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</si>
  <si>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海南三丫河投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</si>
  <si>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葡萄酒; 米酒; 威士忌;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</si>
  <si>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DARK DUKE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</si>
  <si>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麦芽威士忌; 混合威士忌酒; 威士忌; 利口酒; 伏特加酒</t>
    </r>
  </si>
  <si>
    <t>梅林王</t>
  </si>
  <si>
    <r>
      <t>内蒙古世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呼白酒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</si>
  <si>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</si>
  <si>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梅林兄弟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</si>
  <si>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</si>
  <si>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高升宏福</t>
  </si>
  <si>
    <t>湖南高升宏福家具有限公司</t>
  </si>
  <si>
    <r>
      <t xml:space="preserve">米酒; 烈酒; 梅酒; 甜酒; 水果汽酒;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白酒; 葡萄汽酒;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含酒精的气泡水</t>
    </r>
  </si>
  <si>
    <t>傣司谷花香</t>
  </si>
  <si>
    <r>
      <t>景谷傣族彝族自治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井谷清酒厂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</si>
  <si>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果酒（含酒精）</t>
    </r>
  </si>
  <si>
    <r>
      <t>粹离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</si>
  <si>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北京离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</si>
  <si>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</si>
  <si>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清芝荣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</si>
  <si>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闯荡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</si>
  <si>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混合威士忌酒; 烈酒; 葡萄酒; 含酒精的气泡水; 白酒</t>
    </r>
  </si>
  <si>
    <t>南洋金斗云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</si>
  <si>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白酒; 果酒（含酒精）;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清酒</t>
    </r>
  </si>
  <si>
    <t>游麻坡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</si>
  <si>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奇园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</si>
  <si>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高粱酒; 白酒; 伏特加酒; 食用酒精</t>
    </r>
  </si>
  <si>
    <t>谷立金</t>
  </si>
  <si>
    <r>
      <t>王立</t>
    </r>
    <r>
      <rPr>
        <sz val="11"/>
        <color theme="1"/>
        <rFont val="ＭＳ Ｐゴシック"/>
        <family val="3"/>
        <charset val="134"/>
        <scheme val="minor"/>
      </rPr>
      <t>锁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</si>
  <si>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果酒; 黄酒; 米酒; 青稞酒; 葡萄酒</t>
    </r>
  </si>
  <si>
    <t>阴山勒勒川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</si>
  <si>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青稞酒;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</si>
  <si>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呼白梅林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</si>
  <si>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青稞酒;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</si>
  <si>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燕台君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</si>
  <si>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昌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</si>
  <si>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米酒; 黄酒; 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</t>
    </r>
  </si>
  <si>
    <r>
      <t>萧</t>
    </r>
    <r>
      <rPr>
        <sz val="11"/>
        <color theme="1"/>
        <rFont val="ＭＳ Ｐゴシック"/>
        <family val="3"/>
        <charset val="128"/>
        <scheme val="minor"/>
      </rPr>
      <t>之礼</t>
    </r>
  </si>
  <si>
    <r>
      <t>萧县</t>
    </r>
    <r>
      <rPr>
        <sz val="11"/>
        <color theme="1"/>
        <rFont val="ＭＳ Ｐゴシック"/>
        <family val="3"/>
        <charset val="128"/>
        <scheme val="minor"/>
      </rPr>
      <t>一只羊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</si>
  <si>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</si>
  <si>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海道韵</t>
    </r>
  </si>
  <si>
    <r>
      <t>昌黎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君凰酒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</si>
  <si>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</si>
  <si>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馥柔</t>
    </r>
  </si>
  <si>
    <r>
      <t>河南蔡洪坊酒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</si>
  <si>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</si>
  <si>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谣</t>
    </r>
    <r>
      <rPr>
        <sz val="11"/>
        <color theme="1"/>
        <rFont val="ＭＳ Ｐゴシック"/>
        <family val="3"/>
        <charset val="128"/>
        <scheme val="minor"/>
      </rPr>
      <t>果令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</si>
  <si>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何</t>
    </r>
  </si>
  <si>
    <r>
      <t>食用酒精;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朗姆酒; 伏特加酒; 果酒（含酒精）</t>
    </r>
  </si>
  <si>
    <r>
      <t>秦疆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域</t>
    </r>
  </si>
  <si>
    <r>
      <t>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葡萄酒</t>
    </r>
  </si>
  <si>
    <t>吾魏</t>
  </si>
  <si>
    <r>
      <t>吾魏(成都)医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</si>
  <si>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蜂蜜酒;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食用酒精; 威士忌</t>
    </r>
  </si>
  <si>
    <r>
      <t>凤鸣</t>
    </r>
    <r>
      <rPr>
        <sz val="11"/>
        <color theme="1"/>
        <rFont val="ＭＳ Ｐゴシック"/>
        <family val="3"/>
        <charset val="128"/>
        <scheme val="minor"/>
      </rPr>
      <t>凌宵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</si>
  <si>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威士忌; 蒸煮提取物（利口酒和烈酒）; 米酒;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</si>
  <si>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瑾甜</t>
  </si>
  <si>
    <r>
      <t>南昌市</t>
    </r>
    <r>
      <rPr>
        <sz val="11"/>
        <color theme="1"/>
        <rFont val="ＭＳ Ｐゴシック"/>
        <family val="3"/>
        <charset val="134"/>
        <scheme val="minor"/>
      </rPr>
      <t>轩龙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</si>
  <si>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甜果酒; 威士忌; 米酒; 果酒（含酒精）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</si>
  <si>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阳仙尊</t>
    </r>
  </si>
  <si>
    <r>
      <t>北京道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堂文化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</si>
  <si>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黄酒; 朗姆酒</t>
    </r>
  </si>
  <si>
    <t>秦仕忌</t>
  </si>
  <si>
    <r>
      <t>武夷山奥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</si>
  <si>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朗姆酒; 果酒（含酒精）; 白酒; 黄酒; 高粱酒</t>
    </r>
  </si>
  <si>
    <r>
      <t>联</t>
    </r>
    <r>
      <rPr>
        <sz val="11"/>
        <color theme="1"/>
        <rFont val="ＭＳ Ｐゴシック"/>
        <family val="3"/>
        <charset val="128"/>
        <scheme val="minor"/>
      </rPr>
      <t>泰天下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</si>
  <si>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泰酒庄有限公司</t>
    </r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</si>
  <si>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</si>
  <si>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美酒猴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</si>
  <si>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长红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</si>
  <si>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</si>
  <si>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馥柔天中</t>
  </si>
  <si>
    <r>
      <t xml:space="preserve">果酒（含酒精）; 米酒;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</si>
  <si>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饮</t>
    </r>
    <r>
      <rPr>
        <sz val="11"/>
        <color theme="1"/>
        <rFont val="ＭＳ Ｐゴシック"/>
        <family val="3"/>
        <charset val="129"/>
        <scheme val="minor"/>
      </rPr>
      <t>胜佢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</si>
  <si>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金光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</si>
  <si>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</si>
  <si>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遇皖</t>
    </r>
  </si>
  <si>
    <r>
      <t>范</t>
    </r>
    <r>
      <rPr>
        <sz val="11"/>
        <color theme="1"/>
        <rFont val="ＭＳ Ｐゴシック"/>
        <family val="3"/>
        <charset val="134"/>
        <scheme val="minor"/>
      </rPr>
      <t>腾飞</t>
    </r>
  </si>
  <si>
    <r>
      <t>果酒（含酒精）;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葡萄酒; 威士忌;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</t>
    </r>
  </si>
  <si>
    <r>
      <t>米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萱</t>
    </r>
  </si>
  <si>
    <r>
      <t>安徽偶寓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宿投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</si>
  <si>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葡萄酒; 清酒（日本米酒）</t>
    </r>
  </si>
  <si>
    <r>
      <t>贵蕴</t>
    </r>
    <r>
      <rPr>
        <sz val="11"/>
        <color theme="1"/>
        <rFont val="ＭＳ Ｐゴシック"/>
        <family val="3"/>
        <charset val="128"/>
        <scheme val="minor"/>
      </rPr>
      <t>金竹</t>
    </r>
  </si>
  <si>
    <r>
      <t>广西雷列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气有限公司</t>
    </r>
  </si>
  <si>
    <r>
      <t xml:space="preserve">米酒; 黄酒; 果酒;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开胃酒;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</si>
  <si>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慧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</si>
  <si>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州慧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</si>
  <si>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利口酒; 果酒（含酒精）; 白酒; 清酒（日本米酒）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</si>
  <si>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云水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</si>
  <si>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果酒;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开胃酒;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</si>
  <si>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r>
      <t>贵蕴</t>
    </r>
    <r>
      <rPr>
        <sz val="11"/>
        <color theme="1"/>
        <rFont val="ＭＳ Ｐゴシック"/>
        <family val="3"/>
        <charset val="128"/>
        <scheme val="minor"/>
      </rPr>
      <t>云水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</si>
  <si>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 xml:space="preserve">米酒; 果酒; 葡萄酒; 汽酒; 烈酒;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</si>
  <si>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融黔至尊</t>
  </si>
  <si>
    <t>陈远</t>
  </si>
  <si>
    <r>
      <t xml:space="preserve">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蜂蜜酒; 梅酒; 开胃酒; 甜酒</t>
    </r>
  </si>
  <si>
    <r>
      <t>皇家西礼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</si>
  <si>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为贵</t>
    </r>
    <r>
      <rPr>
        <sz val="11"/>
        <color theme="1"/>
        <rFont val="ＭＳ Ｐゴシック"/>
        <family val="3"/>
        <charset val="128"/>
        <scheme val="minor"/>
      </rPr>
      <t>（宁夏）品牌管理有限公司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</si>
  <si>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黄酒; 白酒</t>
    </r>
  </si>
  <si>
    <r>
      <t>简</t>
    </r>
    <r>
      <rPr>
        <sz val="11"/>
        <color theme="1"/>
        <rFont val="ＭＳ Ｐゴシック"/>
        <family val="3"/>
        <charset val="128"/>
        <scheme val="minor"/>
      </rPr>
      <t>悦(重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)餐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</si>
  <si>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</si>
  <si>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雅芝歌</t>
  </si>
  <si>
    <t>南通雅之歌科技有限公司</t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</si>
  <si>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</si>
  <si>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r>
      <t>满风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</si>
  <si>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金生</t>
    </r>
  </si>
  <si>
    <r>
      <t>果酒（含酒精）; 餐后酒（利口酒和烈酒）; 清酒（日本米酒）;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</t>
    </r>
  </si>
  <si>
    <r>
      <t>宇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里</t>
    </r>
  </si>
  <si>
    <t>毛伯俊</t>
  </si>
  <si>
    <r>
      <t>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食用酒精; 天然汽酒; 白干酒（中国白酒）; 米酒</t>
    </r>
  </si>
  <si>
    <t>刘家赫</t>
  </si>
  <si>
    <r>
      <t>阜新市刘佳液酒</t>
    </r>
    <r>
      <rPr>
        <sz val="11"/>
        <color theme="1"/>
        <rFont val="ＭＳ Ｐゴシック"/>
        <family val="3"/>
        <charset val="134"/>
        <scheme val="minor"/>
      </rPr>
      <t>业饮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</si>
  <si>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</si>
  <si>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璞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</si>
  <si>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璞甄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（大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）科技有限公司</t>
    </r>
  </si>
  <si>
    <r>
      <t xml:space="preserve">梨酒; 烈酒; 高粱酒; 葡萄酒; 白酒; 黄酒;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</si>
  <si>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魏王公侯</t>
  </si>
  <si>
    <r>
      <t xml:space="preserve">米酒;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</si>
  <si>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抡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</si>
  <si>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深圳大</t>
    </r>
    <r>
      <rPr>
        <sz val="11"/>
        <color theme="1"/>
        <rFont val="ＭＳ Ｐゴシック"/>
        <family val="3"/>
        <charset val="134"/>
        <scheme val="minor"/>
      </rPr>
      <t>隐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</si>
  <si>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威士忌; 清酒（日本米酒）; 米酒;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</si>
  <si>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黔韵云水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</si>
  <si>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果酒; 白酒; 烈酒; 葡萄酒;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</si>
  <si>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候客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</si>
  <si>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州醉迷台酒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</si>
  <si>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苦味酒;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茴香酒（利口酒）;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</si>
  <si>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舜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</si>
  <si>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果酒（含酒精）; 米酒</t>
    </r>
  </si>
  <si>
    <t>坪子窖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</si>
  <si>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州好邦首商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</si>
  <si>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</t>
    </r>
  </si>
  <si>
    <r>
      <t>施</t>
    </r>
    <r>
      <rPr>
        <sz val="11"/>
        <color theme="1"/>
        <rFont val="ＭＳ Ｐゴシック"/>
        <family val="3"/>
        <charset val="134"/>
        <scheme val="minor"/>
      </rPr>
      <t>璎</t>
    </r>
    <r>
      <rPr>
        <sz val="11"/>
        <color theme="1"/>
        <rFont val="ＭＳ Ｐゴシック"/>
        <family val="3"/>
        <charset val="128"/>
        <scheme val="minor"/>
      </rPr>
      <t>姊</t>
    </r>
  </si>
  <si>
    <r>
      <t>璎</t>
    </r>
    <r>
      <rPr>
        <sz val="11"/>
        <color theme="1"/>
        <rFont val="ＭＳ Ｐゴシック"/>
        <family val="3"/>
        <charset val="128"/>
        <scheme val="minor"/>
      </rPr>
      <t>秭（天津）科技有限公司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</si>
  <si>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薄荷酒; 米酒</t>
    </r>
  </si>
  <si>
    <t>歆融</t>
  </si>
  <si>
    <t>阜阳歆融生物科技有限公司</t>
  </si>
  <si>
    <r>
      <t>五加皮酒（中国混合烈酒）;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青梅酒; 果酒（含酒精）; 草本型利口酒;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</si>
  <si>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樽名天下</t>
  </si>
  <si>
    <r>
      <t>范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立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</si>
  <si>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白干酒（中国白酒）;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</si>
  <si>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骏马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</si>
  <si>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定州林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</si>
  <si>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</si>
  <si>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嵄应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</si>
  <si>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天商字酒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</si>
  <si>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</si>
  <si>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酒仁世家小白瓶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</si>
  <si>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州酒仁世家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</si>
  <si>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</si>
  <si>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粹九川</t>
  </si>
  <si>
    <t>余先林</t>
  </si>
  <si>
    <r>
      <t>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开胃酒; 清酒（日本米酒）;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</si>
  <si>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香品台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</si>
  <si>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沙网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</si>
  <si>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高粱酒; 米酒; 汽酒; 黄酒;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果酒（含酒精）; 青稞酒</t>
    </r>
  </si>
  <si>
    <t>帝命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</si>
  <si>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清酒（日本米酒）; 黄酒;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</si>
  <si>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福建以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</si>
  <si>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</si>
  <si>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洛北春金板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</si>
  <si>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洛北春集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</si>
  <si>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</si>
  <si>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光明食品集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上海崇明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</si>
  <si>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甜果酒; 水果汽酒; 甜酒; 白酒</t>
    </r>
  </si>
  <si>
    <t>毯台</t>
  </si>
  <si>
    <t>李德会</t>
  </si>
  <si>
    <r>
      <t xml:space="preserve">黄酒;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开胃酒</t>
    </r>
  </si>
  <si>
    <r>
      <t>索</t>
    </r>
    <r>
      <rPr>
        <sz val="11"/>
        <color theme="1"/>
        <rFont val="ＭＳ Ｐゴシック"/>
        <family val="3"/>
        <charset val="134"/>
        <scheme val="minor"/>
      </rPr>
      <t>伦岗</t>
    </r>
  </si>
  <si>
    <r>
      <t>董志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</si>
  <si>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露酒;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高粱酒;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</si>
  <si>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洋惑</t>
  </si>
  <si>
    <r>
      <t>香里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情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</si>
  <si>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汽酒</t>
    </r>
  </si>
  <si>
    <t>美酒侯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</si>
  <si>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</si>
  <si>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VODKISS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</si>
  <si>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苹果酒; 果酒（含酒精）</t>
    </r>
  </si>
  <si>
    <t>滴万年</t>
  </si>
  <si>
    <r>
      <t>马泽</t>
    </r>
    <r>
      <rPr>
        <sz val="11"/>
        <color theme="1"/>
        <rFont val="ＭＳ Ｐゴシック"/>
        <family val="3"/>
        <charset val="128"/>
        <scheme val="minor"/>
      </rPr>
      <t>洪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</si>
  <si>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佐餐酒; 露酒;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甜酒</t>
    </r>
  </si>
  <si>
    <r>
      <t>玖成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</si>
  <si>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餐后酒（利口酒和烈酒）; 葡萄酒</t>
    </r>
  </si>
  <si>
    <t>高建*****************X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</si>
  <si>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汽酒</t>
    </r>
  </si>
  <si>
    <r>
      <t>灵</t>
    </r>
    <r>
      <rPr>
        <sz val="11"/>
        <color theme="1"/>
        <rFont val="ＭＳ Ｐゴシック"/>
        <family val="3"/>
        <charset val="134"/>
        <scheme val="minor"/>
      </rPr>
      <t>积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</si>
  <si>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白山市仙参商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</si>
  <si>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餐后酒（利口酒和烈酒）; 白酒;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蜂蜜酒</t>
    </r>
  </si>
  <si>
    <r>
      <t>李宗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一代宗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</si>
  <si>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州李宗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</si>
  <si>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白干酒（中国白酒）;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白酒; 米酒</t>
    </r>
  </si>
  <si>
    <t>芝膳堂</t>
  </si>
  <si>
    <r>
      <t>吴</t>
    </r>
    <r>
      <rPr>
        <sz val="11"/>
        <color theme="1"/>
        <rFont val="ＭＳ Ｐゴシック"/>
        <family val="3"/>
        <charset val="134"/>
        <scheme val="minor"/>
      </rPr>
      <t>卫华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</si>
  <si>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米酒;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</si>
  <si>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SWEET BOBM</t>
  </si>
  <si>
    <r>
      <t>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杜松子酒; 威士忌; 混合威士忌酒;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葡萄酒; 麦芽威士忌</t>
    </r>
  </si>
  <si>
    <r>
      <t>洛阳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</si>
  <si>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刘小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</si>
  <si>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苹果酒;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清酒（日本米酒）; 青稞酒; 果酒（含酒精）; 米酒; 开胃酒</t>
    </r>
  </si>
  <si>
    <t>黄河君子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</si>
  <si>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九霄印刷包装有限公司</t>
    </r>
  </si>
  <si>
    <r>
      <t xml:space="preserve">白酒;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</si>
  <si>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宏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</si>
  <si>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</si>
  <si>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战</t>
    </r>
    <r>
      <rPr>
        <sz val="11"/>
        <color theme="1"/>
        <rFont val="ＭＳ Ｐゴシック"/>
        <family val="3"/>
        <charset val="128"/>
        <scheme val="minor"/>
      </rPr>
      <t>神悟空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</si>
  <si>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品（北京）科技有限公司</t>
    </r>
  </si>
  <si>
    <r>
      <t>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</si>
  <si>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蒙原牧王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</si>
  <si>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</si>
  <si>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中菲醉山</t>
  </si>
  <si>
    <r>
      <t>上海篅祺国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</si>
  <si>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</si>
  <si>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洛北春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板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</si>
  <si>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</si>
  <si>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溱湖湾</t>
  </si>
  <si>
    <r>
      <t>泰州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青玻璃制品有限公司</t>
    </r>
  </si>
  <si>
    <r>
      <t>黄酒;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</si>
  <si>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林自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</si>
  <si>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</si>
  <si>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蜂旗</t>
  </si>
  <si>
    <r>
      <t>洛阳雁河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</si>
  <si>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蜂蜜酒; 米酒;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</si>
  <si>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葫芦壮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</si>
  <si>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嵘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鑫科技有限公司</t>
    </r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</si>
  <si>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蒸煮提取物（利口酒和烈酒）; 清酒;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</si>
  <si>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佬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</si>
  <si>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小波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</si>
  <si>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苦味酒; 果酒（含酒精）;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</si>
  <si>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</si>
  <si>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翔</t>
    </r>
    <r>
      <rPr>
        <sz val="11"/>
        <color theme="1"/>
        <rFont val="ＭＳ Ｐゴシック"/>
        <family val="3"/>
        <charset val="134"/>
        <scheme val="minor"/>
      </rPr>
      <t>韬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</si>
  <si>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丽华</t>
    </r>
  </si>
  <si>
    <r>
      <t>薄荷酒;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酸酒（低等葡萄酒）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</si>
  <si>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忎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</si>
  <si>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盘龙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</si>
  <si>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</t>
    </r>
  </si>
  <si>
    <t>卞窖</t>
  </si>
  <si>
    <t>卞少雍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</si>
  <si>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蜂蜜酒</t>
    </r>
  </si>
  <si>
    <r>
      <t>应</t>
    </r>
    <r>
      <rPr>
        <sz val="11"/>
        <color theme="1"/>
        <rFont val="ＭＳ Ｐゴシック"/>
        <family val="3"/>
        <charset val="128"/>
        <scheme val="minor"/>
      </rPr>
      <t>天春秋</t>
    </r>
  </si>
  <si>
    <r>
      <t xml:space="preserve">葡萄酒;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白干酒（中国白酒）; 烈酒</t>
    </r>
  </si>
  <si>
    <t>心演</t>
  </si>
  <si>
    <r>
      <t>上海心演商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</si>
  <si>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果酒; 烈酒; 日本梅子酒; 利口酒; 米酒; 葡萄酒;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</si>
  <si>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防城港市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港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</si>
  <si>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</si>
  <si>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t>索界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</si>
  <si>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沂中</t>
    </r>
    <r>
      <rPr>
        <sz val="11"/>
        <color theme="1"/>
        <rFont val="ＭＳ Ｐゴシック"/>
        <family val="3"/>
        <charset val="134"/>
        <scheme val="minor"/>
      </rPr>
      <t>亿缘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</si>
  <si>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米酒; 黄酒; 高粱酒; 葡萄酒;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</si>
  <si>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r>
      <t>特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瓦斯</t>
    </r>
  </si>
  <si>
    <r>
      <t>深圳市三展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子有限公司</t>
    </r>
  </si>
  <si>
    <r>
      <t>葡萄酒; 伏特加酒; 黄酒; 清酒; 白酒;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果酒（含酒精）</t>
    </r>
  </si>
  <si>
    <t>品香台</t>
  </si>
  <si>
    <r>
      <t xml:space="preserve">葡萄酒; 青稞酒; 黄酒; 白酒; 高粱酒;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汽酒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</si>
  <si>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小玫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</si>
  <si>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工研究院有限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</si>
  <si>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蜂蜜酒;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</si>
  <si>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亭子口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</si>
  <si>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溪文化旅游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</si>
  <si>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含酒精的气泡水; 白酒; 米酒; 果酒; 烈酒; 甜酒; 梨酒; 清酒</t>
    </r>
  </si>
  <si>
    <r>
      <t>星意</t>
    </r>
    <r>
      <rPr>
        <sz val="11"/>
        <color theme="1"/>
        <rFont val="ＭＳ Ｐゴシック"/>
        <family val="3"/>
        <charset val="134"/>
        <scheme val="minor"/>
      </rPr>
      <t>满满</t>
    </r>
  </si>
  <si>
    <r>
      <t>深圳市吉星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</si>
  <si>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白干酒（中国白酒）; 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</si>
  <si>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桂云香</t>
  </si>
  <si>
    <r>
      <t>阜阳市宣裕酒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</si>
  <si>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利口酒; 蒸煮提取物（利口酒和烈酒）; 食用酒精; 葡萄酒; 白酒;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</si>
  <si>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韵</t>
    </r>
    <r>
      <rPr>
        <sz val="11"/>
        <color theme="1"/>
        <rFont val="ＭＳ Ｐゴシック"/>
        <family val="3"/>
        <charset val="134"/>
        <scheme val="minor"/>
      </rPr>
      <t>玺</t>
    </r>
  </si>
  <si>
    <t>施雨村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</si>
  <si>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</si>
  <si>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残翼</t>
    </r>
    <r>
      <rPr>
        <sz val="11"/>
        <color theme="1"/>
        <rFont val="ＭＳ Ｐゴシック"/>
        <family val="3"/>
        <charset val="134"/>
        <scheme val="minor"/>
      </rPr>
      <t>纯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</si>
  <si>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日之星（海南）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</si>
  <si>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白酒;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</si>
  <si>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涵燕坊</t>
  </si>
  <si>
    <r>
      <t>厉</t>
    </r>
    <r>
      <rPr>
        <sz val="11"/>
        <color theme="1"/>
        <rFont val="ＭＳ Ｐゴシック"/>
        <family val="3"/>
        <charset val="128"/>
        <scheme val="minor"/>
      </rPr>
      <t>巧玲</t>
    </r>
  </si>
  <si>
    <r>
      <t xml:space="preserve">果酒; 烈性干酒;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</si>
  <si>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研途教育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</si>
  <si>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州研途教育科技有限公司</t>
    </r>
  </si>
  <si>
    <r>
      <t>米酒;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</si>
  <si>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绍</t>
    </r>
    <r>
      <rPr>
        <sz val="11"/>
        <color theme="1"/>
        <rFont val="ＭＳ Ｐゴシック"/>
        <family val="3"/>
        <charset val="128"/>
        <scheme val="minor"/>
      </rPr>
      <t>德堂</t>
    </r>
  </si>
  <si>
    <t>李建平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</si>
  <si>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黄酒</t>
    </r>
  </si>
  <si>
    <t>SMOKY FOX</t>
  </si>
  <si>
    <r>
      <t>麦芽威士忌; 杜松子酒; 威士忌; 混合威士忌酒; 利口酒;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</si>
  <si>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垂直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</si>
  <si>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甜酒; 白酒; 水果汽酒; 清酒; 果酒; 米酒; 含酒精的气泡水; 梨酒</t>
    </r>
  </si>
  <si>
    <t>馥柔中原</t>
  </si>
  <si>
    <r>
      <t xml:space="preserve">黄酒; 果酒（含酒精）;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</si>
  <si>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峰麓康萃</t>
  </si>
  <si>
    <r>
      <t>闫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</si>
  <si>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>果酒;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</si>
  <si>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陌然</t>
  </si>
  <si>
    <t>王景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</si>
  <si>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果酒（含酒精）; 黄酒;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</si>
  <si>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全拾惠</t>
  </si>
  <si>
    <r>
      <t>山西黎明世家商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</si>
  <si>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黄酒;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</si>
  <si>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苗阿宝</t>
  </si>
  <si>
    <r>
      <t>高粱酒;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米酒;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</si>
  <si>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泥池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</si>
  <si>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 xml:space="preserve">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葡萄酒; 黄酒</t>
    </r>
  </si>
  <si>
    <t>澳甘尼客</t>
  </si>
  <si>
    <r>
      <t>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米酒; 伏特加酒; 高粱酒; 朗姆酒; 黄酒</t>
    </r>
  </si>
  <si>
    <r>
      <t>协</t>
    </r>
    <r>
      <rPr>
        <sz val="11"/>
        <color theme="1"/>
        <rFont val="ＭＳ Ｐゴシック"/>
        <family val="3"/>
        <charset val="128"/>
        <scheme val="minor"/>
      </rPr>
      <t>二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</si>
  <si>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和制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二厂有限公司</t>
    </r>
  </si>
  <si>
    <r>
      <t>米酒; 白酒;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</si>
  <si>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ZUILETIAN</t>
  </si>
  <si>
    <r>
      <t>中泰美育企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（河北）有限公司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</si>
  <si>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开胃酒</t>
    </r>
  </si>
  <si>
    <r>
      <t>燊</t>
    </r>
    <r>
      <rPr>
        <sz val="11"/>
        <color theme="1"/>
        <rFont val="ＭＳ Ｐゴシック"/>
        <family val="3"/>
        <charset val="128"/>
        <scheme val="minor"/>
      </rPr>
      <t>煊逸品</t>
    </r>
  </si>
  <si>
    <r>
      <t>四川政泰智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</si>
  <si>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烈酒;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</si>
  <si>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枫</t>
    </r>
    <r>
      <rPr>
        <sz val="11"/>
        <color theme="1"/>
        <rFont val="ＭＳ Ｐゴシック"/>
        <family val="3"/>
        <charset val="128"/>
        <scheme val="minor"/>
      </rPr>
      <t>榕窖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翎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</si>
  <si>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恒天酒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</si>
  <si>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</si>
  <si>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山人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</si>
  <si>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山人家生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</si>
  <si>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蒸煮提取物（利口酒和烈酒）;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</si>
  <si>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菁尼仕</t>
  </si>
  <si>
    <r>
      <t>韩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</si>
  <si>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蜂蜜酒;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</t>
    </r>
  </si>
  <si>
    <r>
      <t>津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帝</t>
    </r>
  </si>
  <si>
    <r>
      <t>开胃酒; 威士忌;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</si>
  <si>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汕两知己</t>
  </si>
  <si>
    <r>
      <t>夏日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光食品有限公司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</si>
  <si>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</si>
  <si>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</si>
  <si>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花之旨</t>
  </si>
  <si>
    <r>
      <t>江西名山文化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</si>
  <si>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蜂蜜酒; 葡萄酒; 白酒;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</si>
  <si>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箺竺</t>
  </si>
  <si>
    <r>
      <t>集安市景莉葡萄种植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</si>
  <si>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白酒; 开胃酒; 蜂蜜酒;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</si>
  <si>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天面</t>
  </si>
  <si>
    <r>
      <t>蓉泰申（上海）商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</si>
  <si>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</si>
  <si>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落梯梯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洞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</si>
  <si>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萍</t>
    </r>
  </si>
  <si>
    <r>
      <t>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果酒（含酒精）; 葡萄酒; 苹果酒; 白酒; 米酒;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</si>
  <si>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清江意</t>
  </si>
  <si>
    <r>
      <t>湖北省白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</si>
  <si>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</si>
  <si>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津川</t>
    </r>
  </si>
  <si>
    <t>罗丽</t>
  </si>
  <si>
    <r>
      <t xml:space="preserve">威士忌; 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</si>
  <si>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俏酒舟 酒</t>
  </si>
  <si>
    <r>
      <t>龙</t>
    </r>
    <r>
      <rPr>
        <sz val="11"/>
        <color theme="1"/>
        <rFont val="ＭＳ Ｐゴシック"/>
        <family val="3"/>
        <charset val="128"/>
        <scheme val="minor"/>
      </rPr>
      <t>岩市新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</si>
  <si>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梨酒;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</si>
  <si>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巅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</si>
  <si>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果酒; 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</t>
    </r>
  </si>
  <si>
    <r>
      <t>穗</t>
    </r>
    <r>
      <rPr>
        <sz val="11"/>
        <color theme="1"/>
        <rFont val="ＭＳ Ｐゴシック"/>
        <family val="3"/>
        <charset val="134"/>
        <scheme val="minor"/>
      </rPr>
      <t>驾</t>
    </r>
  </si>
  <si>
    <t>刘涛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</si>
  <si>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青稞酒;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</si>
  <si>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t>尽皆</t>
  </si>
  <si>
    <r>
      <t>北京惠宜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即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</si>
  <si>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果酒（含酒精）; 黄酒; 伏特加酒; 开胃酒;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</t>
    </r>
  </si>
  <si>
    <t>星中源</t>
  </si>
  <si>
    <t>潘青松</t>
  </si>
  <si>
    <r>
      <t xml:space="preserve">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</si>
  <si>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万德寿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</si>
  <si>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菲菲信息科技有限公司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</si>
  <si>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白干酒（中国白酒）; 烈性干酒;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</si>
  <si>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厉</t>
    </r>
    <r>
      <rPr>
        <sz val="11"/>
        <color theme="1"/>
        <rFont val="ＭＳ Ｐゴシック"/>
        <family val="3"/>
        <charset val="128"/>
        <scheme val="minor"/>
      </rPr>
      <t>湃</t>
    </r>
  </si>
  <si>
    <r>
      <t>绿兰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</si>
  <si>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米酒;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</si>
  <si>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云众民</t>
  </si>
  <si>
    <t>刘毅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</si>
  <si>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甜酒; 果酒; 米酒; 朗姆酒; 伏特加酒; 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</si>
  <si>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花小</t>
    </r>
    <r>
      <rPr>
        <sz val="11"/>
        <color theme="1"/>
        <rFont val="ＭＳ Ｐゴシック"/>
        <family val="3"/>
        <charset val="134"/>
        <scheme val="minor"/>
      </rPr>
      <t>樱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</si>
  <si>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</si>
  <si>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汽酒; 果酒（含酒精）; 白酒; 清酒（日本米酒）</t>
    </r>
  </si>
  <si>
    <t>璀璨荣耀</t>
  </si>
  <si>
    <r>
      <t>梁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</si>
  <si>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果酒(含酒精); 甜酒;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米酒; 黄酒;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</si>
  <si>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米酒</t>
    </r>
  </si>
  <si>
    <r>
      <t>拳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</si>
  <si>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成都原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力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</si>
  <si>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白酒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</si>
  <si>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颗</t>
    </r>
    <r>
      <rPr>
        <sz val="11"/>
        <color theme="1"/>
        <rFont val="ＭＳ Ｐゴシック"/>
        <family val="3"/>
        <charset val="128"/>
        <scheme val="minor"/>
      </rPr>
      <t>旦</t>
    </r>
  </si>
  <si>
    <t>李旭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</si>
  <si>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米酒; 果酒（含酒精）; 清酒（日本米酒）;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</si>
  <si>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曲</t>
    </r>
    <r>
      <rPr>
        <sz val="11"/>
        <color theme="1"/>
        <rFont val="ＭＳ Ｐゴシック"/>
        <family val="3"/>
        <charset val="134"/>
        <scheme val="minor"/>
      </rPr>
      <t>东红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</si>
  <si>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伏特加酒; 朗姆酒;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薄荷酒</t>
    </r>
  </si>
  <si>
    <r>
      <t>盛事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</si>
  <si>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米酒; 高粱酒;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</si>
  <si>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云浦通关</t>
    </r>
  </si>
  <si>
    <t>浙江种草咖啡有限公司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</si>
  <si>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葡萄酒; 果酒; 开胃酒; 黄酒;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</si>
  <si>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浔乡</t>
    </r>
    <r>
      <rPr>
        <sz val="11"/>
        <color theme="1"/>
        <rFont val="ＭＳ Ｐゴシック"/>
        <family val="3"/>
        <charset val="128"/>
        <scheme val="minor"/>
      </rPr>
      <t>曲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</si>
  <si>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青稞酒; 蜂蜜酒;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</si>
  <si>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养承</t>
    </r>
    <r>
      <rPr>
        <sz val="11"/>
        <color theme="1"/>
        <rFont val="ＭＳ Ｐゴシック"/>
        <family val="3"/>
        <charset val="134"/>
        <scheme val="minor"/>
      </rPr>
      <t>传</t>
    </r>
  </si>
  <si>
    <t>向娜娜</t>
  </si>
  <si>
    <r>
      <t xml:space="preserve">米酒; 白酒; 烈酒; 开胃酒; 青稞酒; 黄酒; 清酒（日本米酒）;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</si>
  <si>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市保益健身器材有限公司</t>
    </r>
  </si>
  <si>
    <r>
      <t xml:space="preserve">朗姆酒;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苹果酒;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</si>
  <si>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福三巡</t>
  </si>
  <si>
    <r>
      <t>杨</t>
    </r>
    <r>
      <rPr>
        <sz val="11"/>
        <color theme="1"/>
        <rFont val="ＭＳ Ｐゴシック"/>
        <family val="3"/>
        <charset val="128"/>
        <scheme val="minor"/>
      </rPr>
      <t>焦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</si>
  <si>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白酒; 甜酒;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</si>
  <si>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江北</t>
    </r>
    <r>
      <rPr>
        <sz val="11"/>
        <color theme="1"/>
        <rFont val="ＭＳ Ｐゴシック"/>
        <family val="3"/>
        <charset val="134"/>
        <scheme val="minor"/>
      </rPr>
      <t>纬严选</t>
    </r>
  </si>
  <si>
    <r>
      <t>远</t>
    </r>
    <r>
      <rPr>
        <sz val="11"/>
        <color theme="1"/>
        <rFont val="ＭＳ Ｐゴシック"/>
        <family val="3"/>
        <charset val="128"/>
        <scheme val="minor"/>
      </rPr>
      <t>投投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（海南）有限公司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</si>
  <si>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米酒; 食用酒精;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</si>
  <si>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蜀奶奶</t>
  </si>
  <si>
    <t>谢丽琼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</si>
  <si>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食用酒精; 白酒; 露酒;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</si>
  <si>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之酣</t>
    </r>
  </si>
  <si>
    <r>
      <t>甜酒; 米酒; 果酒(含酒精);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威士忌; 葡萄酒; 白酒</t>
    </r>
  </si>
  <si>
    <t>蜀婆婆</t>
  </si>
  <si>
    <r>
      <t>白酒;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</si>
  <si>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股道天下</t>
  </si>
  <si>
    <r>
      <t>宿州市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名商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</si>
  <si>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清酒; 葡萄酒;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</si>
  <si>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铚</t>
    </r>
    <r>
      <rPr>
        <sz val="11"/>
        <color theme="1"/>
        <rFont val="ＭＳ Ｐゴシック"/>
        <family val="3"/>
        <charset val="128"/>
        <scheme val="minor"/>
      </rPr>
      <t>臻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</si>
  <si>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仁利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</si>
  <si>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露酒;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果酒; 葡萄酒; 开胃酒</t>
    </r>
  </si>
  <si>
    <t>北渡河</t>
  </si>
  <si>
    <t>胡林</t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</si>
  <si>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</si>
  <si>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拥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</si>
  <si>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天然汽酒;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</t>
    </r>
  </si>
  <si>
    <r>
      <t>鹏</t>
    </r>
    <r>
      <rPr>
        <sz val="11"/>
        <color theme="1"/>
        <rFont val="ＭＳ Ｐゴシック"/>
        <family val="3"/>
        <charset val="128"/>
        <scheme val="minor"/>
      </rPr>
      <t>川</t>
    </r>
  </si>
  <si>
    <r>
      <t>蔡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</si>
  <si>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加烈葡萄酒;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白干酒（中国白酒）; 果酒（含酒精）; 天然汽酒; 甜果酒; 白酒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</si>
  <si>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</si>
  <si>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</si>
  <si>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黄酒; 果酒</t>
    </r>
  </si>
  <si>
    <t>梵士菲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</si>
  <si>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威士忌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</si>
  <si>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坊星火</t>
    </r>
  </si>
  <si>
    <r>
      <t xml:space="preserve">蒸煮提取物（利口酒和烈酒）; 五加皮酒（中国混合烈酒）; 清酒; 白干酒（中国白酒）; 开胃酒;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</si>
  <si>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仁古尊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</si>
  <si>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日式甜米酒; 果酒（含酒精）;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米酒; 白酒; 青稞酒; 甜酒; 薄荷酒</t>
    </r>
  </si>
  <si>
    <t>圳厨</t>
  </si>
  <si>
    <r>
      <t>深圳圳厨供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</si>
  <si>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</si>
  <si>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乡忆</t>
    </r>
    <r>
      <rPr>
        <sz val="11"/>
        <color theme="1"/>
        <rFont val="ＭＳ Ｐゴシック"/>
        <family val="3"/>
        <charset val="128"/>
        <scheme val="minor"/>
      </rPr>
      <t>酬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</si>
  <si>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</si>
  <si>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露酒; 餐后酒（利口酒和烈酒）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</si>
  <si>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黄酒; 米酒; 开胃酒; 葡萄酒; 白酒</t>
    </r>
  </si>
  <si>
    <r>
      <t xml:space="preserve">威士忌; 朗姆酒;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薄荷酒;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</si>
  <si>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至由</t>
  </si>
  <si>
    <r>
      <t xml:space="preserve">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</si>
  <si>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彩云高原</t>
  </si>
  <si>
    <r>
      <t>张银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</si>
  <si>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黄酒; 白酒; 露酒; 佐餐酒; 高粱酒; 白干酒（中国白酒）</t>
    </r>
  </si>
  <si>
    <t>清曼雅</t>
  </si>
  <si>
    <r>
      <t>北京炎开睿福商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</si>
  <si>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黄酒; 甜酒; 烈酒</t>
    </r>
  </si>
  <si>
    <t>珍酒麒麟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</si>
  <si>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利口酒;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</si>
  <si>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r>
      <t>池溪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格格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</si>
  <si>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春花******************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</si>
  <si>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白酒; 米酒</t>
    </r>
  </si>
  <si>
    <t>HZHB</t>
  </si>
  <si>
    <r>
      <t>狄明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</si>
  <si>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佐餐酒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</si>
  <si>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水安康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</si>
  <si>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开胃酒; 米酒;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汽酒</t>
    </r>
  </si>
  <si>
    <t>RYMMAR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</si>
  <si>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苏纯</t>
    </r>
    <r>
      <rPr>
        <sz val="11"/>
        <color theme="1"/>
        <rFont val="ＭＳ Ｐゴシック"/>
        <family val="3"/>
        <charset val="128"/>
        <scheme val="minor"/>
      </rPr>
      <t>境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</si>
  <si>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白葡萄酒;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</si>
  <si>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吾魏堂</t>
  </si>
  <si>
    <r>
      <t>吾魏（成都）医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</si>
  <si>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蜂蜜酒;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</si>
  <si>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山河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</si>
  <si>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龚泽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</si>
  <si>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葡萄酒;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</si>
  <si>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亭杏韵</t>
    </r>
  </si>
  <si>
    <t>康美霞</t>
  </si>
  <si>
    <r>
      <t xml:space="preserve">烈酒; 梅酒; 葡萄酒;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</si>
  <si>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MINIANGCHUN</t>
  </si>
  <si>
    <t>成都蟲鑫生物科技有限公司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</si>
  <si>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高粱酒;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蜂蜜酒</t>
    </r>
  </si>
  <si>
    <t>GKYX</t>
  </si>
  <si>
    <r>
      <t>国品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（北京）品牌管理有限公司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</si>
  <si>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黄酒</t>
    </r>
  </si>
  <si>
    <t>羲泉涌老作坊</t>
  </si>
  <si>
    <t>张艳</t>
  </si>
  <si>
    <r>
      <t>白干酒（中国白酒）;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食用酒精</t>
    </r>
  </si>
  <si>
    <t>房州月</t>
  </si>
  <si>
    <r>
      <t>广州玄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</si>
  <si>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含酒精的气泡水;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</si>
  <si>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雁回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</si>
  <si>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安塞振宝工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</si>
  <si>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烈性干酒;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烈酒; 威士忌;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</t>
    </r>
  </si>
  <si>
    <t>雁栖岭</t>
  </si>
  <si>
    <r>
      <t xml:space="preserve">白酒; 烈酒;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烈性干酒;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白干酒（中国白酒）; 威士忌; 高粱酒</t>
    </r>
  </si>
  <si>
    <r>
      <t>源</t>
    </r>
    <r>
      <rPr>
        <sz val="11"/>
        <color theme="1"/>
        <rFont val="ＭＳ Ｐゴシック"/>
        <family val="3"/>
        <charset val="134"/>
        <scheme val="minor"/>
      </rPr>
      <t>奋</t>
    </r>
  </si>
  <si>
    <r>
      <t xml:space="preserve">青稞酒;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黄酒; 日式甜米酒; 果酒（含酒精）; 甜酒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</si>
  <si>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韵青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9"/>
        <scheme val="minor"/>
      </rPr>
      <t>崮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</si>
  <si>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东鲁</t>
    </r>
    <r>
      <rPr>
        <sz val="11"/>
        <color theme="1"/>
        <rFont val="ＭＳ Ｐゴシック"/>
        <family val="3"/>
        <charset val="128"/>
        <scheme val="minor"/>
      </rPr>
      <t>韵茶叶有限公司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</si>
  <si>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</si>
  <si>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榴</t>
    </r>
    <r>
      <rPr>
        <sz val="11"/>
        <color theme="1"/>
        <rFont val="ＭＳ Ｐゴシック"/>
        <family val="3"/>
        <charset val="134"/>
        <scheme val="minor"/>
      </rPr>
      <t>邫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</si>
  <si>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西唐韵丰商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</si>
  <si>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清酒</t>
    </r>
  </si>
  <si>
    <t>贡厢记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</si>
  <si>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清酒（日本米酒）; 蜂蜜酒; 青稞酒</t>
    </r>
  </si>
  <si>
    <r>
      <t>白酒; 开胃酒;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苹果酒; 米酒;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</si>
  <si>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越姐姐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</si>
  <si>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薄荷酒;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</si>
  <si>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丹友礼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</si>
  <si>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丹丹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</si>
  <si>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白葡萄酒; 葡萄汽酒; 白酒; 黄酒; 米酒; 白干酒（中国白酒）; 高粱酒</t>
    </r>
  </si>
  <si>
    <r>
      <t>薏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黔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</si>
  <si>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州中梁建晟工程有限公司</t>
    </r>
  </si>
  <si>
    <r>
      <t>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米酒; 清酒; 葡萄酒; 黄酒; 露酒</t>
    </r>
  </si>
  <si>
    <r>
      <t>探</t>
    </r>
    <r>
      <rPr>
        <sz val="11"/>
        <color theme="1"/>
        <rFont val="ＭＳ Ｐゴシック"/>
        <family val="3"/>
        <charset val="134"/>
        <scheme val="minor"/>
      </rPr>
      <t>鲜队</t>
    </r>
  </si>
  <si>
    <r>
      <t>秋立</t>
    </r>
    <r>
      <rPr>
        <sz val="11"/>
        <color theme="1"/>
        <rFont val="ＭＳ Ｐゴシック"/>
        <family val="3"/>
        <charset val="134"/>
        <scheme val="minor"/>
      </rPr>
      <t>选</t>
    </r>
  </si>
  <si>
    <t>甜酒; 白酒; 食用酒精; 果酒; 米酒; 清酒; 葡萄酒; 黄酒; 开胃酒; 汽酒</t>
  </si>
  <si>
    <t>再得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</si>
  <si>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佰佳酒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</si>
  <si>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清酒（日本米酒）;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</si>
  <si>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迤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</si>
  <si>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锋</t>
    </r>
  </si>
  <si>
    <t>高粱酒; 米酒; 食用酒精; 白酒; 蒸煮提取物（利口酒和烈酒）; 青稞酒; 杜松子酒; 葡萄酒; 果酒; 烈酒</t>
  </si>
  <si>
    <r>
      <t>王</t>
    </r>
    <r>
      <rPr>
        <sz val="11"/>
        <color theme="1"/>
        <rFont val="ＭＳ Ｐゴシック"/>
        <family val="3"/>
        <charset val="134"/>
        <scheme val="minor"/>
      </rPr>
      <t>俪</t>
    </r>
    <r>
      <rPr>
        <sz val="11"/>
        <color theme="1"/>
        <rFont val="ＭＳ Ｐゴシック"/>
        <family val="3"/>
        <charset val="128"/>
        <scheme val="minor"/>
      </rPr>
      <t>菲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</si>
  <si>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丽飞</t>
    </r>
  </si>
  <si>
    <r>
      <t>开胃酒; 白酒; 苹果酒;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</si>
  <si>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锐鲸</t>
  </si>
  <si>
    <r>
      <t>杨</t>
    </r>
    <r>
      <rPr>
        <sz val="11"/>
        <color theme="1"/>
        <rFont val="ＭＳ Ｐゴシック"/>
        <family val="3"/>
        <charset val="128"/>
        <scheme val="minor"/>
      </rPr>
      <t>小玲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</si>
  <si>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利口酒;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</si>
  <si>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宴梦春</t>
  </si>
  <si>
    <r>
      <t>清酒（日本米酒）;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威士忌; 蜂蜜酒;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</si>
  <si>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METAO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</si>
  <si>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沙桃溪品牌策划有限公司</t>
    </r>
  </si>
  <si>
    <r>
      <t>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</si>
  <si>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洋美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</si>
  <si>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藏名酒供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</si>
  <si>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高粱酒; 果酒（含酒精）</t>
    </r>
  </si>
  <si>
    <r>
      <t>闹</t>
    </r>
    <r>
      <rPr>
        <sz val="11"/>
        <color theme="1"/>
        <rFont val="ＭＳ Ｐゴシック"/>
        <family val="3"/>
        <charset val="128"/>
        <scheme val="minor"/>
      </rPr>
      <t>枝沟</t>
    </r>
  </si>
  <si>
    <t>陶有亮</t>
  </si>
  <si>
    <r>
      <t>黄酒;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</si>
  <si>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悠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</si>
  <si>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市国悠酒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</si>
  <si>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食用酒精; 黄酒; 清酒</t>
    </r>
  </si>
  <si>
    <t>PROJECT WET</t>
  </si>
  <si>
    <r>
      <t>广州森力量企</t>
    </r>
    <r>
      <rPr>
        <sz val="11"/>
        <color theme="1"/>
        <rFont val="ＭＳ Ｐゴシック"/>
        <family val="3"/>
        <charset val="134"/>
        <scheme val="minor"/>
      </rPr>
      <t>业营销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</si>
  <si>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杜松子酒;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</si>
  <si>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伏特加酒; 果酒（含酒精）; 黄酒; 米酒</t>
    </r>
  </si>
  <si>
    <r>
      <t xml:space="preserve">果酒（含酒精）;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白酒; 葡萄酒; 威士忌; 米酒</t>
    </r>
  </si>
  <si>
    <t>酩梦令</t>
  </si>
  <si>
    <r>
      <t xml:space="preserve">清酒（日本米酒）; 蜂蜜酒;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青稞酒; 威士忌</t>
    </r>
  </si>
  <si>
    <r>
      <t>佬弘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</si>
  <si>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威士忌; 果酒（含酒精）; 白酒; 开胃酒;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</si>
  <si>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融养堂</t>
  </si>
  <si>
    <r>
      <t>安徽九方健康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</si>
  <si>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</si>
  <si>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竹榜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</si>
  <si>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蜂蜜酒; 开胃酒; 威士忌;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</si>
  <si>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君世福</t>
  </si>
  <si>
    <r>
      <t>利口酒; 果酒; 高粱酒;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</si>
  <si>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翰世盈</t>
    </r>
    <r>
      <rPr>
        <sz val="11"/>
        <color theme="1"/>
        <rFont val="ＭＳ Ｐゴシック"/>
        <family val="3"/>
        <charset val="134"/>
        <scheme val="minor"/>
      </rPr>
      <t>联</t>
    </r>
  </si>
  <si>
    <r>
      <t>云南翰世盈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</si>
  <si>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白酒;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</si>
  <si>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薄荷酒; 伏特加酒;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</t>
    </r>
  </si>
  <si>
    <t>云端坤粹</t>
  </si>
  <si>
    <r>
      <t>眉山市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</si>
  <si>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</si>
  <si>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牛魔王的悲</t>
    </r>
    <r>
      <rPr>
        <sz val="11"/>
        <color theme="1"/>
        <rFont val="ＭＳ Ｐゴシック"/>
        <family val="3"/>
        <charset val="134"/>
        <scheme val="minor"/>
      </rPr>
      <t>伤</t>
    </r>
  </si>
  <si>
    <r>
      <t>西安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肯企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</si>
  <si>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米酒; 利口酒; 果酒（含酒精）;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</si>
  <si>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枫</t>
    </r>
    <r>
      <rPr>
        <sz val="11"/>
        <color theme="1"/>
        <rFont val="ＭＳ Ｐゴシック"/>
        <family val="3"/>
        <charset val="128"/>
        <scheme val="minor"/>
      </rPr>
      <t>行晚</t>
    </r>
  </si>
  <si>
    <r>
      <t>尤</t>
    </r>
    <r>
      <rPr>
        <sz val="11"/>
        <color theme="1"/>
        <rFont val="ＭＳ Ｐゴシック"/>
        <family val="3"/>
        <charset val="134"/>
        <scheme val="minor"/>
      </rPr>
      <t>显</t>
    </r>
    <r>
      <rPr>
        <sz val="11"/>
        <color theme="1"/>
        <rFont val="ＭＳ Ｐゴシック"/>
        <family val="3"/>
        <charset val="128"/>
        <scheme val="minor"/>
      </rPr>
      <t>勇******************</t>
    </r>
  </si>
  <si>
    <r>
      <t xml:space="preserve">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</si>
  <si>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酷客泰山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</si>
  <si>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市酷客金樽酒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</si>
  <si>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</si>
  <si>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</si>
  <si>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珍酒金麒麟</t>
  </si>
  <si>
    <r>
      <t>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威士忌; 米酒;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</si>
  <si>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云境酷酣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</si>
  <si>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</si>
  <si>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干型苹果酒; 阿蒙蒂拉多白葡萄酒; 麦芽威士忌;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</si>
  <si>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衡昌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</si>
  <si>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 xml:space="preserve">白酒; 开胃酒;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蒸煮提取物（利口酒和烈酒）; 高粱酒; 五加皮酒（中国混合烈酒）;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</t>
    </r>
  </si>
  <si>
    <t>凝初</t>
  </si>
  <si>
    <t>牟垚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</si>
  <si>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白干酒（中国白酒）; 开胃酒; 米酒; 白酒; 蒸煮提取物（利口酒和烈酒）; 葡萄酒</t>
    </r>
  </si>
  <si>
    <r>
      <t>贞观</t>
    </r>
    <r>
      <rPr>
        <sz val="11"/>
        <color theme="1"/>
        <rFont val="ＭＳ Ｐゴシック"/>
        <family val="3"/>
        <charset val="128"/>
        <scheme val="minor"/>
      </rPr>
      <t>梦</t>
    </r>
  </si>
  <si>
    <r>
      <t>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</si>
  <si>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锦纪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</si>
  <si>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黄酒; 白酒; 开胃酒;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</si>
  <si>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仕</t>
    </r>
  </si>
  <si>
    <t>婺源碳基波生物科技有限公司</t>
  </si>
  <si>
    <r>
      <t>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甜酒;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青稞酒</t>
    </r>
  </si>
  <si>
    <r>
      <t>翠堤春</t>
    </r>
    <r>
      <rPr>
        <sz val="11"/>
        <color theme="1"/>
        <rFont val="ＭＳ Ｐゴシック"/>
        <family val="3"/>
        <charset val="134"/>
        <scheme val="minor"/>
      </rPr>
      <t>晓</t>
    </r>
  </si>
  <si>
    <r>
      <t>成都国基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</si>
  <si>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苦味酒; 蜂蜜酒; 葡萄酒; 米酒; 果酒（含酒精）; 利口酒; 杜松子酒</t>
    </r>
  </si>
  <si>
    <t>米神仙</t>
  </si>
  <si>
    <r>
      <t>上海聚</t>
    </r>
    <r>
      <rPr>
        <sz val="11"/>
        <color theme="1"/>
        <rFont val="ＭＳ Ｐゴシック"/>
        <family val="3"/>
        <charset val="134"/>
        <scheme val="minor"/>
      </rPr>
      <t>汇鲜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</si>
  <si>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</t>
    </r>
  </si>
  <si>
    <r>
      <t>匠文典唐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</si>
  <si>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文典酒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</si>
  <si>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食用酒精; 高粱酒; 烈酒</t>
    </r>
  </si>
  <si>
    <r>
      <t>龟</t>
    </r>
    <r>
      <rPr>
        <sz val="11"/>
        <color theme="1"/>
        <rFont val="ＭＳ Ｐゴシック"/>
        <family val="3"/>
        <charset val="128"/>
        <scheme val="minor"/>
      </rPr>
      <t>蒙春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</si>
  <si>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沂新智品牌管理中心（个人独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</si>
  <si>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葡萄酒; 白酒; 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</si>
  <si>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光里</t>
    </r>
  </si>
  <si>
    <r>
      <t>良运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科技（五常市）有限公司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</si>
  <si>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</si>
  <si>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行者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</si>
  <si>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</si>
  <si>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登月日</t>
    </r>
    <r>
      <rPr>
        <sz val="11"/>
        <color theme="1"/>
        <rFont val="ＭＳ Ｐゴシック"/>
        <family val="3"/>
        <charset val="134"/>
        <scheme val="minor"/>
      </rPr>
      <t>记</t>
    </r>
  </si>
  <si>
    <t>陈进举</t>
  </si>
  <si>
    <r>
      <t xml:space="preserve">葡萄酒;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果酒（含酒精）; 清酒（日本米酒）; 白酒</t>
    </r>
  </si>
  <si>
    <t>万湖梦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</si>
  <si>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天然汽酒; 加烈葡萄酒; 白酒; 果酒（含酒精）;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甜果酒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</si>
  <si>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市瑰谷酒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</si>
  <si>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餐后酒（利口酒和烈酒）;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白酒</t>
    </r>
  </si>
  <si>
    <t>太葫酒</t>
  </si>
  <si>
    <t>北京都元生物科学研究院</t>
  </si>
  <si>
    <r>
      <t>白葡萄酒;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露酒;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加烈葡萄酒</t>
    </r>
  </si>
  <si>
    <t>仙村禧</t>
  </si>
  <si>
    <t>黄依凡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</si>
  <si>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果酒（含酒精）; 清酒（日本米酒）; 威士忌; 白酒; 烈酒</t>
    </r>
  </si>
  <si>
    <t>程以南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</si>
  <si>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酒易云供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</si>
  <si>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伏特加酒; 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</si>
  <si>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FREEPANDA</t>
  </si>
  <si>
    <r>
      <t>果酒;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</si>
  <si>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冬北谷</t>
  </si>
  <si>
    <r>
      <t>成都易企莱商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</si>
  <si>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黄酒; 食用酒精; 果酒（含酒精）; 威士忌;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</si>
  <si>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酷客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岳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</si>
  <si>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</si>
  <si>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献瑞灵鹿</t>
  </si>
  <si>
    <t>高青枝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</si>
  <si>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</si>
  <si>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柠</t>
    </r>
    <r>
      <rPr>
        <sz val="11"/>
        <color theme="1"/>
        <rFont val="ＭＳ Ｐゴシック"/>
        <family val="3"/>
        <charset val="128"/>
        <scheme val="minor"/>
      </rPr>
      <t>聚点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</si>
  <si>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壹零会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</si>
  <si>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黄酒; 白酒; 食用酒精;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</si>
  <si>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箬川源</t>
  </si>
  <si>
    <r>
      <t>豪廷世佳（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水）供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</si>
  <si>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甜酒;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米酒; 白酒;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</t>
    </r>
  </si>
  <si>
    <t>福梦福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</si>
  <si>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高粱酒; 威士忌; 利口酒;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</si>
  <si>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瑞羽孔雀</t>
  </si>
  <si>
    <r>
      <t>德宏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</si>
  <si>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葡萄酒; 白干酒（中国白酒）</t>
    </r>
  </si>
  <si>
    <t>岭上无狼</t>
  </si>
  <si>
    <r>
      <t>烈性干酒; 白酒; 伏特加酒; 高粱酒;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食用酒精;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</si>
  <si>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小禾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</si>
  <si>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食用酒精;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</si>
  <si>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</si>
  <si>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盘龙</t>
    </r>
    <r>
      <rPr>
        <sz val="11"/>
        <color theme="1"/>
        <rFont val="ＭＳ Ｐゴシック"/>
        <family val="3"/>
        <charset val="128"/>
        <scheme val="minor"/>
      </rPr>
      <t>云海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品（上海）有限公司</t>
    </r>
  </si>
  <si>
    <r>
      <t>白酒; 露酒; 米酒; 果酒（含酒精）;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</si>
  <si>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久福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</si>
  <si>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白酒; 蜂蜜酒;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</si>
  <si>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申幸福</t>
  </si>
  <si>
    <r>
      <t>河南省一日三餐餐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</si>
  <si>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</si>
  <si>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吻未来</t>
  </si>
  <si>
    <r>
      <t>巴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九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久道健康科技有限公司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</si>
  <si>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烈酒; 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</si>
  <si>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</si>
  <si>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白酒; 开胃酒; 高粱酒; 五加皮酒（中国混合烈酒）; 清酒; 白干酒（中国白酒）; 蒸煮提取物（利口酒和烈酒）;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</si>
  <si>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BLUEBEAUTIFUL</t>
  </si>
  <si>
    <r>
      <t>四川金抖云</t>
    </r>
    <r>
      <rPr>
        <sz val="11"/>
        <color theme="1"/>
        <rFont val="ＭＳ Ｐゴシック"/>
        <family val="3"/>
        <charset val="134"/>
        <scheme val="minor"/>
      </rPr>
      <t>腾营销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</si>
  <si>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露酒; 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青梅酒; 甜酒;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</si>
  <si>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歌当歌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</si>
  <si>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</si>
  <si>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果酒（含酒精）</t>
    </r>
  </si>
  <si>
    <t>唐捌久</t>
  </si>
  <si>
    <r>
      <t>上海膳稻餐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</si>
  <si>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日式甜米酒; 威士忌; 米酒; 白酒; 葡萄酒; 清酒（日本米酒）;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</si>
  <si>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t>初木原</t>
  </si>
  <si>
    <r>
      <t>宋</t>
    </r>
    <r>
      <rPr>
        <sz val="11"/>
        <color theme="1"/>
        <rFont val="ＭＳ Ｐゴシック"/>
        <family val="3"/>
        <charset val="134"/>
        <scheme val="minor"/>
      </rPr>
      <t>丽凤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</si>
  <si>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米酒; 伏特加酒; 黄酒; 朗姆酒</t>
    </r>
  </si>
  <si>
    <t>邦众民</t>
  </si>
  <si>
    <r>
      <t>梅酒; 果酒; 朗姆酒;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甜酒;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</si>
  <si>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滇南福</t>
  </si>
  <si>
    <r>
      <t>白酒;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葡萄酒; 露酒; 黄酒; 米酒</t>
    </r>
  </si>
  <si>
    <r>
      <t>孝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</si>
  <si>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甜果酒;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 xml:space="preserve">朗姆酒; 天然汽酒; 加烈葡萄酒;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</si>
  <si>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友</t>
    </r>
    <r>
      <rPr>
        <sz val="11"/>
        <color theme="1"/>
        <rFont val="ＭＳ Ｐゴシック"/>
        <family val="3"/>
        <charset val="134"/>
        <scheme val="minor"/>
      </rPr>
      <t>谊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</si>
  <si>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</si>
  <si>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浪</t>
    </r>
  </si>
  <si>
    <r>
      <t>劳庆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</si>
  <si>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白酒;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</si>
  <si>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乾九福</t>
  </si>
  <si>
    <r>
      <t>卢</t>
    </r>
    <r>
      <rPr>
        <sz val="11"/>
        <color theme="1"/>
        <rFont val="ＭＳ Ｐゴシック"/>
        <family val="3"/>
        <charset val="128"/>
        <scheme val="minor"/>
      </rPr>
      <t>真真</t>
    </r>
  </si>
  <si>
    <r>
      <t>白酒; 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</t>
    </r>
  </si>
  <si>
    <t>故洲</t>
  </si>
  <si>
    <r>
      <t>屋太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（海口）供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</si>
  <si>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黄酒; 米酒;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</t>
    </r>
  </si>
  <si>
    <t>衡昌星火</t>
  </si>
  <si>
    <r>
      <t>白酒; 开胃酒; 白干酒（中国白酒）;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蒸煮提取物（利口酒和烈酒）; 高粱酒; 五加皮酒（中国混合烈酒）;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</si>
  <si>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酌江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</si>
  <si>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青稞酒; 清酒（日本米酒）;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</si>
  <si>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奋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</si>
  <si>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白仲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</si>
  <si>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清酒（日本米酒）; 葡萄酒; 白酒; 开胃酒;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</si>
  <si>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鲁贡</t>
    </r>
    <r>
      <rPr>
        <sz val="11"/>
        <color theme="1"/>
        <rFont val="ＭＳ Ｐゴシック"/>
        <family val="3"/>
        <charset val="128"/>
        <scheme val="minor"/>
      </rPr>
      <t>壹</t>
    </r>
  </si>
  <si>
    <r>
      <t>李洪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</si>
  <si>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伏特加酒; 朗姆酒;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米酒</t>
    </r>
  </si>
  <si>
    <r>
      <t>花之</t>
    </r>
    <r>
      <rPr>
        <sz val="11"/>
        <color theme="1"/>
        <rFont val="ＭＳ Ｐゴシック"/>
        <family val="3"/>
        <charset val="134"/>
        <scheme val="minor"/>
      </rPr>
      <t>浓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</si>
  <si>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</si>
  <si>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淼云</t>
    </r>
    <r>
      <rPr>
        <sz val="11"/>
        <color theme="1"/>
        <rFont val="ＭＳ Ｐゴシック"/>
        <family val="3"/>
        <charset val="134"/>
        <scheme val="minor"/>
      </rPr>
      <t>昙</t>
    </r>
  </si>
  <si>
    <r>
      <t>方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</si>
  <si>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白酒; 果酒（含酒精）; 开胃酒; 米酒;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</si>
  <si>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都城敢烤</t>
  </si>
  <si>
    <r>
      <t>北京胡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一品餐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</si>
  <si>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</t>
    </r>
  </si>
  <si>
    <r>
      <t>腊帕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</si>
  <si>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大腕商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</si>
  <si>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</si>
  <si>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朱伯</t>
    </r>
    <r>
      <rPr>
        <sz val="11"/>
        <color theme="1"/>
        <rFont val="ＭＳ Ｐゴシック"/>
        <family val="3"/>
        <charset val="134"/>
        <scheme val="minor"/>
      </rPr>
      <t>扬</t>
    </r>
  </si>
  <si>
    <r>
      <t>宏洋（茂名）文化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</si>
  <si>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葡萄酒;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</si>
  <si>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九脉客醇黄</t>
  </si>
  <si>
    <r>
      <t>广州医美医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</si>
  <si>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</si>
  <si>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嗡嗡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</si>
  <si>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翁云</t>
    </r>
    <r>
      <rPr>
        <sz val="11"/>
        <color theme="1"/>
        <rFont val="ＭＳ Ｐゴシック"/>
        <family val="3"/>
        <charset val="134"/>
        <scheme val="minor"/>
      </rPr>
      <t>卫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</si>
  <si>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</si>
  <si>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名亳</t>
  </si>
  <si>
    <r>
      <t>安徽魏泉酒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</si>
  <si>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威士忌;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</si>
  <si>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t>朋克慕</t>
  </si>
  <si>
    <r>
      <t>上海七草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</si>
  <si>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日式甜米酒;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</si>
  <si>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毛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</si>
  <si>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葡萄酒; 利口酒;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汽酒; 果酒（含酒精）</t>
    </r>
  </si>
  <si>
    <r>
      <t>喜</t>
    </r>
    <r>
      <rPr>
        <sz val="11"/>
        <color theme="1"/>
        <rFont val="ＭＳ Ｐゴシック"/>
        <family val="3"/>
        <charset val="129"/>
        <scheme val="minor"/>
      </rPr>
      <t>唰唰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</si>
  <si>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兵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</si>
  <si>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</si>
  <si>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旗中莎</t>
  </si>
  <si>
    <r>
      <t>上海旗中莎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</si>
  <si>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苹果酒</t>
    </r>
  </si>
  <si>
    <t>冬倌酒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</si>
  <si>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市翠屏区冬耀商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</si>
  <si>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开胃酒; 白酒;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</si>
  <si>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豫利</t>
  </si>
  <si>
    <r>
      <t>谭</t>
    </r>
    <r>
      <rPr>
        <sz val="11"/>
        <color theme="1"/>
        <rFont val="ＭＳ Ｐゴシック"/>
        <family val="3"/>
        <charset val="128"/>
        <scheme val="minor"/>
      </rPr>
      <t>恩宣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</si>
  <si>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</si>
  <si>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咖芒</t>
  </si>
  <si>
    <r>
      <t>星探桔（杭州）网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</si>
  <si>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</t>
    </r>
  </si>
  <si>
    <t>沪上味德丰</t>
  </si>
  <si>
    <t>浙江味德丰食品科技有限公司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</si>
  <si>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食用酒精; 黄酒; 开胃酒</t>
    </r>
  </si>
  <si>
    <t>观苍</t>
  </si>
  <si>
    <r>
      <t>陆</t>
    </r>
    <r>
      <rPr>
        <sz val="11"/>
        <color theme="1"/>
        <rFont val="ＭＳ Ｐゴシック"/>
        <family val="3"/>
        <charset val="128"/>
        <scheme val="minor"/>
      </rPr>
      <t>振清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</si>
  <si>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果酒（含酒精）</t>
    </r>
  </si>
  <si>
    <t>惠多港</t>
  </si>
  <si>
    <r>
      <t>北京醉牛酒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</si>
  <si>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威士忌;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</si>
  <si>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觅</t>
    </r>
    <r>
      <rPr>
        <sz val="11"/>
        <color theme="1"/>
        <rFont val="ＭＳ Ｐゴシック"/>
        <family val="3"/>
        <charset val="128"/>
        <scheme val="minor"/>
      </rPr>
      <t>酒客</t>
    </r>
  </si>
  <si>
    <r>
      <t xml:space="preserve">果酒（含酒精）; 利口酒;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开胃酒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</si>
  <si>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溪美食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</si>
  <si>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蜂蜜酒;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</si>
  <si>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叶秘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</si>
  <si>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莞市朗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</si>
  <si>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</si>
  <si>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梅好告白</t>
  </si>
  <si>
    <r>
      <t xml:space="preserve">烈酒;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</si>
  <si>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一墨云</t>
  </si>
  <si>
    <t>李昆******************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</si>
  <si>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威士忌; 朗姆酒;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</si>
  <si>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陈坛龙</t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</si>
  <si>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山昆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</si>
  <si>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白酒; 果酒（含酒精）; 黄酒; 利口酒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</si>
  <si>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</si>
  <si>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王杏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</si>
  <si>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利口酒;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</si>
  <si>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</si>
  <si>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威士忌;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</si>
  <si>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t>酩亳</t>
  </si>
  <si>
    <r>
      <t>果酒（含酒精）; 葡萄酒; 黄酒;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</si>
  <si>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</si>
  <si>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</t>
    </r>
  </si>
  <si>
    <t>皇方台</t>
  </si>
  <si>
    <r>
      <t>刘金</t>
    </r>
    <r>
      <rPr>
        <sz val="11"/>
        <color theme="1"/>
        <rFont val="ＭＳ Ｐゴシック"/>
        <family val="3"/>
        <charset val="134"/>
        <scheme val="minor"/>
      </rPr>
      <t>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</si>
  <si>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黄酒; 清酒（日本米酒）; 白酒; 烈酒;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</si>
  <si>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t>赤洛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</si>
  <si>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威士忌;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</si>
  <si>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t>疏泰堂</t>
  </si>
  <si>
    <t>浙江京健健康管理有限公司</t>
  </si>
  <si>
    <r>
      <t xml:space="preserve">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含酒精的气泡水; 开胃酒; 清酒; 白酒; 米酒; 葡萄酒</t>
    </r>
  </si>
  <si>
    <t>君品帆</t>
  </si>
  <si>
    <t>符志威</t>
  </si>
  <si>
    <r>
      <t>白酒; 葡萄酒;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</si>
  <si>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福繁</t>
    </r>
    <r>
      <rPr>
        <sz val="11"/>
        <color theme="1"/>
        <rFont val="ＭＳ Ｐゴシック"/>
        <family val="3"/>
        <charset val="134"/>
        <scheme val="minor"/>
      </rPr>
      <t>华龙锦绣</t>
    </r>
  </si>
  <si>
    <r>
      <t>深圳市福繁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</si>
  <si>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</si>
  <si>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极草堂</t>
  </si>
  <si>
    <r>
      <t>刘</t>
    </r>
    <r>
      <rPr>
        <sz val="11"/>
        <color theme="1"/>
        <rFont val="ＭＳ Ｐゴシック"/>
        <family val="3"/>
        <charset val="134"/>
        <scheme val="minor"/>
      </rPr>
      <t>传飞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</si>
  <si>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</si>
  <si>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张华酿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</si>
  <si>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黄酒; 伏特加酒; 白酒</t>
    </r>
  </si>
  <si>
    <r>
      <t>欧</t>
    </r>
    <r>
      <rPr>
        <sz val="11"/>
        <color theme="1"/>
        <rFont val="ＭＳ Ｐゴシック"/>
        <family val="3"/>
        <charset val="134"/>
        <scheme val="minor"/>
      </rPr>
      <t>诺亚</t>
    </r>
    <r>
      <rPr>
        <sz val="11"/>
        <color theme="1"/>
        <rFont val="ＭＳ Ｐゴシック"/>
        <family val="3"/>
        <charset val="128"/>
        <scheme val="minor"/>
      </rPr>
      <t>（深圳）供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</si>
  <si>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朗姆酒</t>
    </r>
  </si>
  <si>
    <t>王瑾</t>
  </si>
  <si>
    <r>
      <t>咖啡利口酒;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</si>
  <si>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医扁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</si>
  <si>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北京光荣年代酒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</si>
  <si>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食用酒精;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露酒; 白酒</t>
    </r>
  </si>
  <si>
    <t>涂派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</si>
  <si>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州聚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</si>
  <si>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露酒; 果酒; 米酒; 高粱酒; 青稞酒;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</si>
  <si>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姬</t>
    </r>
    <r>
      <rPr>
        <sz val="11"/>
        <color theme="1"/>
        <rFont val="ＭＳ Ｐゴシック"/>
        <family val="3"/>
        <charset val="128"/>
        <scheme val="minor"/>
      </rPr>
      <t>伍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</si>
  <si>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李小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</si>
  <si>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米酒; 柑香酒; 苦味酒; 酸酒（低等葡萄酒）; 食用酒精;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</si>
  <si>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惟元克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</si>
  <si>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江惟元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</si>
  <si>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白干酒（中国白酒）; 黄酒; 苹果酒; 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</t>
    </r>
  </si>
  <si>
    <r>
      <t>福建省明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</si>
  <si>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米酒;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白酒</t>
    </r>
  </si>
  <si>
    <t>粮十京</t>
  </si>
  <si>
    <r>
      <t>衡水</t>
    </r>
    <r>
      <rPr>
        <sz val="11"/>
        <color theme="1"/>
        <rFont val="ＭＳ Ｐゴシック"/>
        <family val="3"/>
        <charset val="134"/>
        <scheme val="minor"/>
      </rPr>
      <t>临贤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</si>
  <si>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葡萄酒;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</si>
  <si>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藏渊</t>
  </si>
  <si>
    <r>
      <t>海口美</t>
    </r>
    <r>
      <rPr>
        <sz val="11"/>
        <color theme="1"/>
        <rFont val="ＭＳ Ｐゴシック"/>
        <family val="3"/>
        <charset val="134"/>
        <scheme val="minor"/>
      </rPr>
      <t>兰兴联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</si>
  <si>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食用酒精;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</si>
  <si>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为</t>
    </r>
    <r>
      <rPr>
        <sz val="11"/>
        <color theme="1"/>
        <rFont val="ＭＳ Ｐゴシック"/>
        <family val="3"/>
        <charset val="128"/>
        <scheme val="minor"/>
      </rPr>
      <t>派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</si>
  <si>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程涵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</si>
  <si>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</si>
  <si>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水口园曦酒</t>
  </si>
  <si>
    <r>
      <t>古</t>
    </r>
    <r>
      <rPr>
        <sz val="11"/>
        <color theme="1"/>
        <rFont val="ＭＳ Ｐゴシック"/>
        <family val="3"/>
        <charset val="134"/>
        <scheme val="minor"/>
      </rPr>
      <t>蔺县</t>
    </r>
    <r>
      <rPr>
        <sz val="11"/>
        <color theme="1"/>
        <rFont val="ＭＳ Ｐゴシック"/>
        <family val="3"/>
        <charset val="128"/>
        <scheme val="minor"/>
      </rPr>
      <t>茅溪</t>
    </r>
    <r>
      <rPr>
        <sz val="11"/>
        <color theme="1"/>
        <rFont val="ＭＳ Ｐゴシック"/>
        <family val="3"/>
        <charset val="134"/>
        <scheme val="minor"/>
      </rPr>
      <t>镇鹏</t>
    </r>
    <r>
      <rPr>
        <sz val="11"/>
        <color theme="1"/>
        <rFont val="ＭＳ Ｐゴシック"/>
        <family val="3"/>
        <charset val="128"/>
        <scheme val="minor"/>
      </rPr>
      <t>路运</t>
    </r>
    <r>
      <rPr>
        <sz val="11"/>
        <color theme="1"/>
        <rFont val="ＭＳ Ｐゴシック"/>
        <family val="3"/>
        <charset val="134"/>
        <scheme val="minor"/>
      </rPr>
      <t>输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</si>
  <si>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威士忌; 米酒;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</si>
  <si>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SUSA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</si>
  <si>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苏苏萨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</si>
  <si>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蜂蜜酒; 威士忌; 梨酒;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</t>
    </r>
  </si>
  <si>
    <r>
      <t>闪</t>
    </r>
    <r>
      <rPr>
        <sz val="11"/>
        <color theme="1"/>
        <rFont val="ＭＳ Ｐゴシック"/>
        <family val="3"/>
        <charset val="128"/>
        <scheme val="minor"/>
      </rPr>
      <t>耀普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</si>
  <si>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深圳麋鹿酒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</si>
  <si>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苹果酒; 白酒;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葡萄酒; 酸酒（低等葡萄酒）; 薄荷酒</t>
    </r>
  </si>
  <si>
    <t>醯亮</t>
  </si>
  <si>
    <r>
      <t>杨</t>
    </r>
    <r>
      <rPr>
        <sz val="11"/>
        <color theme="1"/>
        <rFont val="ＭＳ Ｐゴシック"/>
        <family val="3"/>
        <charset val="128"/>
        <scheme val="minor"/>
      </rPr>
      <t>亮******************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</si>
  <si>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青梅酒; 高粱酒; 甜酒; 青稞酒;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</si>
  <si>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钦</t>
    </r>
    <r>
      <rPr>
        <sz val="11"/>
        <color theme="1"/>
        <rFont val="ＭＳ Ｐゴシック"/>
        <family val="3"/>
        <charset val="128"/>
        <scheme val="minor"/>
      </rPr>
      <t>品英雄</t>
    </r>
  </si>
  <si>
    <r>
      <t>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白酒; 清酒（日本米酒）; 威士忌;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</si>
  <si>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朝澍</t>
  </si>
  <si>
    <r>
      <t>四川睿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星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用技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研究有限公司</t>
    </r>
  </si>
  <si>
    <r>
      <t>果酒（含酒精）;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朗姆酒; 威士忌; 黄酒; 米酒; 白酒</t>
    </r>
  </si>
  <si>
    <t>ALIOTIME 阿雷欧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</si>
  <si>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水果汽酒;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咖啡利口酒; 蜂蜜酒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</si>
  <si>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瓷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</si>
  <si>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威士忌; 开胃酒; 果酒（含酒精）; 黄酒</t>
    </r>
  </si>
  <si>
    <t>酎坤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</si>
  <si>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清酒（日本米酒）; 米酒</t>
    </r>
  </si>
  <si>
    <r>
      <t>盏凤</t>
    </r>
    <r>
      <rPr>
        <sz val="11"/>
        <color theme="1"/>
        <rFont val="ＭＳ Ｐゴシック"/>
        <family val="3"/>
        <charset val="128"/>
        <scheme val="minor"/>
      </rPr>
      <t>彩</t>
    </r>
  </si>
  <si>
    <r>
      <t>王少</t>
    </r>
    <r>
      <rPr>
        <sz val="11"/>
        <color theme="1"/>
        <rFont val="ＭＳ Ｐゴシック"/>
        <family val="3"/>
        <charset val="134"/>
        <scheme val="minor"/>
      </rPr>
      <t>聪</t>
    </r>
  </si>
  <si>
    <r>
      <t xml:space="preserve">朗姆酒;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白干酒（中国白酒）; 烈酒</t>
    </r>
  </si>
  <si>
    <t>果小可</t>
  </si>
  <si>
    <r>
      <t>吕</t>
    </r>
    <r>
      <rPr>
        <sz val="11"/>
        <color theme="1"/>
        <rFont val="ＭＳ Ｐゴシック"/>
        <family val="3"/>
        <charset val="128"/>
        <scheme val="minor"/>
      </rPr>
      <t>宗金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</si>
  <si>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黄酒; 烈酒; 葡萄酒; 果酒（含酒精）; 威士忌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</si>
  <si>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鹤乡</t>
    </r>
  </si>
  <si>
    <t>陈刚</t>
  </si>
  <si>
    <r>
      <t>黄酒; 青稞酒;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</si>
  <si>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黄酒; 葡萄酒; 朗姆酒;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果酒（含酒精）; 威士忌; 米酒</t>
    </r>
  </si>
  <si>
    <t>醺.邀月</t>
  </si>
  <si>
    <r>
      <t>成都森宇之焜商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</si>
  <si>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咏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</si>
  <si>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大粤</t>
    </r>
    <r>
      <rPr>
        <sz val="11"/>
        <color theme="1"/>
        <rFont val="ＭＳ Ｐゴシック"/>
        <family val="3"/>
        <charset val="134"/>
        <scheme val="minor"/>
      </rPr>
      <t>团圆</t>
    </r>
    <r>
      <rPr>
        <sz val="11"/>
        <color theme="1"/>
        <rFont val="ＭＳ Ｐゴシック"/>
        <family val="3"/>
        <charset val="128"/>
        <scheme val="minor"/>
      </rPr>
      <t>食品（佛山市）有限公司</t>
    </r>
  </si>
  <si>
    <r>
      <t>甜酒; 果酒（含酒精）; 黄酒; 果酒;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开胃酒</t>
    </r>
  </si>
  <si>
    <t>微史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</si>
  <si>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州柒泉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渊酒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</si>
  <si>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汽酒; 开胃酒;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</si>
  <si>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古酒山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</si>
  <si>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烈酒; 露酒; 黄酒; 食用酒精; 白酒; 清酒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</si>
  <si>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</si>
  <si>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</si>
  <si>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翕</t>
    </r>
    <r>
      <rPr>
        <sz val="11"/>
        <color theme="1"/>
        <rFont val="ＭＳ Ｐゴシック"/>
        <family val="3"/>
        <charset val="134"/>
        <scheme val="minor"/>
      </rPr>
      <t>钵满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</si>
  <si>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翕</t>
    </r>
    <r>
      <rPr>
        <sz val="11"/>
        <color theme="1"/>
        <rFont val="ＭＳ Ｐゴシック"/>
        <family val="3"/>
        <charset val="134"/>
        <scheme val="minor"/>
      </rPr>
      <t>钵满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</si>
  <si>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果酒（含酒精）;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</si>
  <si>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咏梦台</t>
  </si>
  <si>
    <r>
      <t>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果酒（含酒精）; 威士忌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</si>
  <si>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诣</t>
    </r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</si>
  <si>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果酒; 高粱酒</t>
    </r>
  </si>
  <si>
    <t>寄愿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</si>
  <si>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汽酒</t>
    </r>
  </si>
  <si>
    <r>
      <t>濑</t>
    </r>
    <r>
      <rPr>
        <sz val="11"/>
        <color theme="1"/>
        <rFont val="ＭＳ Ｐゴシック"/>
        <family val="3"/>
        <charset val="128"/>
        <scheme val="minor"/>
      </rPr>
      <t>江原溪</t>
    </r>
  </si>
  <si>
    <r>
      <t>平果市秋</t>
    </r>
    <r>
      <rPr>
        <sz val="11"/>
        <color theme="1"/>
        <rFont val="ＭＳ Ｐゴシック"/>
        <family val="3"/>
        <charset val="134"/>
        <scheme val="minor"/>
      </rPr>
      <t>辉长</t>
    </r>
    <r>
      <rPr>
        <sz val="11"/>
        <color theme="1"/>
        <rFont val="ＭＳ Ｐゴシック"/>
        <family val="3"/>
        <charset val="128"/>
        <scheme val="minor"/>
      </rPr>
      <t>酵</t>
    </r>
    <r>
      <rPr>
        <sz val="11"/>
        <color theme="1"/>
        <rFont val="ＭＳ Ｐゴシック"/>
        <family val="3"/>
        <charset val="134"/>
        <scheme val="minor"/>
      </rPr>
      <t>陈酿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</si>
  <si>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 xml:space="preserve">米酒; 白酒; 果酒（含酒精）;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葡萄酒; 苦味酒</t>
    </r>
  </si>
  <si>
    <r>
      <t>舌小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</si>
  <si>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质</t>
    </r>
    <r>
      <rPr>
        <sz val="11"/>
        <color theme="1"/>
        <rFont val="ＭＳ Ｐゴシック"/>
        <family val="3"/>
        <charset val="128"/>
        <scheme val="minor"/>
      </rPr>
      <t>凡商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</si>
  <si>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米酒; 葡萄酒; 果酒（含酒精）; 青稞酒;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蜂蜜酒</t>
    </r>
  </si>
  <si>
    <r>
      <t>禾盅堂大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清祖</t>
    </r>
  </si>
  <si>
    <r>
      <t>吉林省圣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</si>
  <si>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酸酒（低等葡萄酒）;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</si>
  <si>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密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</si>
  <si>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春市酒加商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</si>
  <si>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利口酒</t>
    </r>
  </si>
  <si>
    <r>
      <t>猪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</si>
  <si>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时纽</t>
    </r>
    <r>
      <rPr>
        <sz val="11"/>
        <color theme="1"/>
        <rFont val="ＭＳ Ｐゴシック"/>
        <family val="3"/>
        <charset val="128"/>
        <scheme val="minor"/>
      </rPr>
      <t>盈养殖有限公司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</si>
  <si>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</si>
  <si>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画里大丰</t>
  </si>
  <si>
    <r>
      <t>大丰鹿苑养殖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</si>
  <si>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威士忌;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</si>
  <si>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r>
      <t>格而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</si>
  <si>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黄酒; 米酒; 白酒; 露酒;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</si>
  <si>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七酎坤</t>
  </si>
  <si>
    <r>
      <t>果酒（含酒精）; 葡萄酒; 威士忌;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</si>
  <si>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莯</t>
    </r>
    <r>
      <rPr>
        <sz val="11"/>
        <color theme="1"/>
        <rFont val="ＭＳ Ｐゴシック"/>
        <family val="3"/>
        <charset val="128"/>
        <scheme val="minor"/>
      </rPr>
      <t>禾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</si>
  <si>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市小沐餐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</si>
  <si>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高粱酒;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果酒（含酒精）; 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</si>
  <si>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醉云畔</t>
  </si>
  <si>
    <r>
      <t>刘春</t>
    </r>
    <r>
      <rPr>
        <sz val="11"/>
        <color theme="1"/>
        <rFont val="ＭＳ Ｐゴシック"/>
        <family val="3"/>
        <charset val="134"/>
        <scheme val="minor"/>
      </rPr>
      <t>节</t>
    </r>
  </si>
  <si>
    <r>
      <t xml:space="preserve">白酒; 果酒（含酒精）; 清酒（日本米酒）; 威士忌;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</t>
    </r>
  </si>
  <si>
    <t>太臣</t>
  </si>
  <si>
    <t>刘金淮</t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</si>
  <si>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烈酒; 威士忌</t>
    </r>
  </si>
  <si>
    <t>福之彩</t>
  </si>
  <si>
    <r>
      <t>李</t>
    </r>
    <r>
      <rPr>
        <sz val="11"/>
        <color theme="1"/>
        <rFont val="ＭＳ Ｐゴシック"/>
        <family val="3"/>
        <charset val="134"/>
        <scheme val="minor"/>
      </rPr>
      <t>鹏飞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</si>
  <si>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白酒; 烈酒; 朗姆酒;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青梅酒; 青稞酒</t>
    </r>
  </si>
  <si>
    <t>安娜之路</t>
  </si>
  <si>
    <r>
      <t>上海永田酒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</si>
  <si>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利口酒; 汽酒;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</si>
  <si>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龙腾</t>
    </r>
    <r>
      <rPr>
        <sz val="11"/>
        <color theme="1"/>
        <rFont val="ＭＳ Ｐゴシック"/>
        <family val="3"/>
        <charset val="128"/>
        <scheme val="minor"/>
      </rPr>
      <t>祥和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</si>
  <si>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改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</si>
  <si>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</si>
  <si>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孟道</t>
  </si>
  <si>
    <r>
      <t xml:space="preserve">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清酒; 葡萄酒; 伏特加酒;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</si>
  <si>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江南味德丰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</si>
  <si>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黄酒; 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</si>
  <si>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强</t>
    </r>
    <r>
      <rPr>
        <sz val="11"/>
        <color theme="1"/>
        <rFont val="ＭＳ Ｐゴシック"/>
        <family val="3"/>
        <charset val="128"/>
        <scheme val="minor"/>
      </rPr>
      <t>彩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</si>
  <si>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朗姆酒; 白酒; 黄酒; 青梅酒;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烈酒; 白干酒（中国白酒）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</si>
  <si>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雅</t>
    </r>
  </si>
  <si>
    <r>
      <t xml:space="preserve">朗姆酒; 黄酒; 白干酒（中国白酒）;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青梅酒;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</si>
  <si>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神重</t>
  </si>
  <si>
    <t>河南省神州重型机械有限公司</t>
  </si>
  <si>
    <r>
      <t>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起泡白葡萄酒;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</si>
  <si>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份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御品</t>
    </r>
  </si>
  <si>
    <t>廖文学</t>
  </si>
  <si>
    <r>
      <t xml:space="preserve">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</t>
    </r>
  </si>
  <si>
    <t>谦刚</t>
  </si>
  <si>
    <t>宁波德康生物制品有限公司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</si>
  <si>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果酒（含酒精）</t>
    </r>
  </si>
  <si>
    <t>柒不停 7</t>
  </si>
  <si>
    <r>
      <t>拾肆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(湖北)数字科技有限公司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</si>
  <si>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</si>
  <si>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叶叶情</t>
  </si>
  <si>
    <t>朱芳芳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</si>
  <si>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</t>
    </r>
  </si>
  <si>
    <r>
      <t>醉.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日</t>
    </r>
  </si>
  <si>
    <t>将塔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</si>
  <si>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开胃酒; 威士忌; 果酒（含酒精）; 黄酒;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</si>
  <si>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奥之源</t>
  </si>
  <si>
    <r>
      <t>深圳市微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文化数字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</si>
  <si>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烈性干酒; 利口酒; 米酒;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高粱酒;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</si>
  <si>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t>瀚象</t>
  </si>
  <si>
    <r>
      <t>刘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能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</si>
  <si>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汽酒; 黄酒; 葡萄酒</t>
    </r>
  </si>
  <si>
    <t>清易德</t>
  </si>
  <si>
    <r>
      <t>马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</si>
  <si>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青稞酒; 清酒（日本米酒）</t>
    </r>
  </si>
  <si>
    <t>ZOOPOLIS</t>
  </si>
  <si>
    <r>
      <t>浙江中南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悠品牌管理有限公司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</si>
  <si>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青稞酒;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食用酒精</t>
    </r>
  </si>
  <si>
    <r>
      <t>体面云</t>
    </r>
    <r>
      <rPr>
        <sz val="11"/>
        <color theme="1"/>
        <rFont val="ＭＳ Ｐゴシック"/>
        <family val="3"/>
        <charset val="134"/>
        <scheme val="minor"/>
      </rPr>
      <t>庐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</si>
  <si>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清酒（日本米酒）;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</si>
  <si>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秘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</si>
  <si>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果酒（含酒精）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</si>
  <si>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知礼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</si>
  <si>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星</t>
    </r>
    <r>
      <rPr>
        <sz val="11"/>
        <color theme="1"/>
        <rFont val="ＭＳ Ｐゴシック"/>
        <family val="3"/>
        <charset val="134"/>
        <scheme val="minor"/>
      </rPr>
      <t>谕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</si>
  <si>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葡萄酒; 米酒;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清酒; 高粱酒; 黄酒</t>
    </r>
  </si>
  <si>
    <t>CHATEAU DE BEYSTER</t>
  </si>
  <si>
    <r>
      <t>仁邦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出口（烟台）有限公司</t>
    </r>
  </si>
  <si>
    <r>
      <t xml:space="preserve">葡萄酒;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甜酒</t>
    </r>
  </si>
  <si>
    <r>
      <t>新疆前海酒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</si>
  <si>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汽酒;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</si>
  <si>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极草王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</si>
  <si>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食用酒精;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</si>
  <si>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月壹号酒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</si>
  <si>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露酒; 白酒; 佐餐酒;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</si>
  <si>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词</t>
    </r>
    <r>
      <rPr>
        <sz val="11"/>
        <color theme="1"/>
        <rFont val="ＭＳ Ｐゴシック"/>
        <family val="3"/>
        <charset val="128"/>
        <scheme val="minor"/>
      </rPr>
      <t>茶令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</si>
  <si>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春茶媛餐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</si>
  <si>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</si>
  <si>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子神</t>
    </r>
  </si>
  <si>
    <r>
      <t>河南木十五网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</si>
  <si>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青梅酒;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清酒; 果酒; 葡萄酒; 白酒; 米酒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</si>
  <si>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福川</t>
    </r>
  </si>
  <si>
    <t>朱莽</t>
  </si>
  <si>
    <r>
      <t>葡萄酒;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</si>
  <si>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云莱</t>
    </r>
    <r>
      <rPr>
        <sz val="11"/>
        <color theme="1"/>
        <rFont val="ＭＳ Ｐゴシック"/>
        <family val="3"/>
        <charset val="134"/>
        <scheme val="minor"/>
      </rPr>
      <t>贵</t>
    </r>
  </si>
  <si>
    <t>曾茂</t>
  </si>
  <si>
    <r>
      <t>葡萄酒; 黄酒; 利口酒; 米酒;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</si>
  <si>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涂大叔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</si>
  <si>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露酒; 高粱酒; 黄酒; 米酒; 葡萄酒</t>
    </r>
  </si>
  <si>
    <r>
      <t>常州</t>
    </r>
    <r>
      <rPr>
        <sz val="11"/>
        <color theme="1"/>
        <rFont val="ＭＳ Ｐゴシック"/>
        <family val="3"/>
        <charset val="134"/>
        <scheme val="minor"/>
      </rPr>
      <t>艺劢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</si>
  <si>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加烈葡萄酒;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葡萄汽酒; 葡萄酒;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白酒; 威士忌</t>
    </r>
  </si>
  <si>
    <t>LA COMARCAL</t>
  </si>
  <si>
    <r>
      <t>森禧（宁波）商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</si>
  <si>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黄酒; 水果汽酒;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</si>
  <si>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品.斟星</t>
  </si>
  <si>
    <t>礼九川</t>
  </si>
  <si>
    <t>王露露</t>
  </si>
  <si>
    <r>
      <t xml:space="preserve">开胃酒;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</si>
  <si>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厚裕福椿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</si>
  <si>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昱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千商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</si>
  <si>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果酒; 开胃酒; 米酒;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</si>
  <si>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小福</t>
    </r>
  </si>
  <si>
    <r>
      <t>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</si>
  <si>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川厨</t>
    </r>
    <r>
      <rPr>
        <sz val="11"/>
        <color theme="1"/>
        <rFont val="ＭＳ Ｐゴシック"/>
        <family val="3"/>
        <charset val="134"/>
        <scheme val="minor"/>
      </rPr>
      <t>汇</t>
    </r>
  </si>
  <si>
    <t>周启虎</t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</si>
  <si>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开胃酒;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</si>
  <si>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烈滋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</si>
  <si>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丰泰城投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</si>
  <si>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威士忌; 米酒; 露酒; 高粱酒; 苹果酒; 伏特加酒;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</si>
  <si>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奈你</t>
  </si>
  <si>
    <r>
      <t>北京如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</si>
  <si>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</si>
  <si>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t>叶赫御景源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</si>
  <si>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</si>
  <si>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</si>
  <si>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巧</t>
    </r>
  </si>
  <si>
    <r>
      <t>陈劲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</si>
  <si>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米酒; 葡萄酒</t>
    </r>
  </si>
  <si>
    <t>秦味到</t>
  </si>
  <si>
    <r>
      <t>南阳大旗餐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</si>
  <si>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</si>
  <si>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淳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妃</t>
    </r>
  </si>
  <si>
    <r>
      <t>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黄酒; 白酒;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</si>
  <si>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征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御</t>
    </r>
  </si>
  <si>
    <t>陈跃</t>
  </si>
  <si>
    <r>
      <t xml:space="preserve">梨酒;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</si>
  <si>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QHDNMD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</si>
  <si>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鲸</t>
    </r>
    <r>
      <rPr>
        <sz val="11"/>
        <color theme="1"/>
        <rFont val="ＭＳ Ｐゴシック"/>
        <family val="3"/>
        <charset val="128"/>
        <scheme val="minor"/>
      </rPr>
      <t>宗文化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</si>
  <si>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伏特加酒;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</si>
  <si>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豪盟</t>
  </si>
  <si>
    <t>深圳市魔投科技有限公司</t>
  </si>
  <si>
    <r>
      <t>开胃酒;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</si>
  <si>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巷1号</t>
    </r>
  </si>
  <si>
    <r>
      <t>项</t>
    </r>
    <r>
      <rPr>
        <sz val="11"/>
        <color theme="1"/>
        <rFont val="ＭＳ Ｐゴシック"/>
        <family val="3"/>
        <charset val="128"/>
        <scheme val="minor"/>
      </rPr>
      <t>城市文宣商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</si>
  <si>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白酒; 含酒精的气泡水; 白干酒（中国白酒）;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</si>
  <si>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贵泸</t>
    </r>
  </si>
  <si>
    <r>
      <t xml:space="preserve">青稞酒; 白干酒（中国白酒）;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朗姆酒; 黄酒; 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</si>
  <si>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溢庭芳</t>
  </si>
  <si>
    <r>
      <t>果酒（含酒精）;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</si>
  <si>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望君知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</si>
  <si>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</si>
  <si>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靳松道</t>
  </si>
  <si>
    <t>靳松豪</t>
  </si>
  <si>
    <r>
      <t>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</si>
  <si>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晋妹</t>
  </si>
  <si>
    <r>
      <t>清酒; 葡萄酒; 威士忌;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</t>
    </r>
  </si>
  <si>
    <t>大河佐佑</t>
  </si>
  <si>
    <r>
      <t>行</t>
    </r>
    <r>
      <rPr>
        <sz val="11"/>
        <color theme="1"/>
        <rFont val="ＭＳ Ｐゴシック"/>
        <family val="3"/>
        <charset val="134"/>
        <scheme val="minor"/>
      </rPr>
      <t>识</t>
    </r>
    <r>
      <rPr>
        <sz val="11"/>
        <color theme="1"/>
        <rFont val="ＭＳ Ｐゴシック"/>
        <family val="3"/>
        <charset val="128"/>
        <scheme val="minor"/>
      </rPr>
      <t>（北京）教育科技有限公司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</si>
  <si>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</si>
  <si>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苍</t>
    </r>
    <r>
      <rPr>
        <sz val="11"/>
        <color theme="1"/>
        <rFont val="ＭＳ Ｐゴシック"/>
        <family val="3"/>
        <charset val="128"/>
        <scheme val="minor"/>
      </rPr>
      <t>溪</t>
    </r>
    <r>
      <rPr>
        <sz val="11"/>
        <color theme="1"/>
        <rFont val="ＭＳ Ｐゴシック"/>
        <family val="3"/>
        <charset val="134"/>
        <scheme val="minor"/>
      </rPr>
      <t>县猕</t>
    </r>
    <r>
      <rPr>
        <sz val="11"/>
        <color theme="1"/>
        <rFont val="ＭＳ Ｐゴシック"/>
        <family val="3"/>
        <charset val="128"/>
        <scheme val="minor"/>
      </rPr>
      <t>猴桃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</si>
  <si>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果酒（含酒精）; 果酒; 水果汽酒;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</si>
  <si>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至高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</si>
  <si>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</si>
  <si>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</si>
  <si>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黄酒; 威士忌; 葡萄酒; 烈酒;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</si>
  <si>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嗡嗡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</si>
  <si>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白酒; 葡萄酒;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</si>
  <si>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鑫理想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</si>
  <si>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市晨然科技有限公司</t>
    </r>
  </si>
  <si>
    <r>
      <t>果酒（含酒精）; 不起泡葡萄酒; 黄酒; 青梅酒;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</t>
    </r>
  </si>
  <si>
    <t>毛小雷</t>
  </si>
  <si>
    <t>北京天都万隆新能源科技有限公司</t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</si>
  <si>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青稞酒</t>
    </r>
  </si>
  <si>
    <t>福金沟</t>
  </si>
  <si>
    <r>
      <t>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朗姆酒;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青稞酒; 黄酒;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</si>
  <si>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圣酩</t>
    </r>
    <r>
      <rPr>
        <sz val="11"/>
        <color theme="1"/>
        <rFont val="ＭＳ Ｐゴシック"/>
        <family val="3"/>
        <charset val="134"/>
        <scheme val="minor"/>
      </rPr>
      <t>师</t>
    </r>
  </si>
  <si>
    <t>周波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</si>
  <si>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清酒（日本米酒）</t>
    </r>
  </si>
  <si>
    <t>福之珍</t>
  </si>
  <si>
    <r>
      <t xml:space="preserve">黄酒; 白干酒（中国白酒）; 烈酒; 白酒;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朗姆酒;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</si>
  <si>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屾</t>
    </r>
    <r>
      <rPr>
        <sz val="11"/>
        <color theme="1"/>
        <rFont val="ＭＳ Ｐゴシック"/>
        <family val="3"/>
        <charset val="128"/>
        <scheme val="minor"/>
      </rPr>
      <t>咏</t>
    </r>
  </si>
  <si>
    <r>
      <t>吉林省神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本草堂特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</si>
  <si>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</si>
  <si>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寒山墨云</t>
  </si>
  <si>
    <r>
      <t>威士忌;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利口酒;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</si>
  <si>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禾里</t>
    </r>
  </si>
  <si>
    <r>
      <t>安徽壹零壹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旅游有限公司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</si>
  <si>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甜酒;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甜果酒; 开胃酒; 白酒; 果酒</t>
    </r>
  </si>
  <si>
    <t>CARRMOS</t>
  </si>
  <si>
    <r>
      <t>福州楷蒂国</t>
    </r>
    <r>
      <rPr>
        <sz val="11"/>
        <color theme="1"/>
        <rFont val="ＭＳ Ｐゴシック"/>
        <family val="3"/>
        <charset val="134"/>
        <scheme val="minor"/>
      </rPr>
      <t>际进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</si>
  <si>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</si>
  <si>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北京世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广茂国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</si>
  <si>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茴香酒（利口酒）;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</si>
  <si>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闽乡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</si>
  <si>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雷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花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</si>
  <si>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威士忌; 清酒（日本米酒）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</si>
  <si>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耕</t>
    </r>
  </si>
  <si>
    <t>邱玉荣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</si>
  <si>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烈酒; 清酒（日本米酒）</t>
    </r>
  </si>
  <si>
    <t>斑遇</t>
  </si>
  <si>
    <t>开封晟粮粮油有限公司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</si>
  <si>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高粱酒; 葡萄酒; 果酒; 清酒; 白酒; 米酒</t>
    </r>
  </si>
  <si>
    <t>米拌儿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</si>
  <si>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春市邦医商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</si>
  <si>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茴芹酒（利口酒）;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茴香酒（利口酒）; 葡萄酒; 蜂蜜酒; 苹果酒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</si>
  <si>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儒商寄</t>
    </r>
    <r>
      <rPr>
        <sz val="11"/>
        <color theme="1"/>
        <rFont val="ＭＳ Ｐゴシック"/>
        <family val="3"/>
        <charset val="134"/>
        <scheme val="minor"/>
      </rPr>
      <t>卖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</si>
  <si>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食用酒精; 米酒; 威士忌</t>
    </r>
  </si>
  <si>
    <r>
      <t>屈氏阿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</si>
  <si>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屈永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</si>
  <si>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汽酒;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</si>
  <si>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络</t>
    </r>
    <r>
      <rPr>
        <sz val="11"/>
        <color theme="1"/>
        <rFont val="ＭＳ Ｐゴシック"/>
        <family val="3"/>
        <charset val="128"/>
        <scheme val="minor"/>
      </rPr>
      <t>新堂</t>
    </r>
  </si>
  <si>
    <r>
      <t xml:space="preserve">含酒精的气泡水; 烈酒; 米酒; 葡萄酒; 果酒;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</si>
  <si>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t>偎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</si>
  <si>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黄酒; 清酒（日本米酒）;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开胃酒; 果酒（含酒精）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</si>
  <si>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唐酩仕</t>
    </r>
  </si>
  <si>
    <r>
      <t>威士忌; 葡萄酒; 烈酒;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</si>
  <si>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调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云</t>
    </r>
  </si>
  <si>
    <t>黄天豪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</si>
  <si>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</si>
  <si>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耀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</si>
  <si>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州迎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</si>
  <si>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白酒; 甜酒; 米酒; 黄酒; 开胃酒; 果酒; 葡萄酒; 食用酒精; 汽酒; 清酒</t>
  </si>
  <si>
    <r>
      <t>宽</t>
    </r>
    <r>
      <rPr>
        <sz val="11"/>
        <color theme="1"/>
        <rFont val="ＭＳ Ｐゴシック"/>
        <family val="3"/>
        <charset val="128"/>
        <scheme val="minor"/>
      </rPr>
      <t>与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</si>
  <si>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大茶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</si>
  <si>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</si>
  <si>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CARMMOS</t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</si>
  <si>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</si>
  <si>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甑桂</t>
  </si>
  <si>
    <t>黄川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</si>
  <si>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</si>
  <si>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洪基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</si>
  <si>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酒(烈酒);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果酒(含酒精);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</si>
  <si>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仙梦莱</t>
  </si>
  <si>
    <r>
      <t>赵</t>
    </r>
    <r>
      <rPr>
        <sz val="11"/>
        <color theme="1"/>
        <rFont val="ＭＳ Ｐゴシック"/>
        <family val="3"/>
        <charset val="128"/>
        <scheme val="minor"/>
      </rPr>
      <t>更新</t>
    </r>
  </si>
  <si>
    <r>
      <t>果酒（含酒精）; 餐后酒（利口酒和烈酒）; 白酒; 米酒; 白干酒（中国白酒）; 利口酒;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青稞酒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</si>
  <si>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茗</t>
    </r>
  </si>
  <si>
    <r>
      <t xml:space="preserve">清酒（日本米酒）; 威士忌; 白酒;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</si>
  <si>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享理</t>
    </r>
    <r>
      <rPr>
        <sz val="11"/>
        <color theme="1"/>
        <rFont val="ＭＳ Ｐゴシック"/>
        <family val="3"/>
        <charset val="134"/>
        <scheme val="minor"/>
      </rPr>
      <t>现</t>
    </r>
  </si>
  <si>
    <r>
      <t>理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源理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</si>
  <si>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露酒;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</si>
  <si>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雪狼</t>
    </r>
    <r>
      <rPr>
        <sz val="11"/>
        <color theme="1"/>
        <rFont val="ＭＳ Ｐゴシック"/>
        <family val="3"/>
        <charset val="129"/>
        <scheme val="minor"/>
      </rPr>
      <t>玬</t>
    </r>
  </si>
  <si>
    <t>河南玉鹿堂生物科技有限公司</t>
  </si>
  <si>
    <r>
      <t>蜂蜜酒; 米酒; 汽酒; 蝮蛇酒;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开胃酒; 黄酒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</si>
  <si>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河梦</t>
    </r>
  </si>
  <si>
    <t>李天珍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</si>
  <si>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</si>
  <si>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韶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</si>
  <si>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养正酒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</si>
  <si>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果酒（含酒精）; 白酒; 苹果酒</t>
    </r>
  </si>
  <si>
    <t>扎姆草原</t>
  </si>
  <si>
    <r>
      <t>番茄餐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</si>
  <si>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</si>
  <si>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LXGP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</si>
  <si>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领绣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</si>
  <si>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果酒（含酒精）; 苦味酒; 葡萄酒;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利口酒;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</si>
  <si>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中健茂森</t>
  </si>
  <si>
    <r>
      <t>上海智翼供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</si>
  <si>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</si>
  <si>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r>
      <t>蜂</t>
    </r>
    <r>
      <rPr>
        <sz val="11"/>
        <color theme="1"/>
        <rFont val="ＭＳ Ｐゴシック"/>
        <family val="3"/>
        <charset val="134"/>
        <scheme val="minor"/>
      </rPr>
      <t>满仓</t>
    </r>
  </si>
  <si>
    <t>邵学勤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</si>
  <si>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白酒; 蜂蜜酒</t>
    </r>
  </si>
  <si>
    <t>无色花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</si>
  <si>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莞市予卿礼社商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</si>
  <si>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甜酒; 高粱酒; 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</si>
  <si>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湘澳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</si>
  <si>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琴澳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（珠海）餐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</si>
  <si>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</si>
  <si>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珍途康园</t>
  </si>
  <si>
    <t>文山市珍途康园生物科技有限公司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</si>
  <si>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</si>
  <si>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醺之景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</si>
  <si>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州七味坊酒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</si>
  <si>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</si>
  <si>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邛藏佳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</si>
  <si>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环</t>
    </r>
    <r>
      <rPr>
        <sz val="11"/>
        <color theme="1"/>
        <rFont val="ＭＳ Ｐゴシック"/>
        <family val="3"/>
        <charset val="128"/>
        <scheme val="minor"/>
      </rPr>
      <t>球佳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</si>
  <si>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蒸煮提取物（利口酒和烈酒）; 五加皮酒（中国混合烈酒）;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白干酒（中国白酒）;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</si>
  <si>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t>AONOSI GOLDEN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</si>
  <si>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酒厂有限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</si>
  <si>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开胃酒;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</si>
  <si>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盘</t>
    </r>
    <r>
      <rPr>
        <sz val="11"/>
        <color theme="1"/>
        <rFont val="ＭＳ Ｐゴシック"/>
        <family val="3"/>
        <charset val="128"/>
        <scheme val="minor"/>
      </rPr>
      <t>关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江酒</t>
    </r>
  </si>
  <si>
    <t>蒋恩</t>
  </si>
  <si>
    <r>
      <t>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烈性干酒;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蜂蜜酒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</si>
  <si>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坚</t>
    </r>
  </si>
  <si>
    <r>
      <t>杨跃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</si>
  <si>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米酒; 清酒（日本米酒）; 黄酒; 白酒; 梅酒;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</si>
  <si>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舜珈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</si>
  <si>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开胃酒;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</t>
    </r>
  </si>
  <si>
    <t>鼎沟</t>
  </si>
  <si>
    <t>王湘博</t>
  </si>
  <si>
    <r>
      <t>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露酒; 青梅酒;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青稞酒; 黄酒; 烈酒</t>
    </r>
  </si>
  <si>
    <t>祁鑫瑞</t>
  </si>
  <si>
    <t>祁鑫</t>
  </si>
  <si>
    <r>
      <t xml:space="preserve">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</si>
  <si>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广州双</t>
    </r>
    <r>
      <rPr>
        <sz val="11"/>
        <color theme="1"/>
        <rFont val="ＭＳ Ｐゴシック"/>
        <family val="3"/>
        <charset val="134"/>
        <scheme val="minor"/>
      </rPr>
      <t>银钢</t>
    </r>
    <r>
      <rPr>
        <sz val="11"/>
        <color theme="1"/>
        <rFont val="ＭＳ Ｐゴシック"/>
        <family val="3"/>
        <charset val="128"/>
        <scheme val="minor"/>
      </rPr>
      <t>琴有限公司</t>
    </r>
  </si>
  <si>
    <r>
      <t>高粱酒; 威士忌; 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开胃酒; 白酒; 米酒; 黄酒</t>
    </r>
  </si>
  <si>
    <r>
      <t>阿加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</si>
  <si>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广州明</t>
    </r>
    <r>
      <rPr>
        <sz val="11"/>
        <color theme="1"/>
        <rFont val="ＭＳ Ｐゴシック"/>
        <family val="3"/>
        <charset val="134"/>
        <scheme val="minor"/>
      </rPr>
      <t>习</t>
    </r>
    <r>
      <rPr>
        <sz val="11"/>
        <color theme="1"/>
        <rFont val="ＭＳ Ｐゴシック"/>
        <family val="3"/>
        <charset val="128"/>
        <scheme val="minor"/>
      </rPr>
      <t>之商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</si>
  <si>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果酒（含酒精）; 威士忌;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</si>
  <si>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道</t>
    </r>
    <r>
      <rPr>
        <sz val="11"/>
        <color theme="1"/>
        <rFont val="ＭＳ Ｐゴシック"/>
        <family val="3"/>
        <charset val="134"/>
        <scheme val="minor"/>
      </rPr>
      <t>龙场</t>
    </r>
  </si>
  <si>
    <t>修文阳明文化管理有限公司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</si>
  <si>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利口酒;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餐后酒（利口酒和烈酒）; 米酒</t>
    </r>
  </si>
  <si>
    <t>CHIO'2ND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</si>
  <si>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之又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媒工作室</t>
    </r>
  </si>
  <si>
    <r>
      <t>米酒; 威士忌; 果酒（含酒精）; 食用酒精;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</si>
  <si>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鸿剑</t>
  </si>
  <si>
    <r>
      <t>曾启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</si>
  <si>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果酒; 白酒</t>
    </r>
  </si>
  <si>
    <t>秦小邦</t>
  </si>
  <si>
    <r>
      <t>黄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珠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</si>
  <si>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清酒（日本米酒）; 梅酒; 葡萄酒; 白酒</t>
    </r>
  </si>
  <si>
    <r>
      <t>掼</t>
    </r>
    <r>
      <rPr>
        <sz val="11"/>
        <color theme="1"/>
        <rFont val="ＭＳ Ｐゴシック"/>
        <family val="3"/>
        <charset val="128"/>
        <scheme val="minor"/>
      </rPr>
      <t>翌</t>
    </r>
  </si>
  <si>
    <t>四川又翌恩文化科技有限公司</t>
  </si>
  <si>
    <r>
      <t>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</si>
  <si>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杏和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</si>
  <si>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李志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</si>
  <si>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</si>
  <si>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昊瑞福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</si>
  <si>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佳和利食品有限公司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</si>
  <si>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含酒精的气泡水;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果酒（含酒精）</t>
    </r>
  </si>
  <si>
    <t>少陵杜甫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</si>
  <si>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</t>
    </r>
  </si>
  <si>
    <t>羽烈鑫</t>
  </si>
  <si>
    <r>
      <t>广州易含国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</si>
  <si>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混合威士忌酒;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酒(烈酒); 黄酒; 白酒</t>
    </r>
  </si>
  <si>
    <t>曹刘</t>
  </si>
  <si>
    <r>
      <t>李</t>
    </r>
    <r>
      <rPr>
        <sz val="11"/>
        <color theme="1"/>
        <rFont val="ＭＳ Ｐゴシック"/>
        <family val="3"/>
        <charset val="134"/>
        <scheme val="minor"/>
      </rPr>
      <t>进龙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</si>
  <si>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清酒（日本米酒）; 葡萄酒</t>
    </r>
  </si>
  <si>
    <t>六儒</t>
  </si>
  <si>
    <r>
      <t>吴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</si>
  <si>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果酒（含酒精）;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</si>
  <si>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AXELTERRA</t>
  </si>
  <si>
    <t>黄苗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</si>
  <si>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黄酒; 白酒; 果酒（含酒精）</t>
    </r>
  </si>
  <si>
    <t>DISTILLERIE ERGASTER</t>
  </si>
  <si>
    <r>
      <t>埃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加斯特酒厂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</si>
  <si>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加烈葡萄酒; 混合威士忌酒; 威士忌; 葡萄酒;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</si>
  <si>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隆</t>
    </r>
    <r>
      <rPr>
        <sz val="11"/>
        <color theme="1"/>
        <rFont val="ＭＳ Ｐゴシック"/>
        <family val="3"/>
        <charset val="134"/>
        <scheme val="minor"/>
      </rPr>
      <t>赏</t>
    </r>
  </si>
  <si>
    <r>
      <t xml:space="preserve">黄酒; 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青稞酒; 露酒; 白酒; 白干酒（中国白酒）</t>
    </r>
  </si>
  <si>
    <t>咏江月</t>
  </si>
  <si>
    <r>
      <t>杨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</si>
  <si>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黄酒;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</si>
  <si>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福艾</t>
    </r>
    <r>
      <rPr>
        <sz val="11"/>
        <color theme="1"/>
        <rFont val="ＭＳ Ｐゴシック"/>
        <family val="3"/>
        <charset val="134"/>
        <scheme val="minor"/>
      </rPr>
      <t>仓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</si>
  <si>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里木湖能源集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</si>
  <si>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葡萄酒; 米酒; 清酒;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</si>
  <si>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典福束鹿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</si>
  <si>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典商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</si>
  <si>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开胃酒; 白酒</t>
    </r>
  </si>
  <si>
    <r>
      <t>官</t>
    </r>
    <r>
      <rPr>
        <sz val="11"/>
        <color theme="1"/>
        <rFont val="ＭＳ Ｐゴシック"/>
        <family val="3"/>
        <charset val="134"/>
        <scheme val="minor"/>
      </rPr>
      <t>齐</t>
    </r>
  </si>
  <si>
    <r>
      <t>南京玉墨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售中心</t>
    </r>
  </si>
  <si>
    <r>
      <t xml:space="preserve">果酒（含酒精）; 黄酒; 白酒;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</si>
  <si>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峰御</t>
    </r>
    <r>
      <rPr>
        <sz val="11"/>
        <color theme="1"/>
        <rFont val="ＭＳ Ｐゴシック"/>
        <family val="3"/>
        <charset val="134"/>
        <scheme val="minor"/>
      </rPr>
      <t>荞</t>
    </r>
  </si>
  <si>
    <t>张庆军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</si>
  <si>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烈酒</t>
    </r>
  </si>
  <si>
    <t>草原永三哥</t>
  </si>
  <si>
    <t>崔秀英</t>
  </si>
  <si>
    <r>
      <t xml:space="preserve">蒸煮提取物（利口酒和烈酒）;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</si>
  <si>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亦玫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</si>
  <si>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开胃酒; 白酒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</si>
  <si>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汉浆</t>
    </r>
    <r>
      <rPr>
        <sz val="11"/>
        <color theme="1"/>
        <rFont val="ＭＳ Ｐゴシック"/>
        <family val="3"/>
        <charset val="128"/>
        <scheme val="minor"/>
      </rPr>
      <t>才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</si>
  <si>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航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</si>
  <si>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白酒</t>
    </r>
  </si>
  <si>
    <r>
      <t>九玄</t>
    </r>
    <r>
      <rPr>
        <sz val="11"/>
        <color theme="1"/>
        <rFont val="ＭＳ Ｐゴシック"/>
        <family val="3"/>
        <charset val="129"/>
        <scheme val="minor"/>
      </rPr>
      <t>姬</t>
    </r>
  </si>
  <si>
    <r>
      <t>佰草</t>
    </r>
    <r>
      <rPr>
        <sz val="11"/>
        <color theme="1"/>
        <rFont val="ＭＳ Ｐゴシック"/>
        <family val="3"/>
        <charset val="129"/>
        <scheme val="minor"/>
      </rPr>
      <t>姬</t>
    </r>
    <r>
      <rPr>
        <sz val="11"/>
        <color theme="1"/>
        <rFont val="ＭＳ Ｐゴシック"/>
        <family val="3"/>
        <charset val="128"/>
        <scheme val="minor"/>
      </rPr>
      <t>（北京）科技有限公司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</si>
  <si>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威士忌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</si>
  <si>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斐酒店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</si>
  <si>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汉澜</t>
    </r>
    <r>
      <rPr>
        <sz val="11"/>
        <color theme="1"/>
        <rFont val="ＭＳ Ｐゴシック"/>
        <family val="3"/>
        <charset val="128"/>
        <scheme val="minor"/>
      </rPr>
      <t>斐酒店管理有限公司</t>
    </r>
  </si>
  <si>
    <r>
      <t>葡萄酒; 米酒; 白葡萄酒;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</si>
  <si>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t>拾花落</t>
  </si>
  <si>
    <t>袁国平</t>
  </si>
  <si>
    <r>
      <t xml:space="preserve">开胃酒; 利口酒; 米酒; 果酒; 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白酒; 黄酒</t>
    </r>
  </si>
  <si>
    <t>牛之粹</t>
  </si>
  <si>
    <r>
      <t xml:space="preserve">黄酒; 伏特加酒;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汽酒;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</t>
    </r>
  </si>
  <si>
    <r>
      <t>奥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斯金尊</t>
    </r>
  </si>
  <si>
    <r>
      <t>利口酒;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</si>
  <si>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t>邛藏金樽</t>
  </si>
  <si>
    <r>
      <t xml:space="preserve">白酒;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蒸煮提取物（利口酒和烈酒）;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开胃酒; 五加皮酒（中国混合烈酒）</t>
    </r>
  </si>
  <si>
    <t>ER ERGASTER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</si>
  <si>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混合威士忌酒;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加烈葡萄酒; 威士忌</t>
    </r>
  </si>
  <si>
    <t>故雁</t>
  </si>
  <si>
    <r>
      <t xml:space="preserve">威士忌;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</si>
  <si>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则兴</t>
    </r>
  </si>
  <si>
    <r>
      <t>成都共酩会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</si>
  <si>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苦味酒; 葡萄酒; 米酒; 清酒; 烈性干酒;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</si>
  <si>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儒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</si>
  <si>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白酒;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</t>
    </r>
  </si>
  <si>
    <r>
      <t>守愚慢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皇家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</si>
  <si>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北京十方界酒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</si>
  <si>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米酒; 苹果酒; 葡萄酒; 果酒（含酒精）; 梨酒;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</si>
  <si>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琴三姐</t>
  </si>
  <si>
    <t>王祥琴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</si>
  <si>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</si>
  <si>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r>
      <t>CASARTE卡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帝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</si>
  <si>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</si>
  <si>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</si>
  <si>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r>
      <t>鸣</t>
    </r>
    <r>
      <rPr>
        <sz val="11"/>
        <color theme="1"/>
        <rFont val="ＭＳ Ｐゴシック"/>
        <family val="3"/>
        <charset val="128"/>
        <scheme val="minor"/>
      </rPr>
      <t>君韵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</si>
  <si>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晶晶</t>
    </r>
  </si>
  <si>
    <r>
      <t>青稞酒; 果酒（含酒精）;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</si>
  <si>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谨</t>
    </r>
    <r>
      <rPr>
        <sz val="11"/>
        <color theme="1"/>
        <rFont val="ＭＳ Ｐゴシック"/>
        <family val="3"/>
        <charset val="128"/>
        <scheme val="minor"/>
      </rPr>
      <t>将</t>
    </r>
  </si>
  <si>
    <r>
      <t xml:space="preserve">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食用酒精; 果酒（含酒精）</t>
    </r>
  </si>
  <si>
    <r>
      <t>饱饱</t>
    </r>
    <r>
      <rPr>
        <sz val="11"/>
        <color theme="1"/>
        <rFont val="ＭＳ Ｐゴシック"/>
        <family val="3"/>
        <charset val="128"/>
        <scheme val="minor"/>
      </rPr>
      <t>家族</t>
    </r>
  </si>
  <si>
    <r>
      <t>名茗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</si>
  <si>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 xml:space="preserve">威士忌;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</t>
    </r>
  </si>
  <si>
    <t>BEBT</t>
  </si>
  <si>
    <r>
      <t>宁波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</si>
  <si>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清酒; 威士忌; 米酒; 白酒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</si>
  <si>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著作</t>
    </r>
  </si>
  <si>
    <r>
      <t>国珍集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</si>
  <si>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</si>
  <si>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酿贵</t>
    </r>
    <r>
      <rPr>
        <sz val="11"/>
        <color theme="1"/>
        <rFont val="ＭＳ Ｐゴシック"/>
        <family val="3"/>
        <charset val="128"/>
        <scheme val="minor"/>
      </rPr>
      <t>和</t>
    </r>
  </si>
  <si>
    <t>李奇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</si>
  <si>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酸酒（低等葡萄酒）; 蒸煮提取物（利口酒和烈酒）;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</si>
  <si>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秦案</t>
  </si>
  <si>
    <t>史春吓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</si>
  <si>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</si>
  <si>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李明蛟</t>
  </si>
  <si>
    <r>
      <t xml:space="preserve">果酒; 烈酒; 甜酒; 威士忌; 白酒; 高粱酒;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</si>
  <si>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亳根</t>
  </si>
  <si>
    <r>
      <t>安徽武林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</si>
  <si>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露酒; 白酒; 威士忌; 伏特加酒; 烈酒</t>
    </r>
  </si>
  <si>
    <t>隆言</t>
  </si>
  <si>
    <r>
      <t>隆言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</si>
  <si>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烈酒; 果酒;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混合威士忌酒;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酒(烈酒);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</si>
  <si>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泱河</t>
    </r>
  </si>
  <si>
    <r>
      <t xml:space="preserve">开胃酒; 葡萄酒;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果酒</t>
    </r>
  </si>
  <si>
    <t>宜李醇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</si>
  <si>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市雅爽酒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</si>
  <si>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</si>
  <si>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金粮彩</t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</si>
  <si>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青稞酒;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青梅酒; 白干酒（中国白酒）; 白酒; 高粱酒; 露酒; 烈酒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</si>
  <si>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醉君商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</si>
  <si>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白酒; 高粱酒; 清酒;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</si>
  <si>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邛藏圣品</t>
  </si>
  <si>
    <r>
      <t xml:space="preserve">白干酒（中国白酒）; 五加皮酒（中国混合烈酒）;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蒸煮提取物（利口酒和烈酒）; 高粱酒</t>
    </r>
  </si>
  <si>
    <r>
      <t>北境游牧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族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</si>
  <si>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乐图</t>
    </r>
  </si>
  <si>
    <r>
      <t xml:space="preserve">天然汽酒; 米酒; 烈酒; 白干酒（中国白酒）;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</si>
  <si>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浏</t>
    </r>
    <r>
      <rPr>
        <sz val="11"/>
        <color theme="1"/>
        <rFont val="ＭＳ Ｐゴシック"/>
        <family val="3"/>
        <charset val="128"/>
        <scheme val="minor"/>
      </rPr>
      <t>川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</si>
  <si>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威士忌; 果酒; 葡萄酒</t>
    </r>
  </si>
  <si>
    <t>哼唎</t>
  </si>
  <si>
    <r>
      <t>四川亨余利商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</si>
  <si>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开胃酒;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黄酒</t>
    </r>
  </si>
  <si>
    <r>
      <t>氿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</si>
  <si>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州氿翔台酒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</si>
  <si>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</si>
  <si>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</si>
  <si>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</si>
  <si>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悟空兄弟</t>
  </si>
  <si>
    <r>
      <t>北京佳德和</t>
    </r>
    <r>
      <rPr>
        <sz val="11"/>
        <color theme="1"/>
        <rFont val="ＭＳ Ｐゴシック"/>
        <family val="3"/>
        <charset val="134"/>
        <scheme val="minor"/>
      </rPr>
      <t>仓储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</si>
  <si>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</t>
    </r>
  </si>
  <si>
    <t>极味戈壁</t>
  </si>
  <si>
    <r>
      <t>李</t>
    </r>
    <r>
      <rPr>
        <sz val="11"/>
        <color theme="1"/>
        <rFont val="ＭＳ Ｐゴシック"/>
        <family val="3"/>
        <charset val="134"/>
        <scheme val="minor"/>
      </rPr>
      <t>选鸽</t>
    </r>
  </si>
  <si>
    <t>汽酒; 果酒; 米酒; 食用酒精; 葡萄酒; 开胃酒; 甜酒; 白酒; 清酒; 黄酒</t>
  </si>
  <si>
    <r>
      <t>贡</t>
    </r>
    <r>
      <rPr>
        <sz val="11"/>
        <color theme="1"/>
        <rFont val="ＭＳ Ｐゴシック"/>
        <family val="3"/>
        <charset val="128"/>
        <scheme val="minor"/>
      </rPr>
      <t>将福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</si>
  <si>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</si>
  <si>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t>万盛禧 WANGSHENGXI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</si>
  <si>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</si>
  <si>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猛牛</t>
  </si>
  <si>
    <r>
      <t>通江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向善文化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</si>
  <si>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高粱酒;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果酒; 果酒（含酒精）; 清酒（日本米酒）; 露酒; 葡萄酒</t>
    </r>
  </si>
  <si>
    <t>MUQINHE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</si>
  <si>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世能工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</si>
  <si>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</si>
  <si>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小年</t>
    </r>
  </si>
  <si>
    <t>李世保</t>
  </si>
  <si>
    <r>
      <t>果酒（含酒精）;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黄酒</t>
    </r>
  </si>
  <si>
    <t>QI BO GU LI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</si>
  <si>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西西建控股集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</si>
  <si>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草本型利口酒; 果酒; 苹果酒; 葡萄酒; 米酒</t>
    </r>
  </si>
  <si>
    <r>
      <t>海湟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</si>
  <si>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海南海湟控股集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</si>
  <si>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</si>
  <si>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六月潭</t>
  </si>
  <si>
    <t>廖串妹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</si>
  <si>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葡萄酒</t>
    </r>
  </si>
  <si>
    <r>
      <t>善言粮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</si>
  <si>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州欣恩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克食品有限公司</t>
    </r>
  </si>
  <si>
    <r>
      <t xml:space="preserve">薄荷酒; 餐后酒（利口酒和烈酒）;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青稞酒; 汽酒; 梨酒;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蜂蜜酒</t>
    </r>
  </si>
  <si>
    <t>青春共舞</t>
  </si>
  <si>
    <r>
      <t>深圳市一曲新</t>
    </r>
    <r>
      <rPr>
        <sz val="11"/>
        <color theme="1"/>
        <rFont val="ＭＳ Ｐゴシック"/>
        <family val="3"/>
        <charset val="134"/>
        <scheme val="minor"/>
      </rPr>
      <t>词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</si>
  <si>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威士忌</t>
    </r>
  </si>
  <si>
    <t>康湟尊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</si>
  <si>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</si>
  <si>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德熙威士忌</t>
  </si>
  <si>
    <t>山西怡园酒庄有限公司</t>
  </si>
  <si>
    <t>威士忌</t>
  </si>
  <si>
    <r>
      <t>溦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</si>
  <si>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海南稻道喜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</si>
  <si>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</si>
  <si>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宏通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壳</t>
    </r>
  </si>
  <si>
    <t>河南宏通科技有限公司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</si>
  <si>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</si>
  <si>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滋味熊猫</t>
  </si>
  <si>
    <r>
      <t>宁波千</t>
    </r>
    <r>
      <rPr>
        <sz val="11"/>
        <color theme="1"/>
        <rFont val="ＭＳ Ｐゴシック"/>
        <family val="3"/>
        <charset val="134"/>
        <scheme val="minor"/>
      </rPr>
      <t>为农业发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</si>
  <si>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甜果酒;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</si>
  <si>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飞满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</si>
  <si>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</si>
  <si>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 xml:space="preserve">黄酒; 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</t>
    </r>
  </si>
  <si>
    <t>斐嘉城堡</t>
  </si>
  <si>
    <r>
      <t>栖霞市瀛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</si>
  <si>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伏特加酒; 威士忌</t>
    </r>
  </si>
  <si>
    <t>巴渝四囍</t>
  </si>
  <si>
    <r>
      <t>张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</si>
  <si>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</si>
  <si>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钰</t>
    </r>
    <r>
      <rPr>
        <sz val="11"/>
        <color theme="1"/>
        <rFont val="ＭＳ Ｐゴシック"/>
        <family val="3"/>
        <charset val="128"/>
        <scheme val="minor"/>
      </rPr>
      <t>液天下</t>
    </r>
  </si>
  <si>
    <r>
      <t>四川本来体育文化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</si>
  <si>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黄酒</t>
    </r>
  </si>
  <si>
    <r>
      <t>恬甜甘</t>
    </r>
    <r>
      <rPr>
        <sz val="11"/>
        <color theme="1"/>
        <rFont val="ＭＳ Ｐゴシック"/>
        <family val="3"/>
        <charset val="134"/>
        <scheme val="minor"/>
      </rPr>
      <t>风</t>
    </r>
  </si>
  <si>
    <t>崔松涛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</si>
  <si>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朗姆酒;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</si>
  <si>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喜阳十一味</t>
  </si>
  <si>
    <r>
      <t>杨</t>
    </r>
    <r>
      <rPr>
        <sz val="11"/>
        <color theme="1"/>
        <rFont val="ＭＳ Ｐゴシック"/>
        <family val="3"/>
        <charset val="128"/>
        <scheme val="minor"/>
      </rPr>
      <t>臻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</si>
  <si>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利口酒</t>
    </r>
  </si>
  <si>
    <r>
      <t>珠峰富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</si>
  <si>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四川国生金元投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</si>
  <si>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青稞酒; 白酒;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葡萄酒</t>
    </r>
  </si>
  <si>
    <t>致赤</t>
  </si>
  <si>
    <t>曹海波</t>
  </si>
  <si>
    <r>
      <t>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</si>
  <si>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鄯</t>
    </r>
    <r>
      <rPr>
        <sz val="11"/>
        <color theme="1"/>
        <rFont val="ＭＳ Ｐゴシック"/>
        <family val="3"/>
        <charset val="134"/>
        <scheme val="minor"/>
      </rPr>
      <t>驿</t>
    </r>
    <r>
      <rPr>
        <sz val="11"/>
        <color theme="1"/>
        <rFont val="ＭＳ Ｐゴシック"/>
        <family val="3"/>
        <charset val="128"/>
        <scheme val="minor"/>
      </rPr>
      <t>善穗</t>
    </r>
  </si>
  <si>
    <r>
      <t>民和回族土族自治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古鄯</t>
    </r>
    <r>
      <rPr>
        <sz val="11"/>
        <color theme="1"/>
        <rFont val="ＭＳ Ｐゴシック"/>
        <family val="3"/>
        <charset val="134"/>
        <scheme val="minor"/>
      </rPr>
      <t>镇联</t>
    </r>
    <r>
      <rPr>
        <sz val="11"/>
        <color theme="1"/>
        <rFont val="ＭＳ Ｐゴシック"/>
        <family val="3"/>
        <charset val="128"/>
        <scheme val="minor"/>
      </rPr>
      <t>合村股份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</si>
  <si>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甜酒; 白酒;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</si>
  <si>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邛藏珍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</si>
  <si>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 xml:space="preserve">白干酒（中国白酒）;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开胃酒; 蒸煮提取物（利口酒和烈酒）</t>
    </r>
  </si>
  <si>
    <r>
      <t>兴浏</t>
    </r>
    <r>
      <rPr>
        <sz val="11"/>
        <color theme="1"/>
        <rFont val="ＭＳ Ｐゴシック"/>
        <family val="3"/>
        <charset val="128"/>
        <scheme val="minor"/>
      </rPr>
      <t>杯莫亭</t>
    </r>
  </si>
  <si>
    <t>胡杏芬</t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</si>
  <si>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</si>
  <si>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崃嚯</t>
  </si>
  <si>
    <r>
      <t>张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</si>
  <si>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</si>
  <si>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禾惠富友</t>
  </si>
  <si>
    <r>
      <t>沈阳禾惠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</si>
  <si>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蒸煮提取物（利口酒和烈酒）;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</si>
  <si>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湜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</si>
  <si>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白酒;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</si>
  <si>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九喜将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</si>
  <si>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</si>
  <si>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冉小冉</t>
  </si>
  <si>
    <t>冉洪委</t>
  </si>
  <si>
    <r>
      <t xml:space="preserve">葡萄酒; 威士忌; 米酒; 食用酒精; 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白酒</t>
    </r>
  </si>
  <si>
    <t>北方以北</t>
  </si>
  <si>
    <t>刘牧野</t>
  </si>
  <si>
    <r>
      <t xml:space="preserve">开胃酒;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黄酒; 米酒;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</si>
  <si>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濮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</si>
  <si>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</si>
  <si>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</t>
    </r>
  </si>
  <si>
    <r>
      <t>猕</t>
    </r>
    <r>
      <rPr>
        <sz val="11"/>
        <color theme="1"/>
        <rFont val="ＭＳ Ｐゴシック"/>
        <family val="3"/>
        <charset val="128"/>
        <scheme val="minor"/>
      </rPr>
      <t>恋青城</t>
    </r>
  </si>
  <si>
    <r>
      <t>都江堰市青城山天道养生食品有限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</si>
  <si>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青稞酒;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</t>
    </r>
  </si>
  <si>
    <t>遂唐</t>
  </si>
  <si>
    <r>
      <t>祁</t>
    </r>
    <r>
      <rPr>
        <sz val="11"/>
        <color theme="1"/>
        <rFont val="ＭＳ Ｐゴシック"/>
        <family val="3"/>
        <charset val="134"/>
        <scheme val="minor"/>
      </rPr>
      <t>县顺</t>
    </r>
    <r>
      <rPr>
        <sz val="11"/>
        <color theme="1"/>
        <rFont val="ＭＳ Ｐゴシック"/>
        <family val="3"/>
        <charset val="128"/>
        <scheme val="minor"/>
      </rPr>
      <t>翔花</t>
    </r>
    <r>
      <rPr>
        <sz val="11"/>
        <color theme="1"/>
        <rFont val="ＭＳ Ｐゴシック"/>
        <family val="3"/>
        <charset val="134"/>
        <scheme val="minor"/>
      </rPr>
      <t>纸</t>
    </r>
    <r>
      <rPr>
        <sz val="11"/>
        <color theme="1"/>
        <rFont val="ＭＳ Ｐゴシック"/>
        <family val="3"/>
        <charset val="128"/>
        <scheme val="minor"/>
      </rPr>
      <t>加工厂</t>
    </r>
  </si>
  <si>
    <r>
      <t>葡萄酒;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蒸煮提取物（利口酒和烈酒）;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</si>
  <si>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康湟玉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</si>
  <si>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</si>
  <si>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滇云十六州</t>
  </si>
  <si>
    <r>
      <t>杨</t>
    </r>
    <r>
      <rPr>
        <sz val="11"/>
        <color theme="1"/>
        <rFont val="ＭＳ Ｐゴシック"/>
        <family val="3"/>
        <charset val="128"/>
        <scheme val="minor"/>
      </rPr>
      <t>雪亮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</si>
  <si>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威士忌; 高粱酒;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</si>
  <si>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龙</t>
    </r>
  </si>
  <si>
    <t>李永涛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</si>
  <si>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甘蔗制烈酒;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</si>
  <si>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KWUN CHEUNG</t>
  </si>
  <si>
    <r>
      <t>葡萄酒; 白酒; 利口酒; 清酒; 米酒; 烈酒;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</si>
  <si>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骆杨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</si>
  <si>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杨银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</si>
  <si>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</si>
  <si>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彩口窖</t>
  </si>
  <si>
    <r>
      <t>高粱酒; 露酒;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青稞酒; 青梅酒; 白干酒（中国白酒）; 白酒; 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</si>
  <si>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骄</t>
    </r>
    <r>
      <rPr>
        <sz val="11"/>
        <color theme="1"/>
        <rFont val="ＭＳ Ｐゴシック"/>
        <family val="3"/>
        <charset val="128"/>
        <scheme val="minor"/>
      </rPr>
      <t>彩</t>
    </r>
  </si>
  <si>
    <r>
      <t>高粱酒; 露酒; 白酒; 烈酒; 白干酒（中国白酒）; 青稞酒;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青梅酒;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</si>
  <si>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韵彩</t>
    </r>
  </si>
  <si>
    <r>
      <t xml:space="preserve">高粱酒; 烈酒; 露酒; 青稞酒;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青梅酒;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</si>
  <si>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杏征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</si>
  <si>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白酒; 白干酒（中国白酒）</t>
    </r>
  </si>
  <si>
    <t>TCGM</t>
  </si>
  <si>
    <r>
      <t>于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</si>
  <si>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米酒;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</si>
  <si>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咸恒甄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</si>
  <si>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咸恒食尚供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（保定）有限公司</t>
    </r>
  </si>
  <si>
    <r>
      <t xml:space="preserve">黄酒; 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</si>
  <si>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吴家峪</t>
  </si>
  <si>
    <t>姚建新******************</t>
  </si>
  <si>
    <r>
      <t>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甜酒</t>
    </r>
  </si>
  <si>
    <r>
      <t>礼字</t>
    </r>
    <r>
      <rPr>
        <sz val="11"/>
        <color theme="1"/>
        <rFont val="ＭＳ Ｐゴシック"/>
        <family val="3"/>
        <charset val="134"/>
        <scheme val="minor"/>
      </rPr>
      <t>坝</t>
    </r>
  </si>
  <si>
    <t>宗孝宇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</si>
  <si>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</t>
    </r>
  </si>
  <si>
    <t>叶当家</t>
  </si>
  <si>
    <r>
      <t>河源市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江教育咨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</si>
  <si>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青稞酒; 黄酒; 果酒（含酒精）; 汽酒; 开胃酒</t>
    </r>
  </si>
  <si>
    <r>
      <t>禾富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莎</t>
    </r>
  </si>
  <si>
    <t>佳旺食品（福建）有限公司</t>
  </si>
  <si>
    <r>
      <t xml:space="preserve">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果酒; 白酒; 黄酒</t>
    </r>
  </si>
  <si>
    <t>STABURG</t>
  </si>
  <si>
    <r>
      <t>施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</si>
  <si>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</si>
  <si>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ARGRAMEN</t>
  </si>
  <si>
    <r>
      <t>朗姆酒;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</si>
  <si>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打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</si>
  <si>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北海打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人食品有限公司</t>
    </r>
  </si>
  <si>
    <r>
      <t xml:space="preserve">果酒; 烈酒; 甜酒; 白酒; 葡萄酒; 清酒;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</si>
  <si>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康湟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</si>
  <si>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</si>
  <si>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帝君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</si>
  <si>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</si>
  <si>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黔新玉香醉</t>
  </si>
  <si>
    <t>代常勇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</si>
  <si>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</t>
    </r>
  </si>
  <si>
    <t>ROSATTO</t>
  </si>
  <si>
    <r>
      <t>巨</t>
    </r>
    <r>
      <rPr>
        <sz val="11"/>
        <color theme="1"/>
        <rFont val="ＭＳ Ｐゴシック"/>
        <family val="3"/>
        <charset val="134"/>
        <scheme val="minor"/>
      </rPr>
      <t>轮</t>
    </r>
    <r>
      <rPr>
        <sz val="11"/>
        <color theme="1"/>
        <rFont val="ＭＳ Ｐゴシック"/>
        <family val="3"/>
        <charset val="128"/>
        <scheme val="minor"/>
      </rPr>
      <t>引擎（北京）科技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</si>
  <si>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葡萄汽酒; 葡萄酒; 含酒精的气泡水;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</si>
  <si>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</si>
  <si>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黄光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</si>
  <si>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</si>
  <si>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原野晨曦</t>
  </si>
  <si>
    <t>无囿食品科技(上海)有限公司</t>
  </si>
  <si>
    <r>
      <t xml:space="preserve">果酒（含酒精）;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</si>
  <si>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文佰酒</t>
  </si>
  <si>
    <r>
      <t>文山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珍商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</si>
  <si>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黄酒; 果酒（含酒精）;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含酒精的气泡水; 利口酒</t>
    </r>
  </si>
  <si>
    <t>她堂</t>
  </si>
  <si>
    <r>
      <t>陈</t>
    </r>
    <r>
      <rPr>
        <sz val="11"/>
        <color theme="1"/>
        <rFont val="ＭＳ Ｐゴシック"/>
        <family val="3"/>
        <charset val="128"/>
        <scheme val="minor"/>
      </rPr>
      <t>曦</t>
    </r>
  </si>
  <si>
    <r>
      <t xml:space="preserve">黄酒; 开胃酒; 葡萄酒; 烈酒;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</si>
  <si>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鹿侠客</t>
  </si>
  <si>
    <r>
      <t>杨</t>
    </r>
    <r>
      <rPr>
        <sz val="11"/>
        <color theme="1"/>
        <rFont val="ＭＳ Ｐゴシック"/>
        <family val="3"/>
        <charset val="128"/>
        <scheme val="minor"/>
      </rPr>
      <t>德桂</t>
    </r>
  </si>
  <si>
    <r>
      <t xml:space="preserve">开胃酒;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</si>
  <si>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采食家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</si>
  <si>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汉华</t>
    </r>
    <r>
      <rPr>
        <sz val="11"/>
        <color theme="1"/>
        <rFont val="ＭＳ Ｐゴシック"/>
        <family val="3"/>
        <charset val="128"/>
        <scheme val="minor"/>
      </rPr>
      <t>彩利文化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</si>
  <si>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</si>
  <si>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羽小阿孃</t>
    </r>
  </si>
  <si>
    <t>黄凌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</si>
  <si>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</si>
  <si>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INRIK 英瑞克</t>
  </si>
  <si>
    <t>浙江英瑞克文具有限公司</t>
  </si>
  <si>
    <r>
      <t xml:space="preserve">五加皮酒（中国混合烈酒）; 葡萄酒; 白干酒（中国白酒）; 开胃酒; 米酒; 高粱酒;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</si>
  <si>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r>
      <t>禧心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</si>
  <si>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</si>
  <si>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城耀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</si>
  <si>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亭食品有限公司</t>
    </r>
  </si>
  <si>
    <r>
      <t xml:space="preserve">威士忌; 果酒; 草莓酒; 水果汽酒;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</si>
  <si>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t>敖道旗</t>
  </si>
  <si>
    <t>布仁吉日嘎</t>
  </si>
  <si>
    <r>
      <t>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</si>
  <si>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顺绵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</si>
  <si>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</si>
  <si>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蜂蜜酒; 青稞酒; 开胃酒; 黄酒; 清酒（日本米酒）; 白酒</t>
    </r>
  </si>
  <si>
    <t>唐址</t>
  </si>
  <si>
    <r>
      <t>汤</t>
    </r>
    <r>
      <rPr>
        <sz val="11"/>
        <color theme="1"/>
        <rFont val="ＭＳ Ｐゴシック"/>
        <family val="3"/>
        <charset val="128"/>
        <scheme val="minor"/>
      </rPr>
      <t>瑞如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</si>
  <si>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</si>
  <si>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PEARL ILLUSION</t>
  </si>
  <si>
    <t>成都珍蓉科技有限公司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</si>
  <si>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白酒;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</t>
    </r>
  </si>
  <si>
    <t>百嘉万安当家</t>
  </si>
  <si>
    <t>欧阳建平</t>
  </si>
  <si>
    <r>
      <t>果酒（含酒精）;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</si>
  <si>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</si>
  <si>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果酒(含酒精); 甜酒; 米酒; 葡萄酒;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</si>
  <si>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牧童峰</t>
  </si>
  <si>
    <r>
      <t>张丽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</si>
  <si>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果酒;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白酒; 米酒;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</si>
  <si>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路邑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影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</si>
  <si>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缘创艺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</si>
  <si>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朗姆酒; 白酒;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烈酒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</si>
  <si>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世富</t>
    </r>
    <r>
      <rPr>
        <sz val="11"/>
        <color theme="1"/>
        <rFont val="ＭＳ Ｐゴシック"/>
        <family val="3"/>
        <charset val="134"/>
        <scheme val="minor"/>
      </rPr>
      <t>贵</t>
    </r>
  </si>
  <si>
    <t>梁学文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</si>
  <si>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利口酒; 黄酒</t>
    </r>
  </si>
  <si>
    <r>
      <t>广州正盈医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</si>
  <si>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>餐后酒（利口酒和烈酒）;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朗姆酒;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</t>
    </r>
  </si>
  <si>
    <r>
      <t>妙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</si>
  <si>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>王正</t>
    </r>
    <r>
      <rPr>
        <sz val="11"/>
        <color theme="1"/>
        <rFont val="ＭＳ Ｐゴシック"/>
        <family val="3"/>
        <charset val="134"/>
        <scheme val="minor"/>
      </rPr>
      <t>妩</t>
    </r>
  </si>
  <si>
    <r>
      <t>汽酒; 米酒; 清酒;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</si>
  <si>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</si>
  <si>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河南省刘迷格商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</si>
  <si>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佐餐酒; 白干酒（中国白酒）; 高粱酒; 白酒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</si>
  <si>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岽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</si>
  <si>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会双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</si>
  <si>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葡萄酒;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</si>
  <si>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t>熊成猫</t>
  </si>
  <si>
    <t>北京高投数科科技有限公司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</si>
  <si>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</si>
  <si>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t>唐蕃流香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</si>
  <si>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州番天印酒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</si>
  <si>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梨酒; 蜂蜜酒; 苹果酒;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黄酒</t>
    </r>
  </si>
  <si>
    <t>游竹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</si>
  <si>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</si>
  <si>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高粱酒; 果酒（含酒精）; 米酒</t>
    </r>
  </si>
  <si>
    <t>碎雪</t>
  </si>
  <si>
    <r>
      <t>高粱酒;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米酒;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</si>
  <si>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有度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</si>
  <si>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丹丹</t>
    </r>
  </si>
  <si>
    <r>
      <t>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</si>
  <si>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花月夜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</si>
  <si>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葡萄酒; 汽酒</t>
    </r>
  </si>
  <si>
    <t>敦丰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</si>
  <si>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敦丰投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</si>
  <si>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露酒; 白酒; 白葡萄酒;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果酒; 干型苹果酒; 麦芽威士忌</t>
    </r>
  </si>
  <si>
    <t>玖金口良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</si>
  <si>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香园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</si>
  <si>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蒸煮提取物（利口酒和烈酒）; 果酒（含酒精）; 开胃酒; 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</si>
  <si>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五加皮酒（中国混合烈酒）;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烈性干酒;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</si>
  <si>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约</t>
    </r>
    <r>
      <rPr>
        <sz val="11"/>
        <color theme="1"/>
        <rFont val="ＭＳ Ｐゴシック"/>
        <family val="3"/>
        <charset val="128"/>
        <scheme val="minor"/>
      </rPr>
      <t>皖</t>
    </r>
    <r>
      <rPr>
        <sz val="11"/>
        <color theme="1"/>
        <rFont val="ＭＳ Ｐゴシック"/>
        <family val="3"/>
        <charset val="134"/>
        <scheme val="minor"/>
      </rPr>
      <t>陈记</t>
    </r>
  </si>
  <si>
    <t>陈赛赛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</si>
  <si>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开胃酒; 葡萄酒; 汽酒; 黄酒; 果酒（含酒精）;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</si>
  <si>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r>
      <t>贤赟兰</t>
    </r>
    <r>
      <rPr>
        <sz val="11"/>
        <color theme="1"/>
        <rFont val="ＭＳ Ｐゴシック"/>
        <family val="3"/>
        <charset val="128"/>
        <scheme val="minor"/>
      </rPr>
      <t>花瓷</t>
    </r>
  </si>
  <si>
    <r>
      <t>山西汾杏源酒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</si>
  <si>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露酒;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</si>
  <si>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朴今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</si>
  <si>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烈酒; 黄酒; 清酒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</si>
  <si>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盏</t>
    </r>
    <r>
      <rPr>
        <sz val="11"/>
        <color theme="1"/>
        <rFont val="ＭＳ Ｐゴシック"/>
        <family val="3"/>
        <charset val="128"/>
        <scheme val="minor"/>
      </rPr>
      <t>匠香</t>
    </r>
  </si>
  <si>
    <r>
      <t>曾</t>
    </r>
    <r>
      <rPr>
        <sz val="11"/>
        <color theme="1"/>
        <rFont val="ＭＳ Ｐゴシック"/>
        <family val="3"/>
        <charset val="134"/>
        <scheme val="minor"/>
      </rPr>
      <t>纲</t>
    </r>
    <r>
      <rPr>
        <sz val="11"/>
        <color theme="1"/>
        <rFont val="ＭＳ Ｐゴシック"/>
        <family val="3"/>
        <charset val="128"/>
        <scheme val="minor"/>
      </rPr>
      <t>（******************）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</si>
  <si>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</si>
  <si>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禛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</si>
  <si>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海峪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</si>
  <si>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蒸煮提取物（利口酒和烈酒）; 威士忌;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</si>
  <si>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酒窖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</si>
  <si>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</si>
  <si>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t>啦佑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</si>
  <si>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门诺</t>
    </r>
    <r>
      <rPr>
        <sz val="11"/>
        <color theme="1"/>
        <rFont val="ＭＳ Ｐゴシック"/>
        <family val="3"/>
        <charset val="128"/>
        <scheme val="minor"/>
      </rPr>
      <t>惟文</t>
    </r>
    <r>
      <rPr>
        <sz val="11"/>
        <color theme="1"/>
        <rFont val="ＭＳ Ｐゴシック"/>
        <family val="3"/>
        <charset val="134"/>
        <scheme val="minor"/>
      </rPr>
      <t>娱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</si>
  <si>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伏特加酒</t>
    </r>
  </si>
  <si>
    <t>烈焰虎</t>
  </si>
  <si>
    <r>
      <t>张</t>
    </r>
    <r>
      <rPr>
        <sz val="11"/>
        <color theme="1"/>
        <rFont val="ＭＳ Ｐゴシック"/>
        <family val="3"/>
        <charset val="128"/>
        <scheme val="minor"/>
      </rPr>
      <t>文博</t>
    </r>
  </si>
  <si>
    <r>
      <t>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汽酒; 清酒</t>
    </r>
  </si>
  <si>
    <t>慈曲</t>
  </si>
  <si>
    <r>
      <t>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</si>
  <si>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答曲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</si>
  <si>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果酒（含酒精）; 黄酒;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</si>
  <si>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二奢湾 ERLUXWAN</t>
  </si>
  <si>
    <t>李志芬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</si>
  <si>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烈酒; 果酒（含酒精）; 黄酒</t>
    </r>
  </si>
  <si>
    <t>妤芯</t>
  </si>
  <si>
    <r>
      <t>石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市濠江海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酒楼</t>
    </r>
  </si>
  <si>
    <r>
      <t>葡萄酒; 果酒（含酒精）;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</si>
  <si>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念悠然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</si>
  <si>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方岩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</si>
  <si>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果酒（含酒精）;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米酒</t>
    </r>
  </si>
  <si>
    <t>客流香</t>
  </si>
  <si>
    <r>
      <t>赤峰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鼠服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</si>
  <si>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清酒</t>
    </r>
  </si>
  <si>
    <r>
      <t>双利</t>
    </r>
    <r>
      <rPr>
        <sz val="11"/>
        <color theme="1"/>
        <rFont val="ＭＳ Ｐゴシック"/>
        <family val="3"/>
        <charset val="134"/>
        <scheme val="minor"/>
      </rPr>
      <t>鸿战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</si>
  <si>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</si>
  <si>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蒸煮提取物（利口酒和烈酒）; 果酒（含酒精）; 米酒;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</si>
  <si>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大秦鄜州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</si>
  <si>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西秦直之路酒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</si>
  <si>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开胃酒;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</si>
  <si>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滋味食足</t>
  </si>
  <si>
    <r>
      <t>姑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帅</t>
    </r>
    <r>
      <rPr>
        <sz val="11"/>
        <color theme="1"/>
        <rFont val="ＭＳ Ｐゴシック"/>
        <family val="3"/>
        <charset val="128"/>
        <scheme val="minor"/>
      </rPr>
      <t>杰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味品商行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</si>
  <si>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</si>
  <si>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唐慈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</si>
  <si>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利口酒; 开胃酒;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</si>
  <si>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潘麦味</t>
  </si>
  <si>
    <r>
      <t>保山鑫佳琪商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</si>
  <si>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青稞酒; 果酒; 利口酒;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白酒</t>
    </r>
  </si>
  <si>
    <t>王勤</t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</si>
  <si>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佐餐酒;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</si>
  <si>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桂小封</t>
  </si>
  <si>
    <t>阳朔金桂园食品有限公司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</si>
  <si>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</si>
  <si>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秀姫</t>
  </si>
  <si>
    <t>草莓酒; 甜酒; 果酒（含酒精）; 高粱酒; 梅酒; 酸酒（低等葡萄酒）; 米酒; 清酒; 烈酒; 白酒</t>
  </si>
  <si>
    <t>歆康宁</t>
  </si>
  <si>
    <r>
      <t>郭德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</si>
  <si>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葡萄酒; 露酒; 烈酒</t>
    </r>
  </si>
  <si>
    <t>沁甘福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</si>
  <si>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白酒; 蜂蜜酒;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</si>
  <si>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洛威·囍器</t>
  </si>
  <si>
    <r>
      <t>景德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洛威陶瓷有限公司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</si>
  <si>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葡萄酒</t>
    </r>
  </si>
  <si>
    <t>天极峰</t>
  </si>
  <si>
    <r>
      <t>天极峰水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</si>
  <si>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果酒（含酒精）;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</si>
  <si>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路邑慕尚</t>
  </si>
  <si>
    <r>
      <t>朗姆酒;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利口酒; 果酒</t>
    </r>
  </si>
  <si>
    <t>睢海</t>
  </si>
  <si>
    <r>
      <t>河南睢海商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</si>
  <si>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</t>
    </r>
  </si>
  <si>
    <t>九金高良</t>
  </si>
  <si>
    <r>
      <t>果酒（含酒精）; 米酒;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</si>
  <si>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芙商</t>
  </si>
  <si>
    <r>
      <t xml:space="preserve">黄酒; 白酒; 高粱酒; 果酒; 烈酒; 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</t>
    </r>
  </si>
  <si>
    <t>椹似椿光</t>
  </si>
  <si>
    <t>四川金桑椹果有限公司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</si>
  <si>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白酒; 水果汽酒</t>
    </r>
  </si>
  <si>
    <t>御菩愫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</si>
  <si>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州品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尚美企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</si>
  <si>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白酒</t>
    </r>
  </si>
  <si>
    <t>路邑欧韵</t>
  </si>
  <si>
    <r>
      <t>朗姆酒;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烈酒</t>
    </r>
  </si>
  <si>
    <r>
      <t>禧世富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</si>
  <si>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 xml:space="preserve">白酒; 利口酒; 米酒;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</si>
  <si>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重遵</t>
  </si>
  <si>
    <t>李静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</si>
  <si>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露酒;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清酒</t>
    </r>
  </si>
  <si>
    <t>香山娃</t>
  </si>
  <si>
    <r>
      <t>明喜（广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</si>
  <si>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清酒; 含酒精的气泡水;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</si>
  <si>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白祥溪</t>
  </si>
  <si>
    <r>
      <t>司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旗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</si>
  <si>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蜂蜜酒</t>
    </r>
  </si>
  <si>
    <t>俏菊</t>
  </si>
  <si>
    <r>
      <t>张龙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</si>
  <si>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青梅酒; 白酒; 葡萄酒; 黄酒</t>
    </r>
  </si>
  <si>
    <t>春庭芳</t>
  </si>
  <si>
    <r>
      <t>卿建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</si>
  <si>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伏特加酒; 黄酒; 果酒（含酒精）;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</si>
  <si>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百万家富</t>
  </si>
  <si>
    <r>
      <t>天津康新餐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</si>
  <si>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</si>
  <si>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拂春醉</t>
  </si>
  <si>
    <r>
      <t>张</t>
    </r>
    <r>
      <rPr>
        <sz val="11"/>
        <color theme="1"/>
        <rFont val="ＭＳ Ｐゴシック"/>
        <family val="3"/>
        <charset val="128"/>
        <scheme val="minor"/>
      </rPr>
      <t>玲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</si>
  <si>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</si>
  <si>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界湘有礼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</si>
  <si>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家界(中国)金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鲵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</si>
  <si>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</si>
  <si>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望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</si>
  <si>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望(上海)品牌管理有限公司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</si>
  <si>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清酒; 青稞酒;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</si>
  <si>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金秋天渠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</si>
  <si>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州天渠斯泰酒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</si>
  <si>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</si>
  <si>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胖昆昆</t>
  </si>
  <si>
    <r>
      <t>张</t>
    </r>
    <r>
      <rPr>
        <sz val="11"/>
        <color theme="1"/>
        <rFont val="ＭＳ Ｐゴシック"/>
        <family val="3"/>
        <charset val="128"/>
        <scheme val="minor"/>
      </rPr>
      <t>佑******************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</si>
  <si>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葡萄酒; 果酒（含酒精）</t>
    </r>
  </si>
  <si>
    <t>URSPRULIFE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</si>
  <si>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西初生命生物科技有限公司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</si>
  <si>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</si>
  <si>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r>
      <t>二哥</t>
    </r>
    <r>
      <rPr>
        <sz val="11"/>
        <color theme="1"/>
        <rFont val="ＭＳ Ｐゴシック"/>
        <family val="3"/>
        <charset val="134"/>
        <scheme val="minor"/>
      </rPr>
      <t>陨</t>
    </r>
    <r>
      <rPr>
        <sz val="11"/>
        <color theme="1"/>
        <rFont val="ＭＳ Ｐゴシック"/>
        <family val="3"/>
        <charset val="128"/>
        <scheme val="minor"/>
      </rPr>
      <t>能</t>
    </r>
  </si>
  <si>
    <r>
      <t>邢</t>
    </r>
    <r>
      <rPr>
        <sz val="11"/>
        <color theme="1"/>
        <rFont val="ＭＳ Ｐゴシック"/>
        <family val="3"/>
        <charset val="134"/>
        <scheme val="minor"/>
      </rPr>
      <t>鲁铭</t>
    </r>
  </si>
  <si>
    <r>
      <t xml:space="preserve">米酒;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</si>
  <si>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闽酝</t>
  </si>
  <si>
    <r>
      <t>福建</t>
    </r>
    <r>
      <rPr>
        <sz val="11"/>
        <color theme="1"/>
        <rFont val="ＭＳ Ｐゴシック"/>
        <family val="3"/>
        <charset val="134"/>
        <scheme val="minor"/>
      </rPr>
      <t>闽酝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</si>
  <si>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黄酒; 葡萄酒;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</si>
  <si>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火焰熙游</t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</si>
  <si>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食用酒精; 清酒（日本米酒）;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</si>
  <si>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忆电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</si>
  <si>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州黔上</t>
    </r>
    <r>
      <rPr>
        <sz val="11"/>
        <color theme="1"/>
        <rFont val="ＭＳ Ｐゴシック"/>
        <family val="3"/>
        <charset val="134"/>
        <scheme val="minor"/>
      </rPr>
      <t>电缘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管理中心（有限合伙）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</si>
  <si>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</t>
    </r>
  </si>
  <si>
    <t>LOUISMANOR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</si>
  <si>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威士忌; 朗姆酒; 伏特加酒; 白酒; 烈酒</t>
    </r>
  </si>
  <si>
    <r>
      <t>十堰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沟旅游景区管理有限公司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</si>
  <si>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</si>
  <si>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麦智老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</si>
  <si>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必惠商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</si>
  <si>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混合威士忌酒; 果酒（含酒精）; 麦芽威士忌;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</si>
  <si>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嬉燕迩</t>
  </si>
  <si>
    <r>
      <t>南昌尹</t>
    </r>
    <r>
      <rPr>
        <sz val="11"/>
        <color theme="1"/>
        <rFont val="ＭＳ Ｐゴシック"/>
        <family val="3"/>
        <charset val="134"/>
        <scheme val="minor"/>
      </rPr>
      <t>铎贸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</si>
  <si>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黄酒; 果酒（含酒精）; 白酒; 朗姆酒; 伏特加酒; 葡萄酒; 威士忌; 米酒</t>
    </r>
  </si>
  <si>
    <r>
      <t>路邑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梦</t>
    </r>
  </si>
  <si>
    <r>
      <t>利口酒; 白酒; 葡萄酒; 朗姆酒; 伏特加酒; 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</si>
  <si>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真·山海元世</t>
  </si>
  <si>
    <t>周桐羽</t>
  </si>
  <si>
    <r>
      <t>食用酒精; 白酒;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</si>
  <si>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首府黔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壹号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</si>
  <si>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黔生万物置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</si>
  <si>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</si>
  <si>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榛叶翠</t>
  </si>
  <si>
    <r>
      <t xml:space="preserve">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开胃酒;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</si>
  <si>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</si>
  <si>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掖广博商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</si>
  <si>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米酒; 白酒</t>
    </r>
  </si>
  <si>
    <r>
      <t>加多福酒道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</si>
  <si>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聪聪</t>
    </r>
  </si>
  <si>
    <r>
      <t xml:space="preserve">威士忌; 米酒;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白酒</t>
    </r>
  </si>
  <si>
    <r>
      <t>师</t>
    </r>
    <r>
      <rPr>
        <sz val="11"/>
        <color theme="1"/>
        <rFont val="ＭＳ Ｐゴシック"/>
        <family val="3"/>
        <charset val="128"/>
        <scheme val="minor"/>
      </rPr>
      <t>迁</t>
    </r>
  </si>
  <si>
    <t>邱天祥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</si>
  <si>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露酒; 梅酒; 米酒; 汽酒; 烈酒; 果酒; 清酒</t>
    </r>
  </si>
  <si>
    <t>斯威肯</t>
  </si>
  <si>
    <r>
      <t>广州米巨国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</si>
  <si>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混合威士忌酒; 伏特加酒; 白葡萄酒;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</si>
  <si>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公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民要</t>
    </r>
    <r>
      <rPr>
        <sz val="11"/>
        <color theme="1"/>
        <rFont val="ＭＳ Ｐゴシック"/>
        <family val="3"/>
        <charset val="134"/>
        <scheme val="minor"/>
      </rPr>
      <t>术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</si>
  <si>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高阳酒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</si>
  <si>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黄酒;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</si>
  <si>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唱江南</t>
  </si>
  <si>
    <r>
      <t>葡萄酒;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</si>
  <si>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些如意</t>
  </si>
  <si>
    <r>
      <t>河南捷安</t>
    </r>
    <r>
      <rPr>
        <sz val="11"/>
        <color theme="1"/>
        <rFont val="ＭＳ Ｐゴシック"/>
        <family val="3"/>
        <charset val="134"/>
        <scheme val="minor"/>
      </rPr>
      <t>测</t>
    </r>
    <r>
      <rPr>
        <sz val="11"/>
        <color theme="1"/>
        <rFont val="ＭＳ Ｐゴシック"/>
        <family val="3"/>
        <charset val="128"/>
        <scheme val="minor"/>
      </rPr>
      <t>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</si>
  <si>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</si>
  <si>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火箭</t>
    </r>
    <r>
      <rPr>
        <sz val="11"/>
        <color theme="1"/>
        <rFont val="ＭＳ Ｐゴシック"/>
        <family val="3"/>
        <charset val="134"/>
        <scheme val="minor"/>
      </rPr>
      <t>鸡</t>
    </r>
  </si>
  <si>
    <r>
      <t>月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（深圳）航天文化科技有限公司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</si>
  <si>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威士忌; 含酒精的气泡水;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</t>
    </r>
  </si>
  <si>
    <r>
      <t>毓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窖</t>
    </r>
    <r>
      <rPr>
        <sz val="11"/>
        <color theme="1"/>
        <rFont val="ＭＳ Ｐゴシック"/>
        <family val="3"/>
        <charset val="134"/>
        <scheme val="minor"/>
      </rPr>
      <t>龄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</si>
  <si>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甘蔗制烈酒;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</si>
  <si>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渐</t>
    </r>
    <r>
      <rPr>
        <sz val="11"/>
        <color theme="1"/>
        <rFont val="ＭＳ Ｐゴシック"/>
        <family val="3"/>
        <charset val="128"/>
        <scheme val="minor"/>
      </rPr>
      <t>之</t>
    </r>
  </si>
  <si>
    <t>蔡佑敏******************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</si>
  <si>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</si>
  <si>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衡吟春</t>
  </si>
  <si>
    <t>曹祥友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</si>
  <si>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蜂蜜酒;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</si>
  <si>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单</t>
    </r>
    <r>
      <rPr>
        <sz val="11"/>
        <color theme="1"/>
        <rFont val="ＭＳ Ｐゴシック"/>
        <family val="3"/>
        <charset val="128"/>
        <scheme val="minor"/>
      </rPr>
      <t>真</t>
    </r>
  </si>
  <si>
    <t>崔允珂</t>
  </si>
  <si>
    <t>米酒; 白酒; 葡萄酒; 黄酒</t>
  </si>
  <si>
    <t>洛威·福器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</si>
  <si>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清酒; 葡萄酒;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</si>
  <si>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春陵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</si>
  <si>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湖北春陵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</si>
  <si>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</t>
    </r>
  </si>
  <si>
    <t>俏拉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</si>
  <si>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白酒; 葡萄酒; 伏特加酒; 青梅酒;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</si>
  <si>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BIOHEK</t>
  </si>
  <si>
    <r>
      <t>威海百合生物技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</si>
  <si>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米酒; 甜果酒;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</si>
  <si>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邦名</t>
    </r>
  </si>
  <si>
    <r>
      <t>泰安市泰山日出酒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</si>
  <si>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露酒;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</si>
  <si>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悟空匠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</si>
  <si>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市今醇酒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</si>
  <si>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果酒;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</si>
  <si>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子起鹿源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</si>
  <si>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宁子起初</t>
    </r>
    <r>
      <rPr>
        <sz val="11"/>
        <color theme="1"/>
        <rFont val="ＭＳ Ｐゴシック"/>
        <family val="3"/>
        <charset val="134"/>
        <scheme val="minor"/>
      </rPr>
      <t>级农产</t>
    </r>
    <r>
      <rPr>
        <sz val="11"/>
        <color theme="1"/>
        <rFont val="ＭＳ Ｐゴシック"/>
        <family val="3"/>
        <charset val="128"/>
        <scheme val="minor"/>
      </rPr>
      <t>品加工有限公司</t>
    </r>
  </si>
  <si>
    <r>
      <t>开胃酒; 蜂蜜酒; 露酒; 果酒; 米酒;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</si>
  <si>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草木歌</t>
  </si>
  <si>
    <r>
      <t>江西正西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</si>
  <si>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餐后酒（利口酒和烈酒）;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</si>
  <si>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拾荒者</t>
  </si>
  <si>
    <r>
      <t>徐州一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</si>
  <si>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</si>
  <si>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帝王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</si>
  <si>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洛阳市洛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区达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</si>
  <si>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</si>
  <si>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北京伍安园科技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</si>
  <si>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</si>
  <si>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渡北</t>
    </r>
    <r>
      <rPr>
        <sz val="11"/>
        <color theme="1"/>
        <rFont val="ＭＳ Ｐゴシック"/>
        <family val="3"/>
        <charset val="134"/>
        <scheme val="minor"/>
      </rPr>
      <t>卫</t>
    </r>
  </si>
  <si>
    <r>
      <t>巫山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北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</si>
  <si>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梅酒;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</si>
  <si>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袁曲</t>
  </si>
  <si>
    <r>
      <t>葡萄酒;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</si>
  <si>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梅老大</t>
  </si>
  <si>
    <r>
      <t>余姚市梅老大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</si>
  <si>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开胃酒; 利口酒; 梅酒;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</t>
    </r>
  </si>
  <si>
    <t>友来福</t>
  </si>
  <si>
    <r>
      <t>蜂蜜酒;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</si>
  <si>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果酒（含酒精）; 葡萄酒; 水果汽酒;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</si>
  <si>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逢江南</t>
  </si>
  <si>
    <r>
      <t xml:space="preserve">米酒;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</t>
    </r>
  </si>
  <si>
    <t>曲上江南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</si>
  <si>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利口酒; 米酒; 果酒（含酒精）; 白酒</t>
    </r>
  </si>
  <si>
    <t>SWILCAN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</si>
  <si>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甜酒; 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果酒; 伏特加酒;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混合威士忌酒</t>
    </r>
  </si>
  <si>
    <t>五禧牛</t>
  </si>
  <si>
    <r>
      <t>清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御品（北京）健康科技有限公司</t>
    </r>
  </si>
  <si>
    <r>
      <t>葡萄酒; 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</si>
  <si>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白酒; 米酒; 露酒;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餐后酒（利口酒和烈酒）;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</si>
  <si>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洛星食品有限公司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</si>
  <si>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伏特加酒;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水果汽酒; 开胃酒; 果酒（含酒精）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</si>
  <si>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郁</t>
    </r>
  </si>
  <si>
    <r>
      <t>葡萄酒; 威士忌; 白酒; 蒸煮提取物（利口酒和烈酒）;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</si>
  <si>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香娃子</t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</si>
  <si>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</si>
  <si>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樽开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</si>
  <si>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</si>
  <si>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>果酒（含酒精）; 清酒（日本米酒）; 白酒; 开胃酒; 烈酒; 葡萄酒;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</si>
  <si>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千万家富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</si>
  <si>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白酒; 果酒（含酒精）; 黄酒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</si>
  <si>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叙王子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</si>
  <si>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晴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</si>
  <si>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</si>
  <si>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至尊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邦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</si>
  <si>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</si>
  <si>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刘清明</t>
  </si>
  <si>
    <r>
      <t xml:space="preserve">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甜酒; 白酒; 烈酒;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</si>
  <si>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神小鹿</t>
  </si>
  <si>
    <r>
      <t>松原市增盛永酒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</si>
  <si>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露酒; 米酒; 白酒; 甜酒; 果酒（含酒精）</t>
    </r>
  </si>
  <si>
    <r>
      <t>华讯</t>
    </r>
    <r>
      <rPr>
        <sz val="11"/>
        <color theme="1"/>
        <rFont val="ＭＳ Ｐゴシック"/>
        <family val="3"/>
        <charset val="128"/>
        <scheme val="minor"/>
      </rPr>
      <t>拱辰</t>
    </r>
  </si>
  <si>
    <r>
      <t>华讯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州）信息科技有限公司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</si>
  <si>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米酒; 青稞酒; 黄酒; 白酒</t>
    </r>
  </si>
  <si>
    <t>熹江南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</si>
  <si>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米酒</t>
    </r>
  </si>
  <si>
    <t>岑丹丘</t>
  </si>
  <si>
    <r>
      <t>杨</t>
    </r>
    <r>
      <rPr>
        <sz val="11"/>
        <color theme="1"/>
        <rFont val="ＭＳ Ｐゴシック"/>
        <family val="3"/>
        <charset val="128"/>
        <scheme val="minor"/>
      </rPr>
      <t>旺旺</t>
    </r>
  </si>
  <si>
    <r>
      <t xml:space="preserve">薄荷酒; 白酒; 威士忌;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葡萄酒; 伏特加酒</t>
    </r>
  </si>
  <si>
    <t>火焰西游</t>
  </si>
  <si>
    <r>
      <t>清酒（日本米酒）;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葡萄酒; 开胃酒; 果酒（含酒精）</t>
    </r>
  </si>
  <si>
    <r>
      <t>孔氏季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</si>
  <si>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孔氏季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沂）健康管理有限公司</t>
    </r>
  </si>
  <si>
    <r>
      <t xml:space="preserve">开胃酒; 汽酒; 白酒; 葡萄酒;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</si>
  <si>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杨记</t>
    </r>
    <r>
      <rPr>
        <sz val="11"/>
        <color theme="1"/>
        <rFont val="ＭＳ Ｐゴシック"/>
        <family val="3"/>
        <charset val="128"/>
        <scheme val="minor"/>
      </rPr>
      <t>佬味真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</si>
  <si>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伯康食品科技有限公司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</si>
  <si>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</t>
    </r>
  </si>
  <si>
    <t>府址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</si>
  <si>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伏特加酒;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</si>
  <si>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舌上初恋</t>
  </si>
  <si>
    <r>
      <t>洛阳市洛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区王瑞雪食品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</si>
  <si>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</si>
  <si>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丰川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</si>
  <si>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威士忌; 白酒; 青稞酒;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</si>
  <si>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t>淮河儿女</t>
  </si>
  <si>
    <r>
      <t>胡星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</si>
  <si>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</si>
  <si>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外星泡泡</t>
  </si>
  <si>
    <r>
      <t>法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</si>
  <si>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含酒精的气泡水; 葡萄酒; 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</si>
  <si>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万力健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</si>
  <si>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冠宝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</si>
  <si>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青稞酒; 高粱酒; 梅酒; 清酒;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青梅酒; 白酒;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</si>
  <si>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r>
      <t>闽酝</t>
    </r>
    <r>
      <rPr>
        <sz val="11"/>
        <color theme="1"/>
        <rFont val="ＭＳ Ｐゴシック"/>
        <family val="3"/>
        <charset val="128"/>
        <scheme val="minor"/>
      </rPr>
      <t>当歌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</si>
  <si>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开胃酒; 清酒;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</si>
  <si>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DAILYPURE SUPPORT+</t>
  </si>
  <si>
    <t>杰伯迅控股公司</t>
  </si>
  <si>
    <r>
      <t xml:space="preserve">葡萄酒; 威士忌;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</t>
    </r>
  </si>
  <si>
    <t>酩梦川</t>
  </si>
  <si>
    <r>
      <t xml:space="preserve">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</si>
  <si>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翰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金陵</t>
    </r>
  </si>
  <si>
    <r>
      <t>孙银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</si>
  <si>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烈酒; 食用酒精; 蜂蜜酒; 黄酒; 白酒;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</si>
  <si>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</si>
  <si>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青稞酒; 米酒;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</si>
  <si>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拳王阿毅</t>
  </si>
  <si>
    <t>黄斯毅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</si>
  <si>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黄酒</t>
    </r>
  </si>
  <si>
    <r>
      <t>竹</t>
    </r>
    <r>
      <rPr>
        <sz val="11"/>
        <color theme="1"/>
        <rFont val="ＭＳ Ｐゴシック"/>
        <family val="3"/>
        <charset val="129"/>
        <scheme val="minor"/>
      </rPr>
      <t>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</si>
  <si>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葡萄酒; 白干酒（中国白酒）; 米酒; 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</si>
  <si>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凭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望</t>
    </r>
  </si>
  <si>
    <r>
      <t xml:space="preserve">白酒; 葡萄酒; 高粱酒; 果酒（含酒精）; 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</si>
  <si>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䒴益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</si>
  <si>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醉玉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</si>
  <si>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米酒; 蒸煮提取物（利口酒和烈酒）; 威士忌; 果酒（含酒精）</t>
    </r>
  </si>
  <si>
    <t>至弥不悔</t>
  </si>
  <si>
    <r>
      <t>弥勒</t>
    </r>
    <r>
      <rPr>
        <sz val="11"/>
        <color theme="1"/>
        <rFont val="ＭＳ Ｐゴシック"/>
        <family val="3"/>
        <charset val="134"/>
        <scheme val="minor"/>
      </rPr>
      <t>潇扬电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</si>
  <si>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开胃酒; 葡萄酒; 果酒（含酒精）; 威士忌;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杜松子酒</t>
    </r>
  </si>
  <si>
    <r>
      <t>馥碧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</si>
  <si>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南京馥碧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</si>
  <si>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开胃酒; 利口酒; 葡萄酒;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</si>
  <si>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路邑馥雅</t>
  </si>
  <si>
    <r>
      <t>伏特加酒; 白酒; 葡萄酒; 果酒; 威士忌;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</si>
  <si>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伊林池</t>
  </si>
  <si>
    <r>
      <t>烈酒;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食用酒精; 白酒; 米酒; 葡萄酒</t>
    </r>
  </si>
  <si>
    <r>
      <t>河北明永餐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</si>
  <si>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</si>
  <si>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采江南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</si>
  <si>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白酒; 果酒（含酒精）; 利口酒; 葡萄酒</t>
    </r>
  </si>
  <si>
    <r>
      <t>东钊</t>
    </r>
    <r>
      <rPr>
        <sz val="11"/>
        <color theme="1"/>
        <rFont val="ＭＳ Ｐゴシック"/>
        <family val="3"/>
        <charset val="128"/>
        <scheme val="minor"/>
      </rPr>
      <t>名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</si>
  <si>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泉州</t>
    </r>
    <r>
      <rPr>
        <sz val="11"/>
        <color theme="1"/>
        <rFont val="ＭＳ Ｐゴシック"/>
        <family val="3"/>
        <charset val="134"/>
        <scheme val="minor"/>
      </rPr>
      <t>东钊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</si>
  <si>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</si>
  <si>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乾世金盛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</si>
  <si>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利口酒; 黄酒; 米酒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</si>
  <si>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太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翔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</si>
  <si>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苹果酒; 含酒精的气泡水;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</si>
  <si>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闽酝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</si>
  <si>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果酒（含酒精）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</si>
  <si>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绪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</si>
  <si>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米酒; 白酒; 开胃酒;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</si>
  <si>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烈湃</t>
  </si>
  <si>
    <t>星享食品有限公司</t>
  </si>
  <si>
    <r>
      <t>黄酒; 食用酒精;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</si>
  <si>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BIOHEK HEALTH CARE PRODUCTS</t>
  </si>
  <si>
    <r>
      <t>果酒（含酒精）;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甜果酒;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</si>
  <si>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南京秦淮大上海酒店有限公司</t>
  </si>
  <si>
    <r>
      <t>黄酒;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</si>
  <si>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样满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</si>
  <si>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成都川</t>
    </r>
    <r>
      <rPr>
        <sz val="11"/>
        <color theme="1"/>
        <rFont val="ＭＳ Ｐゴシック"/>
        <family val="3"/>
        <charset val="134"/>
        <scheme val="minor"/>
      </rPr>
      <t>样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</si>
  <si>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葡萄酒; 果酒（含酒精）; 高粱酒;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</si>
  <si>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德和生</t>
  </si>
  <si>
    <r>
      <t>四川宜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德和生晒</t>
    </r>
    <r>
      <rPr>
        <sz val="11"/>
        <color theme="1"/>
        <rFont val="ＭＳ Ｐゴシック"/>
        <family val="3"/>
        <charset val="134"/>
        <scheme val="minor"/>
      </rPr>
      <t>酿酱</t>
    </r>
    <r>
      <rPr>
        <sz val="11"/>
        <color theme="1"/>
        <rFont val="ＭＳ Ｐゴシック"/>
        <family val="3"/>
        <charset val="128"/>
        <scheme val="minor"/>
      </rPr>
      <t>园食品有限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</si>
  <si>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蜂蜜酒; 餐后酒（利口酒和烈酒）; 白酒; 苹果酒; 黄酒; 烈酒;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</si>
  <si>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械</t>
    </r>
    <r>
      <rPr>
        <sz val="11"/>
        <color theme="1"/>
        <rFont val="ＭＳ Ｐゴシック"/>
        <family val="3"/>
        <charset val="134"/>
        <scheme val="minor"/>
      </rPr>
      <t>闪烁</t>
    </r>
  </si>
  <si>
    <r>
      <t>河北荣翔医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</si>
  <si>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</si>
  <si>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六黔粱</t>
  </si>
  <si>
    <r>
      <t xml:space="preserve">清酒（日本米酒）; 威士忌; 开胃酒; 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</si>
  <si>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纳谛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</si>
  <si>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白酒; 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</si>
  <si>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荣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坊</t>
    </r>
  </si>
  <si>
    <t>李广玉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</si>
  <si>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果酒（含酒精）; 白酒;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葡萄酒</t>
    </r>
  </si>
  <si>
    <t>QSCUN</t>
  </si>
  <si>
    <r>
      <t>广州昂泰国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</si>
  <si>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</si>
  <si>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柰花（山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）生物科技有限公司</t>
    </r>
  </si>
  <si>
    <r>
      <t xml:space="preserve">白酒; 白干酒（中国白酒）; 葡萄酒; 清酒;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</si>
  <si>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念九朝</t>
  </si>
  <si>
    <t>杜坦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</si>
  <si>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</si>
  <si>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春液尊</t>
  </si>
  <si>
    <t>李志磊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</si>
  <si>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</si>
  <si>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祁旨</t>
  </si>
  <si>
    <r>
      <t>黄酒; 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</si>
  <si>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千禧峰</t>
  </si>
  <si>
    <r>
      <t>曲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</si>
  <si>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白酒;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</si>
  <si>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醉秦朝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</si>
  <si>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醉仙泉酒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</si>
  <si>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白酒; 葡萄酒;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</si>
  <si>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悦浩源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</si>
  <si>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海御宝生物科技有限公司</t>
    </r>
  </si>
  <si>
    <r>
      <t xml:space="preserve">薄荷酒;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</si>
  <si>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故事</t>
    </r>
  </si>
  <si>
    <r>
      <t>海南国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文化教育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</si>
  <si>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</si>
  <si>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t>潇缤</t>
  </si>
  <si>
    <r>
      <t>贵</t>
    </r>
    <r>
      <rPr>
        <sz val="11"/>
        <color theme="1"/>
        <rFont val="ＭＳ Ｐゴシック"/>
        <family val="3"/>
        <charset val="128"/>
        <scheme val="minor"/>
      </rPr>
      <t>阳一味餐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</si>
  <si>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白酒; 甜酒; 白葡萄酒; 高粱酒;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</si>
  <si>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源氏木</t>
    </r>
    <r>
      <rPr>
        <sz val="11"/>
        <color theme="1"/>
        <rFont val="ＭＳ Ｐゴシック"/>
        <family val="3"/>
        <charset val="134"/>
        <scheme val="minor"/>
      </rPr>
      <t>语</t>
    </r>
  </si>
  <si>
    <t>上海万木生源家居有限公司</t>
  </si>
  <si>
    <r>
      <t>日式甜米酒; 水果汽酒;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利口酒; 佐餐酒;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不起泡葡萄酒; 高粱酒</t>
    </r>
  </si>
  <si>
    <t>定养道</t>
  </si>
  <si>
    <t>郑丽</t>
  </si>
  <si>
    <r>
      <t xml:space="preserve">开胃酒; 黄酒; 白酒; 烈酒;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葡萄酒; 高粱酒</t>
    </r>
  </si>
  <si>
    <r>
      <t>世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</si>
  <si>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彭大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</si>
  <si>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葡萄酒; 清酒（日本米酒）;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</si>
  <si>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竖</t>
    </r>
    <r>
      <rPr>
        <sz val="11"/>
        <color theme="1"/>
        <rFont val="ＭＳ Ｐゴシック"/>
        <family val="3"/>
        <charset val="128"/>
        <scheme val="minor"/>
      </rPr>
      <t>叶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</si>
  <si>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黑覆盆子酒; 食用酒精; 清酒;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露酒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</si>
  <si>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农绿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</si>
  <si>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河南豫</t>
    </r>
    <r>
      <rPr>
        <sz val="11"/>
        <color theme="1"/>
        <rFont val="ＭＳ Ｐゴシック"/>
        <family val="3"/>
        <charset val="134"/>
        <scheme val="minor"/>
      </rPr>
      <t>农绿</t>
    </r>
    <r>
      <rPr>
        <sz val="11"/>
        <color theme="1"/>
        <rFont val="ＭＳ Ｐゴシック"/>
        <family val="3"/>
        <charset val="128"/>
        <scheme val="minor"/>
      </rPr>
      <t>源食品有限公司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</si>
  <si>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朗姆酒;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</si>
  <si>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r>
      <t>柔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河</t>
    </r>
  </si>
  <si>
    <t>欧阳兆磊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</si>
  <si>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</si>
  <si>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万里山海</t>
  </si>
  <si>
    <r>
      <t>宋开</t>
    </r>
    <r>
      <rPr>
        <sz val="11"/>
        <color theme="1"/>
        <rFont val="ＭＳ Ｐゴシック"/>
        <family val="3"/>
        <charset val="134"/>
        <scheme val="minor"/>
      </rPr>
      <t>营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</si>
  <si>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清酒（日本米酒）;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</si>
  <si>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蒂百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</si>
  <si>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郭玉</t>
    </r>
    <r>
      <rPr>
        <sz val="11"/>
        <color theme="1"/>
        <rFont val="ＭＳ Ｐゴシック"/>
        <family val="3"/>
        <charset val="134"/>
        <scheme val="minor"/>
      </rPr>
      <t>环</t>
    </r>
  </si>
  <si>
    <r>
      <t>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米酒; 果酒（含酒精）; 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</si>
  <si>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凌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</si>
  <si>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纲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</si>
  <si>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</si>
  <si>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疆山廊</t>
  </si>
  <si>
    <r>
      <t>桃江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智文商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行(个体工商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</si>
  <si>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</si>
  <si>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将醉柔</t>
  </si>
  <si>
    <r>
      <t>陈</t>
    </r>
    <r>
      <rPr>
        <sz val="11"/>
        <color theme="1"/>
        <rFont val="ＭＳ Ｐゴシック"/>
        <family val="3"/>
        <charset val="128"/>
        <scheme val="minor"/>
      </rPr>
      <t>肖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</si>
  <si>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蒸煮提取物（利口酒和烈酒）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</si>
  <si>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方正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</si>
  <si>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市宏宇酒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</si>
  <si>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</si>
  <si>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雨袖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</si>
  <si>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食用酒精; 清酒; 黑覆盆子酒;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利口酒; 梅酒</t>
    </r>
  </si>
  <si>
    <t>酌溪梦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</si>
  <si>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黄酒; 葡萄酒; 米酒</t>
    </r>
  </si>
  <si>
    <t>去梅山</t>
  </si>
  <si>
    <r>
      <t>紫梅山（</t>
    </r>
    <r>
      <rPr>
        <sz val="11"/>
        <color theme="1"/>
        <rFont val="ＭＳ Ｐゴシック"/>
        <family val="3"/>
        <charset val="134"/>
        <scheme val="minor"/>
      </rPr>
      <t>诏</t>
    </r>
    <r>
      <rPr>
        <sz val="11"/>
        <color theme="1"/>
        <rFont val="ＭＳ Ｐゴシック"/>
        <family val="3"/>
        <charset val="128"/>
        <scheme val="minor"/>
      </rPr>
      <t>安）品牌运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</si>
  <si>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甜果酒; 果酒; 白酒; 青梅酒; 含酒精的气泡水; 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</si>
  <si>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赤粮</t>
    </r>
  </si>
  <si>
    <r>
      <t>洛阳市洛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区臻欣百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</si>
  <si>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</si>
  <si>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诵</t>
    </r>
    <r>
      <rPr>
        <sz val="11"/>
        <color theme="1"/>
        <rFont val="ＭＳ Ｐゴシック"/>
        <family val="3"/>
        <charset val="128"/>
        <scheme val="minor"/>
      </rPr>
      <t>夏</t>
    </r>
  </si>
  <si>
    <r>
      <t>澄城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昕娜百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</si>
  <si>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梅酒; 清酒（日本米酒）;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</si>
  <si>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恋七公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</si>
  <si>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果酒（含酒精）;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</si>
  <si>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李国成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</si>
  <si>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黄酒;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</si>
  <si>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潘汪浩</t>
  </si>
  <si>
    <r>
      <t>寻乌县</t>
    </r>
    <r>
      <rPr>
        <sz val="11"/>
        <color theme="1"/>
        <rFont val="ＭＳ Ｐゴシック"/>
        <family val="3"/>
        <charset val="128"/>
        <scheme val="minor"/>
      </rPr>
      <t>粮芯糯米酒店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</si>
  <si>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黄酒;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</si>
  <si>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锦乐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</si>
  <si>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中林</t>
    </r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</si>
  <si>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黄酒</t>
    </r>
  </si>
  <si>
    <t>帕加迪</t>
  </si>
  <si>
    <r>
      <t>果酒（含酒精）; 白酒; 葡萄酒;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米酒;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</t>
    </r>
  </si>
  <si>
    <t>梦八荒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</si>
  <si>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</t>
    </r>
  </si>
  <si>
    <t>圣仕堡</t>
  </si>
  <si>
    <r>
      <t>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葡萄酒</t>
    </r>
  </si>
  <si>
    <t>半衫</t>
  </si>
  <si>
    <r>
      <t>露酒; 清酒; 黄酒; 梅酒; 黑覆盆子酒;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</si>
  <si>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诉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</si>
  <si>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白酒; 葡萄酒; 朗姆酒; 食用酒精</t>
    </r>
  </si>
  <si>
    <t>馥含香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</si>
  <si>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</si>
  <si>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</si>
  <si>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养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</si>
  <si>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杜正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</si>
  <si>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 xml:space="preserve">清酒（日本米酒）; 青稞酒; 烈酒; 开胃酒; 高粱酒; 白酒;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</si>
  <si>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味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</si>
  <si>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江西全洪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</si>
  <si>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食用酒精; 蜂蜜酒;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</si>
  <si>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山西交通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团综</t>
    </r>
    <r>
      <rPr>
        <sz val="11"/>
        <color theme="1"/>
        <rFont val="ＭＳ Ｐゴシック"/>
        <family val="3"/>
        <charset val="128"/>
        <scheme val="minor"/>
      </rPr>
      <t>合开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</si>
  <si>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威士忌</t>
    </r>
  </si>
  <si>
    <t>果姿哆</t>
  </si>
  <si>
    <t>袁俊松</t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</si>
  <si>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</si>
  <si>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和天下福匠 GENTLEHEAVENFUKA</t>
  </si>
  <si>
    <r>
      <t>张</t>
    </r>
    <r>
      <rPr>
        <sz val="11"/>
        <color theme="1"/>
        <rFont val="ＭＳ Ｐゴシック"/>
        <family val="3"/>
        <charset val="128"/>
        <scheme val="minor"/>
      </rPr>
      <t>翼</t>
    </r>
  </si>
  <si>
    <r>
      <t>米酒; 黄酒; 白酒;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</si>
  <si>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楚堰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</si>
  <si>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湖北省奇峰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</si>
  <si>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食用酒精;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</si>
  <si>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柰花草</t>
  </si>
  <si>
    <r>
      <t>果酒; 白酒;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</si>
  <si>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新花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</si>
  <si>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梨酒;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酸酒（低等葡萄酒）</t>
    </r>
  </si>
  <si>
    <r>
      <t>果哥</t>
    </r>
    <r>
      <rPr>
        <sz val="11"/>
        <color theme="1"/>
        <rFont val="ＭＳ Ｐゴシック"/>
        <family val="3"/>
        <charset val="134"/>
        <scheme val="minor"/>
      </rPr>
      <t>俩</t>
    </r>
  </si>
  <si>
    <r>
      <t>白酒; 威士忌;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</si>
  <si>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幽</t>
    </r>
    <r>
      <rPr>
        <sz val="11"/>
        <color theme="1"/>
        <rFont val="ＭＳ Ｐゴシック"/>
        <family val="3"/>
        <charset val="134"/>
        <scheme val="minor"/>
      </rPr>
      <t>蓝鲸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</si>
  <si>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雁</t>
    </r>
  </si>
  <si>
    <r>
      <t>果酒（含酒精）; 汽酒; 黄酒; 食用酒精;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青稞酒</t>
    </r>
  </si>
  <si>
    <t>律医生</t>
  </si>
  <si>
    <r>
      <t>陈辉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</si>
  <si>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>蜂蜜酒;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清酒（日本米酒）; 白酒; 开胃酒</t>
    </r>
  </si>
  <si>
    <t>仰瓷</t>
  </si>
  <si>
    <r>
      <t>山西宇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</si>
  <si>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>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</si>
  <si>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昀</t>
    </r>
  </si>
  <si>
    <t>李景亮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</si>
  <si>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汽酒;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伏特加酒</t>
    </r>
  </si>
  <si>
    <t>HADAS DE SAGE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</si>
  <si>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共好食品有限公司</t>
    </r>
  </si>
  <si>
    <r>
      <t>葡萄酒; 朗姆酒; 威士忌;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</si>
  <si>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t>帝苑仙音</t>
  </si>
  <si>
    <r>
      <t>彭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学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</si>
  <si>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</si>
  <si>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LIOKA</t>
  </si>
  <si>
    <r>
      <t>香港独行国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</si>
  <si>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利口酒; 威士忌;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</si>
  <si>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t>秦五洲</t>
  </si>
  <si>
    <r>
      <t>黄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</si>
  <si>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果酒（含酒精）; 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</si>
  <si>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樽香逸品</t>
  </si>
  <si>
    <t>张锋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</si>
  <si>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青稞酒;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</si>
  <si>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捕捉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</si>
  <si>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家口北歌商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</si>
  <si>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白干酒（中国白酒）; 酸酒（低等葡萄酒）;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</si>
  <si>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客养道</t>
  </si>
  <si>
    <t>河南品沃生物科技有限公司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</si>
  <si>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葡萄酒</t>
    </r>
  </si>
  <si>
    <r>
      <t>陶易</t>
    </r>
    <r>
      <rPr>
        <sz val="11"/>
        <color theme="1"/>
        <rFont val="ＭＳ Ｐゴシック"/>
        <family val="3"/>
        <charset val="134"/>
        <scheme val="minor"/>
      </rPr>
      <t>联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</si>
  <si>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州仟聚科技有限公司</t>
    </r>
  </si>
  <si>
    <r>
      <t>葡萄酒;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</si>
  <si>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HAN NONG ZHUANG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</si>
  <si>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忠</t>
    </r>
    <r>
      <rPr>
        <sz val="11"/>
        <color theme="1"/>
        <rFont val="ＭＳ Ｐゴシック"/>
        <family val="3"/>
        <charset val="134"/>
        <scheme val="minor"/>
      </rPr>
      <t>记药业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</si>
  <si>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高粱酒; 黄酒;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</si>
  <si>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</si>
  <si>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 xml:space="preserve">清酒（日本米酒）; 黄酒; 开胃酒;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</t>
    </r>
  </si>
  <si>
    <t>仰辞</t>
  </si>
  <si>
    <r>
      <t>果酒（含酒精）; 白酒;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薄荷酒;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</si>
  <si>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梁</t>
    </r>
  </si>
  <si>
    <r>
      <t>烈酒;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</si>
  <si>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定常春</t>
  </si>
  <si>
    <r>
      <t>陈晓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</si>
  <si>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 xml:space="preserve">果酒（含酒精）; 青稞酒; 葡萄酒; 高粱酒;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汽酒</t>
    </r>
  </si>
  <si>
    <r>
      <t>巾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</si>
  <si>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湖南房通信息技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</si>
  <si>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白酒</t>
    </r>
  </si>
  <si>
    <t>紫五方</t>
  </si>
  <si>
    <r>
      <t>黄</t>
    </r>
    <r>
      <rPr>
        <sz val="11"/>
        <color theme="1"/>
        <rFont val="ＭＳ Ｐゴシック"/>
        <family val="3"/>
        <charset val="134"/>
        <scheme val="minor"/>
      </rPr>
      <t>宪</t>
    </r>
    <r>
      <rPr>
        <sz val="11"/>
        <color theme="1"/>
        <rFont val="ＭＳ Ｐゴシック"/>
        <family val="3"/>
        <charset val="128"/>
        <scheme val="minor"/>
      </rPr>
      <t>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</si>
  <si>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开胃酒; 葡萄酒; 果酒（含酒精）; 米酒</t>
    </r>
  </si>
  <si>
    <t>商音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</si>
  <si>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省江西萍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商会</t>
    </r>
  </si>
  <si>
    <r>
      <t xml:space="preserve">米酒; 白干酒（中国白酒）;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梅酒; 清酒; 高粱酒; 白酒</t>
    </r>
  </si>
  <si>
    <t>植君</t>
  </si>
  <si>
    <r>
      <t>植建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</si>
  <si>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米酒; 白酒; 蜂蜜酒;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</si>
  <si>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名湃</t>
  </si>
  <si>
    <r>
      <t>郁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</si>
  <si>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 xml:space="preserve">食用酒精;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</si>
  <si>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武神榜</t>
  </si>
  <si>
    <r>
      <t>梅家功夫(北京)体育文化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</si>
  <si>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</si>
  <si>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苏应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</si>
  <si>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肇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市帝一酒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</si>
  <si>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柑香酒; 苹果酒; 酸酒（低等葡萄酒）;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蜂蜜酒;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</si>
  <si>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火焰山下牛魔王</t>
  </si>
  <si>
    <r>
      <t>新疆域上本味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</si>
  <si>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</si>
  <si>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楚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</si>
  <si>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蜂蜜酒; 青稞酒; 清酒（日本米酒）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</si>
  <si>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天洛文化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</si>
  <si>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</si>
  <si>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DEFAI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</si>
  <si>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州黛宜菲生物科技有限公司</t>
    </r>
  </si>
  <si>
    <r>
      <t>果酒（含酒精）; 威士忌; 葡萄酒;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青稞酒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</si>
  <si>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上歌</t>
    </r>
  </si>
  <si>
    <t>潘云江</t>
  </si>
  <si>
    <r>
      <t xml:space="preserve">果酒;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食用酒精; 葡萄酒</t>
    </r>
  </si>
  <si>
    <t>粱悦福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</si>
  <si>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蜂蜜酒; 清酒（日本米酒）;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白酒</t>
    </r>
  </si>
  <si>
    <r>
      <t>粱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</si>
  <si>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蜂蜜酒;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</si>
  <si>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川海吟</t>
  </si>
  <si>
    <r>
      <t>白酒; 青稞酒;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黄酒; 清酒（日本米酒）;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</si>
  <si>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仑</t>
    </r>
    <r>
      <rPr>
        <sz val="11"/>
        <color theme="1"/>
        <rFont val="ＭＳ Ｐゴシック"/>
        <family val="3"/>
        <charset val="128"/>
        <scheme val="minor"/>
      </rPr>
      <t>披尼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</si>
  <si>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</t>
    </r>
  </si>
  <si>
    <r>
      <t>熊猫</t>
    </r>
    <r>
      <rPr>
        <sz val="11"/>
        <color theme="1"/>
        <rFont val="ＭＳ Ｐゴシック"/>
        <family val="3"/>
        <charset val="134"/>
        <scheme val="minor"/>
      </rPr>
      <t>缤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</si>
  <si>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秋林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</si>
  <si>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伏特加酒;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</si>
  <si>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秉笔</t>
  </si>
  <si>
    <r>
      <t>白酒; 黄酒;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</si>
  <si>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曌</t>
    </r>
    <r>
      <rPr>
        <sz val="11"/>
        <color theme="1"/>
        <rFont val="ＭＳ Ｐゴシック"/>
        <family val="3"/>
        <charset val="134"/>
        <scheme val="minor"/>
      </rPr>
      <t>酝</t>
    </r>
  </si>
  <si>
    <r>
      <t xml:space="preserve">白酒;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</si>
  <si>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翰墨荣和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</si>
  <si>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</si>
  <si>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葡萄酒; 米酒; 清酒（日本米酒）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</si>
  <si>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喜登</t>
    </r>
  </si>
  <si>
    <r>
      <t>葡萄酒;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</si>
  <si>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聚合迎</t>
  </si>
  <si>
    <t>李梅亭</t>
  </si>
  <si>
    <r>
      <t xml:space="preserve">米酒;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青稞酒; 威士忌; 葡萄酒</t>
    </r>
  </si>
  <si>
    <t>世宰</t>
  </si>
  <si>
    <r>
      <t>果酒（含酒精）;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</si>
  <si>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t>定养能</t>
  </si>
  <si>
    <r>
      <t>普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</si>
  <si>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>黄酒; 白酒; 青稞酒; 果酒（含酒精）; 米酒; 葡萄酒; 开胃酒;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</si>
  <si>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众口悦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</si>
  <si>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沙衡湘酒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</si>
  <si>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草本型利口酒; 黄酒; 五加皮酒（中国混合烈酒）; 露酒; 果酒;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</si>
  <si>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</si>
  <si>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t>稻祖山</t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</si>
  <si>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市厨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人生食品厂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</si>
  <si>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汽酒</t>
    </r>
  </si>
  <si>
    <r>
      <t>酩清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</si>
  <si>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蜂蜜酒; 白酒; 黄酒</t>
    </r>
  </si>
  <si>
    <r>
      <t>诵</t>
    </r>
    <r>
      <rPr>
        <sz val="11"/>
        <color theme="1"/>
        <rFont val="ＭＳ Ｐゴシック"/>
        <family val="3"/>
        <charset val="128"/>
        <scheme val="minor"/>
      </rPr>
      <t>曲</t>
    </r>
  </si>
  <si>
    <r>
      <t>果酒; 白酒; 青稞酒; 黄酒;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</si>
  <si>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隆中甘</t>
  </si>
  <si>
    <r>
      <t>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</si>
  <si>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堂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洞</t>
    </r>
  </si>
  <si>
    <r>
      <t>湘西丑牛酒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</si>
  <si>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</si>
  <si>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t>VSGO</t>
  </si>
  <si>
    <t>上海捷涌科技有限公司</t>
  </si>
  <si>
    <r>
      <t xml:space="preserve">汽酒;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黄酒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</si>
  <si>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过</t>
    </r>
    <r>
      <rPr>
        <sz val="11"/>
        <color theme="1"/>
        <rFont val="ＭＳ Ｐゴシック"/>
        <family val="3"/>
        <charset val="128"/>
        <scheme val="minor"/>
      </rPr>
      <t>石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</si>
  <si>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州安</t>
    </r>
    <r>
      <rPr>
        <sz val="11"/>
        <color theme="1"/>
        <rFont val="ＭＳ Ｐゴシック"/>
        <family val="3"/>
        <charset val="134"/>
        <scheme val="minor"/>
      </rPr>
      <t>临财务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</si>
  <si>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</si>
  <si>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青水川</t>
  </si>
  <si>
    <t>任宁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</si>
  <si>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黄酒;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</si>
  <si>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金陵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</si>
  <si>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</si>
  <si>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XBXE</t>
  </si>
  <si>
    <r>
      <t>陈</t>
    </r>
    <r>
      <rPr>
        <sz val="11"/>
        <color theme="1"/>
        <rFont val="ＭＳ Ｐゴシック"/>
        <family val="3"/>
        <charset val="128"/>
        <scheme val="minor"/>
      </rPr>
      <t>小涵</t>
    </r>
  </si>
  <si>
    <r>
      <t xml:space="preserve">蒸煮提取物（利口酒和烈酒）; 佐餐酒;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葡萄酒</t>
    </r>
  </si>
  <si>
    <t>此韵</t>
  </si>
  <si>
    <t>葡萄酒; 白酒; 甜酒; 果酒（含酒精）; 梅酒; 清酒; 黄酒; 朗姆酒; 伏特加酒; 米酒</t>
  </si>
  <si>
    <t>农烁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</si>
  <si>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州竟耘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</si>
  <si>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青稞酒; 果酒; 高粱酒; 白酒; 葡萄酒;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</si>
  <si>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t>吉瑞永安</t>
  </si>
  <si>
    <r>
      <t>国倡吉瑞（湖北）供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</si>
  <si>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白干酒（中国白酒）; 米酒; 利口酒; 白酒; 食用酒精; 餐后酒（利口酒和烈酒）</t>
    </r>
  </si>
  <si>
    <t>紫烟花色</t>
  </si>
  <si>
    <r>
      <t>浙江数科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</si>
  <si>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清酒;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</si>
  <si>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稷云台</t>
  </si>
  <si>
    <r>
      <t>上海稷云台酒</t>
    </r>
    <r>
      <rPr>
        <sz val="11"/>
        <color theme="1"/>
        <rFont val="ＭＳ Ｐゴシック"/>
        <family val="3"/>
        <charset val="134"/>
        <scheme val="minor"/>
      </rPr>
      <t>业营销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</si>
  <si>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白酒; 高粱酒; 黄酒;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</si>
  <si>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九号笙活</t>
  </si>
  <si>
    <r>
      <t>合肥凡客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伯</t>
    </r>
    <r>
      <rPr>
        <sz val="11"/>
        <color theme="1"/>
        <rFont val="ＭＳ Ｐゴシック"/>
        <family val="3"/>
        <charset val="134"/>
        <scheme val="minor"/>
      </rPr>
      <t>娱乐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</si>
  <si>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清酒; 黄酒</t>
    </r>
  </si>
  <si>
    <t>淘原季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</si>
  <si>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州祥云气象科技有限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</si>
  <si>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青稞酒; 朗姆酒; 白酒;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</si>
  <si>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甲山岩</t>
  </si>
  <si>
    <t>徐宝民</t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</si>
  <si>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烈酒; 清酒; 葡萄酒; 青稞酒; 高粱酒</t>
    </r>
  </si>
  <si>
    <t>守丰老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</si>
  <si>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市守度酒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</si>
  <si>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苹果酒;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</si>
  <si>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睡熊猫</t>
  </si>
  <si>
    <r>
      <t>东</t>
    </r>
    <r>
      <rPr>
        <sz val="11"/>
        <color theme="1"/>
        <rFont val="ＭＳ Ｐゴシック"/>
        <family val="3"/>
        <charset val="128"/>
        <scheme val="minor"/>
      </rPr>
      <t>方竹宝（成都）科技有限公司</t>
    </r>
  </si>
  <si>
    <r>
      <t>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开胃酒; 米酒; 威士忌; 葡萄酒</t>
    </r>
  </si>
  <si>
    <r>
      <t xml:space="preserve">白干酒（中国白酒）;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</t>
    </r>
  </si>
  <si>
    <t>阿哈拉</t>
  </si>
  <si>
    <r>
      <t>深圳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生云养品牌管理有限公司</t>
    </r>
  </si>
  <si>
    <r>
      <t>甜酒; 米酒; 青稞酒;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</t>
    </r>
  </si>
  <si>
    <t>养承元</t>
  </si>
  <si>
    <r>
      <t>郑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</si>
  <si>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开胃酒; 蜂蜜酒; 青稞酒;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汽酒; 白酒</t>
    </r>
  </si>
  <si>
    <t>御九峡</t>
  </si>
  <si>
    <t>陆鸿</t>
  </si>
  <si>
    <r>
      <t>黄酒; 白酒;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</si>
  <si>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狒狒拾里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</si>
  <si>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州黎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光年餐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</si>
  <si>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威士忌; 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葡萄酒</t>
    </r>
  </si>
  <si>
    <t>尹珍珠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</si>
  <si>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喜世达餐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</si>
  <si>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利口酒; 白酒;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</si>
  <si>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村高樾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</si>
  <si>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惠玲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</si>
  <si>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</si>
  <si>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夏</t>
    </r>
    <r>
      <rPr>
        <sz val="11"/>
        <color theme="1"/>
        <rFont val="ＭＳ Ｐゴシック"/>
        <family val="3"/>
        <charset val="134"/>
        <scheme val="minor"/>
      </rPr>
      <t>娇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</si>
  <si>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宁夏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洋</t>
    </r>
    <r>
      <rPr>
        <sz val="11"/>
        <color theme="1"/>
        <rFont val="ＭＳ Ｐゴシック"/>
        <family val="3"/>
        <charset val="134"/>
        <scheme val="minor"/>
      </rPr>
      <t>伟业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</si>
  <si>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</si>
  <si>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甄匣子</t>
  </si>
  <si>
    <r>
      <t>甄匣子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</si>
  <si>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</t>
    </r>
  </si>
  <si>
    <t>御荐</t>
  </si>
  <si>
    <r>
      <t>徐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</si>
  <si>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 xml:space="preserve">餐后酒（利口酒和烈酒）;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白酒; 果酒（含酒精）; 烈酒;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</si>
  <si>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方城故事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</si>
  <si>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州方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</si>
  <si>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白酒; 青稞酒; 黄酒; 水果汽酒;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</si>
  <si>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开山吼</t>
  </si>
  <si>
    <r>
      <t>邳州酒伴商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</si>
  <si>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烈性干酒;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高粱酒;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食用酒精</t>
    </r>
  </si>
  <si>
    <r>
      <t>斛集半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</si>
  <si>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郑灿</t>
    </r>
    <r>
      <rPr>
        <sz val="11"/>
        <color theme="1"/>
        <rFont val="ＭＳ Ｐゴシック"/>
        <family val="3"/>
        <charset val="128"/>
        <scheme val="minor"/>
      </rPr>
      <t>旭</t>
    </r>
  </si>
  <si>
    <r>
      <t>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蜂蜜酒;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苦味酒; 果酒（含酒精）</t>
    </r>
  </si>
  <si>
    <r>
      <t>华乐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</si>
  <si>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</si>
  <si>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</si>
  <si>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颢闻</t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</si>
  <si>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食用酒精; 白酒; 清酒; 果酒</t>
    </r>
  </si>
  <si>
    <t>酙三千</t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</si>
  <si>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</si>
  <si>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京西</t>
    </r>
    <r>
      <rPr>
        <sz val="11"/>
        <color theme="1"/>
        <rFont val="ＭＳ Ｐゴシック"/>
        <family val="3"/>
        <charset val="134"/>
        <scheme val="minor"/>
      </rPr>
      <t>说</t>
    </r>
  </si>
  <si>
    <t>肤走（深圳）科技有限公司</t>
  </si>
  <si>
    <r>
      <t>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佐餐酒</t>
    </r>
  </si>
  <si>
    <t>固养添</t>
  </si>
  <si>
    <r>
      <t>周</t>
    </r>
    <r>
      <rPr>
        <sz val="11"/>
        <color theme="1"/>
        <rFont val="ＭＳ Ｐゴシック"/>
        <family val="3"/>
        <charset val="134"/>
        <scheme val="minor"/>
      </rPr>
      <t>飞鸿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</si>
  <si>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果酒（含酒精）; 汽酒; 米酒; 白酒</t>
    </r>
  </si>
  <si>
    <t>酙五十</t>
  </si>
  <si>
    <r>
      <t>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汽酒; 食用酒精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</si>
  <si>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字荣耀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</si>
  <si>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永涛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</si>
  <si>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</si>
  <si>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之韵天成</t>
  </si>
  <si>
    <r>
      <t>浙江文投古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</si>
  <si>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</si>
  <si>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乾</t>
    </r>
    <r>
      <rPr>
        <sz val="11"/>
        <color theme="1"/>
        <rFont val="ＭＳ Ｐゴシック"/>
        <family val="3"/>
        <charset val="134"/>
        <scheme val="minor"/>
      </rPr>
      <t>见证</t>
    </r>
  </si>
  <si>
    <t>刘建儒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</si>
  <si>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</si>
  <si>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卫锅锅</t>
  </si>
  <si>
    <r>
      <t>邓卫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</si>
  <si>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梅酒; 白酒; 黄酒;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青稞酒; 威士忌; 果酒</t>
    </r>
  </si>
  <si>
    <r>
      <t>李忘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</si>
  <si>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果酒; 葡萄酒; 黄酒; 开胃酒;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</si>
  <si>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台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</si>
  <si>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白酒;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黄酒;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甜酒</t>
    </r>
  </si>
  <si>
    <t>健臻元</t>
  </si>
  <si>
    <r>
      <t>济</t>
    </r>
    <r>
      <rPr>
        <sz val="11"/>
        <color theme="1"/>
        <rFont val="ＭＳ Ｐゴシック"/>
        <family val="3"/>
        <charset val="128"/>
        <scheme val="minor"/>
      </rPr>
      <t>源健安科技有限公司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</si>
  <si>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米酒;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白酒; 果酒（含酒精）; 葡萄酒</t>
    </r>
  </si>
  <si>
    <t>愿事屋</t>
  </si>
  <si>
    <t>陈霁节</t>
  </si>
  <si>
    <r>
      <t xml:space="preserve">果酒; 含奶油利口酒; 含酒精的气泡水; 咖啡利口酒;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含酒精蛋奶酒</t>
    </r>
  </si>
  <si>
    <t>映月影</t>
  </si>
  <si>
    <r>
      <t xml:space="preserve">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杜松子酒; 米酒; 白酒; 苦味酒; 利口酒; 黄酒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</si>
  <si>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</si>
  <si>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34"/>
        <scheme val="minor"/>
      </rPr>
      <t>为</t>
    </r>
  </si>
  <si>
    <r>
      <t>汽酒;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</si>
  <si>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速光年</t>
  </si>
  <si>
    <r>
      <t>王</t>
    </r>
    <r>
      <rPr>
        <sz val="11"/>
        <color theme="1"/>
        <rFont val="ＭＳ Ｐゴシック"/>
        <family val="3"/>
        <charset val="134"/>
        <scheme val="minor"/>
      </rPr>
      <t>晓伟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</si>
  <si>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白酒; 汽酒; 果酒（含酒精）; 威士忌</t>
    </r>
  </si>
  <si>
    <t>柄而季</t>
  </si>
  <si>
    <r>
      <t>宝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众享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</si>
  <si>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水果汽酒; 白酒; 果酒; 白葡萄酒;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</si>
  <si>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秘帆</t>
  </si>
  <si>
    <r>
      <t xml:space="preserve">白酒; 开胃酒; 汽酒;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</si>
  <si>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t>彬思尼</t>
  </si>
  <si>
    <r>
      <t>郑</t>
    </r>
    <r>
      <rPr>
        <sz val="11"/>
        <color theme="1"/>
        <rFont val="ＭＳ Ｐゴシック"/>
        <family val="3"/>
        <charset val="128"/>
        <scheme val="minor"/>
      </rPr>
      <t>建浪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</si>
  <si>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</si>
  <si>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仰天吟</t>
  </si>
  <si>
    <r>
      <t xml:space="preserve">白酒;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黄酒;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</si>
  <si>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酩月</t>
    </r>
  </si>
  <si>
    <t>黄森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</si>
  <si>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葡萄酒; 清酒（日本米酒）; 威士忌; 白酒</t>
    </r>
  </si>
  <si>
    <t>河北欣志达健康科技有限公司</t>
  </si>
  <si>
    <r>
      <t>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</si>
  <si>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升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</si>
  <si>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畅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</si>
  <si>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葡萄酒; 白酒; 黄酒;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</si>
  <si>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湖之</t>
    </r>
    <r>
      <rPr>
        <sz val="11"/>
        <color theme="1"/>
        <rFont val="ＭＳ Ｐゴシック"/>
        <family val="3"/>
        <charset val="134"/>
        <scheme val="minor"/>
      </rPr>
      <t>巅</t>
    </r>
  </si>
  <si>
    <r>
      <t>湖南中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智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</si>
  <si>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白酒; 黄酒; 米酒</t>
    </r>
  </si>
  <si>
    <r>
      <t>托米阿斯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</si>
  <si>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驻马</t>
    </r>
    <r>
      <rPr>
        <sz val="11"/>
        <color theme="1"/>
        <rFont val="ＭＳ Ｐゴシック"/>
        <family val="3"/>
        <charset val="128"/>
        <scheme val="minor"/>
      </rPr>
      <t>店</t>
    </r>
    <r>
      <rPr>
        <sz val="11"/>
        <color theme="1"/>
        <rFont val="ＭＳ Ｐゴシック"/>
        <family val="3"/>
        <charset val="134"/>
        <scheme val="minor"/>
      </rPr>
      <t>龙兴</t>
    </r>
    <r>
      <rPr>
        <sz val="11"/>
        <color theme="1"/>
        <rFont val="ＭＳ Ｐゴシック"/>
        <family val="3"/>
        <charset val="128"/>
        <scheme val="minor"/>
      </rPr>
      <t>丰盛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</si>
  <si>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葡萄酒;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</si>
  <si>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固养正</t>
  </si>
  <si>
    <t>黄呈斗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</si>
  <si>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米酒; 青稞酒; 黄酒; 开胃酒;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</si>
  <si>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恺</t>
    </r>
  </si>
  <si>
    <t>黄达芬</t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</si>
  <si>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</si>
  <si>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贤</t>
    </r>
    <r>
      <rPr>
        <sz val="11"/>
        <color theme="1"/>
        <rFont val="ＭＳ Ｐゴシック"/>
        <family val="3"/>
        <charset val="128"/>
        <scheme val="minor"/>
      </rPr>
      <t>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</si>
  <si>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葡萄酒; 果酒（含酒精）; 白酒;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</si>
  <si>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鼎鼎聚</t>
  </si>
  <si>
    <r>
      <t>子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聚鼎商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</si>
  <si>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</si>
  <si>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承安埔</t>
  </si>
  <si>
    <r>
      <t>默志</t>
    </r>
    <r>
      <rPr>
        <sz val="11"/>
        <color theme="1"/>
        <rFont val="ＭＳ Ｐゴシック"/>
        <family val="3"/>
        <charset val="134"/>
        <scheme val="minor"/>
      </rPr>
      <t>谨</t>
    </r>
  </si>
  <si>
    <r>
      <t>伏特加酒; 清酒（日本米酒）; 米酒; 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</si>
  <si>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源膳有方</t>
  </si>
  <si>
    <r>
      <t>陈</t>
    </r>
    <r>
      <rPr>
        <sz val="11"/>
        <color theme="1"/>
        <rFont val="ＭＳ Ｐゴシック"/>
        <family val="3"/>
        <charset val="128"/>
        <scheme val="minor"/>
      </rPr>
      <t>慧欣</t>
    </r>
  </si>
  <si>
    <r>
      <t xml:space="preserve">薄荷酒; 伏特加酒; 清酒（日本米酒）;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</si>
  <si>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湘之</t>
    </r>
    <r>
      <rPr>
        <sz val="11"/>
        <color theme="1"/>
        <rFont val="ＭＳ Ｐゴシック"/>
        <family val="3"/>
        <charset val="134"/>
        <scheme val="minor"/>
      </rPr>
      <t>巅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</si>
  <si>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葡萄酒; 苹果酒</t>
    </r>
  </si>
  <si>
    <t>匡愚</t>
  </si>
  <si>
    <t>徐永固</t>
  </si>
  <si>
    <r>
      <t>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苹果酒;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白葡萄酒; 果酒（含酒精）; 黄酒;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</si>
  <si>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暖城元致</t>
  </si>
  <si>
    <r>
      <t>海南哈牧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</si>
  <si>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高粱酒; 清酒; 果酒; 葡萄酒; 白酒; 食用酒精; 黄酒; 米酒</t>
    </r>
  </si>
  <si>
    <t>丰垣</t>
  </si>
  <si>
    <r>
      <t>长</t>
    </r>
    <r>
      <rPr>
        <sz val="11"/>
        <color theme="1"/>
        <rFont val="ＭＳ Ｐゴシック"/>
        <family val="3"/>
        <charset val="128"/>
        <scheme val="minor"/>
      </rPr>
      <t>垣市荣美商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</si>
  <si>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梅酒; 高粱酒; 果酒; 青稞酒; 青梅酒; 葡萄酒; 葡萄汽酒;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</si>
  <si>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淮清湖</t>
  </si>
  <si>
    <t>朱天杰</t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</si>
  <si>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葡萄酒</t>
    </r>
  </si>
  <si>
    <t>湘之心</t>
  </si>
  <si>
    <r>
      <t>邵阳昱道企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</si>
  <si>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白酒;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</si>
  <si>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仨心心心</t>
  </si>
  <si>
    <r>
      <t>湖北香泉外婆家家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</si>
  <si>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麦芽威士忌; 高粱酒;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</si>
  <si>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息游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</si>
  <si>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河南淮息文旅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</si>
  <si>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威士忌; 米酒</t>
    </r>
  </si>
  <si>
    <r>
      <t>净</t>
    </r>
    <r>
      <rPr>
        <sz val="11"/>
        <color theme="1"/>
        <rFont val="ＭＳ Ｐゴシック"/>
        <family val="3"/>
        <charset val="128"/>
        <scheme val="minor"/>
      </rPr>
      <t>源臻</t>
    </r>
  </si>
  <si>
    <r>
      <t>葡萄酒; 米酒; 白酒; 威士忌;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</si>
  <si>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t>敦富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</si>
  <si>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梨酒; 露酒; 果酒; 白酒;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高粱酒; 干型苹果酒</t>
    </r>
  </si>
  <si>
    <r>
      <t>包振真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</si>
  <si>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州演液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奇老窖酒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</si>
  <si>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米酒;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</si>
  <si>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宁波市厨英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食品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</si>
  <si>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</si>
  <si>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喜昀</t>
  </si>
  <si>
    <r>
      <t>陈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</si>
  <si>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葡萄酒; 果酒（含酒精）</t>
    </r>
  </si>
  <si>
    <t>郭能意</t>
  </si>
  <si>
    <r>
      <t>威士忌; 黄酒; 果酒（含酒精）; 朗姆酒;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食用酒精; 葡萄酒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</si>
  <si>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尚儒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</si>
  <si>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东亿</t>
    </r>
    <r>
      <rPr>
        <sz val="11"/>
        <color theme="1"/>
        <rFont val="ＭＳ Ｐゴシック"/>
        <family val="3"/>
        <charset val="128"/>
        <scheme val="minor"/>
      </rPr>
      <t>汝汽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</si>
  <si>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佐餐酒; 清酒（日本米酒）;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</si>
  <si>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t>味婆婆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</si>
  <si>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沙澳航食品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</si>
  <si>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开胃酒; 烈酒; 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</si>
  <si>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r>
      <t>佩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赫</t>
    </r>
    <r>
      <rPr>
        <sz val="11"/>
        <color theme="1"/>
        <rFont val="ＭＳ Ｐゴシック"/>
        <family val="3"/>
        <charset val="134"/>
        <scheme val="minor"/>
      </rPr>
      <t>乔</t>
    </r>
  </si>
  <si>
    <r>
      <t>香港御家国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</si>
  <si>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</si>
  <si>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世</t>
    </r>
    <r>
      <rPr>
        <sz val="11"/>
        <color theme="1"/>
        <rFont val="ＭＳ Ｐゴシック"/>
        <family val="3"/>
        <charset val="134"/>
        <scheme val="minor"/>
      </rPr>
      <t>鸿</t>
    </r>
  </si>
  <si>
    <t>居要清</t>
  </si>
  <si>
    <r>
      <t>清酒（日本米酒）; 伏特加酒;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青稞酒; 果酒（含酒精）</t>
    </r>
  </si>
  <si>
    <t>栀纯</t>
  </si>
  <si>
    <r>
      <t>河南省永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</si>
  <si>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薄荷酒; 果酒（含酒精）;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威士忌;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</si>
  <si>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叙特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</si>
  <si>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伏特加酒;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葡萄酒; 米酒</t>
    </r>
  </si>
  <si>
    <t>恒焱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</si>
  <si>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恒焱食品有限公司</t>
    </r>
  </si>
  <si>
    <r>
      <t xml:space="preserve">果酒（含酒精）;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</si>
  <si>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工作品</t>
    </r>
  </si>
  <si>
    <r>
      <t>酒郎投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(海南)集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</si>
  <si>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黄酒; 白酒; 五加皮酒（中国混合烈酒）; 烈酒;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</si>
  <si>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r>
      <t>留余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</si>
  <si>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州康百万商学教育科技有限公司</t>
    </r>
  </si>
  <si>
    <r>
      <t xml:space="preserve">葡萄酒;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</si>
  <si>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霞心灵</t>
    </r>
  </si>
  <si>
    <r>
      <t>霞浦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甫丰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</si>
  <si>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</si>
  <si>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九医</t>
    </r>
    <r>
      <rPr>
        <sz val="11"/>
        <color theme="1"/>
        <rFont val="ＭＳ Ｐゴシック"/>
        <family val="3"/>
        <charset val="134"/>
        <scheme val="minor"/>
      </rPr>
      <t>门</t>
    </r>
  </si>
  <si>
    <t>吴超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</si>
  <si>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</si>
  <si>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PIER AUGE</t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</si>
  <si>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</si>
  <si>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晋御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</si>
  <si>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山西省汾阳市晋御醇酒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</si>
  <si>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</si>
  <si>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湘村序</t>
  </si>
  <si>
    <r>
      <t>沈程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</si>
  <si>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清酒（日本米酒）; 黄酒; 白酒; 梅酒; 米酒; 果酒（含酒精）;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</si>
  <si>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墨韵荷</t>
  </si>
  <si>
    <r>
      <t>郭排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</si>
  <si>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 xml:space="preserve">开胃酒; 利口酒; 米酒; 食用酒精;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</si>
  <si>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誉</t>
    </r>
    <r>
      <rPr>
        <sz val="11"/>
        <color theme="1"/>
        <rFont val="ＭＳ Ｐゴシック"/>
        <family val="3"/>
        <charset val="134"/>
        <scheme val="minor"/>
      </rPr>
      <t>华连</t>
    </r>
    <r>
      <rPr>
        <sz val="11"/>
        <color theme="1"/>
        <rFont val="ＭＳ Ｐゴシック"/>
        <family val="3"/>
        <charset val="128"/>
        <scheme val="minor"/>
      </rPr>
      <t>合喜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</si>
  <si>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荣仔</t>
    </r>
  </si>
  <si>
    <r>
      <t>白酒; 葡萄酒; 五加皮酒（中国混合烈酒）;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</si>
  <si>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博盛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</si>
  <si>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博盛商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</si>
  <si>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白酒; 黄酒; 梅酒; 白葡萄酒; 果酒</t>
    </r>
  </si>
  <si>
    <t>南洲天韵</t>
  </si>
  <si>
    <r>
      <t>湖南南洲酒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</si>
  <si>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果酒; 甜酒; 葡萄酒; 食用酒精;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高粱酒; 烈酒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</si>
  <si>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沟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</si>
  <si>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苏汤</t>
    </r>
    <r>
      <rPr>
        <sz val="11"/>
        <color theme="1"/>
        <rFont val="ＭＳ Ｐゴシック"/>
        <family val="3"/>
        <charset val="128"/>
        <scheme val="minor"/>
      </rPr>
      <t>沟两相和酒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</si>
  <si>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果酒（含酒精）;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</si>
  <si>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沟方寸</t>
    </r>
  </si>
  <si>
    <r>
      <t xml:space="preserve">米酒; 白干酒（中国白酒）; 清酒;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</si>
  <si>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清韵荷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</si>
  <si>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利口酒;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</t>
    </r>
  </si>
  <si>
    <t>未来女王</t>
  </si>
  <si>
    <t>阜阳扶仁生物科技有限公司</t>
  </si>
  <si>
    <r>
      <t>葡萄酒; 苹果酒; 白酒;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清酒（日本米酒）</t>
    </r>
  </si>
  <si>
    <r>
      <t>夹</t>
    </r>
    <r>
      <rPr>
        <sz val="11"/>
        <color theme="1"/>
        <rFont val="ＭＳ Ｐゴシック"/>
        <family val="3"/>
        <charset val="128"/>
        <scheme val="minor"/>
      </rPr>
      <t>金小雪</t>
    </r>
  </si>
  <si>
    <r>
      <t>海南八牛企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</si>
  <si>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梨酒; 葡萄酒; 米酒; 果酒; 白酒;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</si>
  <si>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卓益丰</t>
  </si>
  <si>
    <t>金琦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</si>
  <si>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食用酒精; 伏特加酒;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</si>
  <si>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莎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</si>
  <si>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江聚味食品有限公司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</si>
  <si>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白酒; 米酒; 蜂蜜酒;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</si>
  <si>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肤格格</t>
  </si>
  <si>
    <t>徐淑英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</si>
  <si>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葡萄酒; 高粱酒;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蜂蜜酒</t>
    </r>
  </si>
  <si>
    <t>雪岩谷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</si>
  <si>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江建国酒厂有限公司</t>
    </r>
  </si>
  <si>
    <r>
      <t xml:space="preserve">白酒; 食用酒精;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</si>
  <si>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豪酒樽承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</si>
  <si>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州盈达尊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</si>
  <si>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餐后酒（利口酒和烈酒）; 蒸煮提取物（利口酒和烈酒）;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五加皮酒（中国混合烈酒）;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</si>
  <si>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t>礼遇荷</t>
  </si>
  <si>
    <r>
      <t xml:space="preserve">利口酒; 黄酒; 白酒; 果酒（含酒精）;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</t>
    </r>
  </si>
  <si>
    <t>晋八家臧清</t>
  </si>
  <si>
    <r>
      <t>河南三</t>
    </r>
    <r>
      <rPr>
        <sz val="11"/>
        <color theme="1"/>
        <rFont val="ＭＳ Ｐゴシック"/>
        <family val="3"/>
        <charset val="134"/>
        <scheme val="minor"/>
      </rPr>
      <t>扬实业发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</si>
  <si>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清酒; 甜酒; 白酒; 伏特加酒;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烈酒</t>
    </r>
  </si>
  <si>
    <t>黔关郎</t>
  </si>
  <si>
    <t>李菊梅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</si>
  <si>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青稞酒; 开胃酒;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</si>
  <si>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SINEX</t>
  </si>
  <si>
    <t>深圳市星辰在外科技有限公司</t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</si>
  <si>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葡萄酒; 威士忌;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</si>
  <si>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合茂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</si>
  <si>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振明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</si>
  <si>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青稞酒;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</si>
  <si>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PAWOA</t>
  </si>
  <si>
    <r>
      <t>骏</t>
    </r>
    <r>
      <rPr>
        <sz val="11"/>
        <color theme="1"/>
        <rFont val="ＭＳ Ｐゴシック"/>
        <family val="3"/>
        <charset val="128"/>
        <scheme val="minor"/>
      </rPr>
      <t>唐国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</si>
  <si>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</si>
  <si>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大成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</si>
  <si>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米酒; 白酒; 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</si>
  <si>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沟世家</t>
    </r>
  </si>
  <si>
    <r>
      <t xml:space="preserve">食用酒精;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黄酒; 果酒（含酒精）</t>
    </r>
  </si>
  <si>
    <t>丰易鼎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</si>
  <si>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岛钟</t>
    </r>
    <r>
      <rPr>
        <sz val="11"/>
        <color theme="1"/>
        <rFont val="ＭＳ Ｐゴシック"/>
        <family val="3"/>
        <charset val="128"/>
        <scheme val="minor"/>
      </rPr>
      <t>鼎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</si>
  <si>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开胃酒; 清酒（日本米酒）</t>
    </r>
  </si>
  <si>
    <t>同昌盛</t>
  </si>
  <si>
    <r>
      <t>烈酒; 高粱酒; 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</si>
  <si>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清露荷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</si>
  <si>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开胃酒; 葡萄酒; 利口酒</t>
    </r>
  </si>
  <si>
    <t>濠江珍好</t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</si>
  <si>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市濠江区达濠供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</si>
  <si>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葡萄酒; 黄酒;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</si>
  <si>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菁翠荷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</si>
  <si>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利口酒; 白酒</t>
    </r>
  </si>
  <si>
    <t>圣泉荷</t>
  </si>
  <si>
    <r>
      <t>果酒（含酒精）;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开胃酒;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</si>
  <si>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晋水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臧清</t>
    </r>
  </si>
  <si>
    <r>
      <t xml:space="preserve">白酒; 烈酒; 葡萄酒; 黄酒; 伏特加酒; 高粱酒;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</si>
  <si>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t>正德嘉禾</t>
  </si>
  <si>
    <r>
      <t>马</t>
    </r>
    <r>
      <rPr>
        <sz val="11"/>
        <color theme="1"/>
        <rFont val="ＭＳ Ｐゴシック"/>
        <family val="3"/>
        <charset val="128"/>
        <scheme val="minor"/>
      </rPr>
      <t>运宝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</si>
  <si>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</si>
  <si>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伊城暖心</t>
  </si>
  <si>
    <r>
      <t>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多斯市金耀商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</si>
  <si>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开胃酒;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</t>
    </r>
  </si>
  <si>
    <r>
      <t>塔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莎</t>
    </r>
  </si>
  <si>
    <t>张龙龙</t>
  </si>
  <si>
    <t>清酒; 白酒; 葡萄酒; 食用酒精; 甜酒; 汽酒; 米酒; 黄酒; 开胃酒; 果酒</t>
  </si>
  <si>
    <t>欧米巴塞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</si>
  <si>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里卡多科技集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</si>
  <si>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</si>
  <si>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皋小宛</t>
  </si>
  <si>
    <r>
      <t>无机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界（南通）空</t>
    </r>
    <r>
      <rPr>
        <sz val="11"/>
        <color theme="1"/>
        <rFont val="ＭＳ Ｐゴシック"/>
        <family val="3"/>
        <charset val="134"/>
        <scheme val="minor"/>
      </rPr>
      <t>间艺术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</si>
  <si>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甜果酒; 果酒（含酒精）; 清酒;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</si>
  <si>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希雯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</si>
  <si>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青梅酒;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五加皮酒（中国混合烈酒）;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</si>
  <si>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雪谷之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</si>
  <si>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 xml:space="preserve">果酒（含酒精）;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食用酒精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</si>
  <si>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元晶美</t>
    </r>
  </si>
  <si>
    <t>龚伟赛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</si>
  <si>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烈酒;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甜酒</t>
    </r>
  </si>
  <si>
    <r>
      <t>雪岩之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</si>
  <si>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果酒（含酒精）;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</t>
    </r>
  </si>
  <si>
    <t>和士利</t>
  </si>
  <si>
    <r>
      <t>葡萄酒;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伏特加酒; 白酒; 米酒</t>
    </r>
  </si>
  <si>
    <t>BMVP</t>
  </si>
  <si>
    <r>
      <t>王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</si>
  <si>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果酒（含酒精）; 威士忌</t>
    </r>
  </si>
  <si>
    <r>
      <t>莲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</si>
  <si>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游毓硒酒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</si>
  <si>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黄酒; 果酒;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</si>
  <si>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功夫兵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俑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</si>
  <si>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西渊博文化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</si>
  <si>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</si>
  <si>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知交清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</si>
  <si>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果酒（含酒精）;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</si>
  <si>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知交星晴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</si>
  <si>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白干酒（中国白酒）;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</si>
  <si>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知交夏露</t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</si>
  <si>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白干酒（中国白酒）; 蒸煮提取物（利口酒和烈酒）;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</si>
  <si>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知交璟宝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</si>
  <si>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白干酒（中国白酒）;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</si>
  <si>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知交君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</si>
  <si>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米酒;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</si>
  <si>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知交春水</t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</si>
  <si>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</si>
  <si>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知交夜雨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</si>
  <si>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米酒; 蒸煮提取物（利口酒和烈酒）;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</si>
  <si>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知交璟韵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</si>
  <si>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蒸煮提取物（利口酒和烈酒）; 果酒（含酒精）; 葡萄酒</t>
    </r>
  </si>
  <si>
    <t>知交璟雅</t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</si>
  <si>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</si>
  <si>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知交秋</t>
    </r>
    <r>
      <rPr>
        <sz val="11"/>
        <color theme="1"/>
        <rFont val="ＭＳ Ｐゴシック"/>
        <family val="3"/>
        <charset val="134"/>
        <scheme val="minor"/>
      </rPr>
      <t>滟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</si>
  <si>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</si>
  <si>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t>知交炫</t>
  </si>
  <si>
    <r>
      <t>白干酒（中国白酒）; 白酒;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蒸煮提取物（利口酒和烈酒）</t>
    </r>
  </si>
  <si>
    <r>
      <t>知交春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</si>
  <si>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白干酒（中国白酒）;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</si>
  <si>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知交</t>
    </r>
    <r>
      <rPr>
        <sz val="11"/>
        <color theme="1"/>
        <rFont val="ＭＳ Ｐゴシック"/>
        <family val="3"/>
        <charset val="134"/>
        <scheme val="minor"/>
      </rPr>
      <t>拥</t>
    </r>
    <r>
      <rPr>
        <sz val="11"/>
        <color theme="1"/>
        <rFont val="ＭＳ Ｐゴシック"/>
        <family val="3"/>
        <charset val="128"/>
        <scheme val="minor"/>
      </rPr>
      <t>常</t>
    </r>
  </si>
  <si>
    <r>
      <t>葡萄酒; 米酒; 蒸煮提取物（利口酒和烈酒）;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</si>
  <si>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知交浮</t>
    </r>
    <r>
      <rPr>
        <sz val="11"/>
        <color theme="1"/>
        <rFont val="ＭＳ Ｐゴシック"/>
        <family val="3"/>
        <charset val="134"/>
        <scheme val="minor"/>
      </rPr>
      <t>鸭</t>
    </r>
  </si>
  <si>
    <r>
      <t>米酒; 白干酒（中国白酒）;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</si>
  <si>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t>知交相依</t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</si>
  <si>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蒸煮提取物（利口酒和烈酒）; 米酒</t>
    </r>
  </si>
  <si>
    <r>
      <t>知交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享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</si>
  <si>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米酒;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</si>
  <si>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知交冬津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</si>
  <si>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</si>
  <si>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t>蜜知道</t>
  </si>
  <si>
    <r>
      <t>广西梧州甜蜜家蜂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</si>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</sst>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100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9" t="s">
        <v>9</v>
      </c>
      <c r="C2" s="9">
        <v>1912</v>
      </c>
      <c r="D2" s="10">
        <v>45616</v>
      </c>
      <c r="E2" s="13" t="str">
        <f>+HYPERLINK("http://trademark.i-assist.jp/data/china/image_1912th/46524176.pdf","46524176")</f>
        <v>46524176</v>
      </c>
      <c r="F2" s="9" t="s">
        <v>86</v>
      </c>
      <c r="G2" s="11" t="s">
        <v>87</v>
      </c>
      <c r="H2" s="9" t="s">
        <v>88</v>
      </c>
      <c r="I2" s="10">
        <v>43972</v>
      </c>
    </row>
    <row r="3" spans="1:9" x14ac:dyDescent="0.15">
      <c r="A3" s="9">
        <v>2</v>
      </c>
      <c r="B3" s="9" t="s">
        <v>9</v>
      </c>
      <c r="C3" s="9">
        <v>1912</v>
      </c>
      <c r="D3" s="10">
        <v>45616</v>
      </c>
      <c r="E3" s="13" t="str">
        <f>+HYPERLINK("http://trademark.i-assist.jp/data/china/image_1912th/48153291.pdf","48153291")</f>
        <v>48153291</v>
      </c>
      <c r="F3" s="9" t="s">
        <v>89</v>
      </c>
      <c r="G3" s="9" t="s">
        <v>90</v>
      </c>
      <c r="H3" s="9" t="s">
        <v>91</v>
      </c>
      <c r="I3" s="10">
        <v>44028</v>
      </c>
    </row>
    <row r="4" spans="1:9" x14ac:dyDescent="0.15">
      <c r="A4" s="9">
        <v>3</v>
      </c>
      <c r="B4" s="9" t="s">
        <v>9</v>
      </c>
      <c r="C4" s="9">
        <v>1912</v>
      </c>
      <c r="D4" s="10">
        <v>45616</v>
      </c>
      <c r="E4" s="13" t="str">
        <f>+HYPERLINK("http://trademark.i-assist.jp/data/china/image_1912th/50459028.pdf","50459028")</f>
        <v>50459028</v>
      </c>
      <c r="F4" s="9" t="s">
        <v>92</v>
      </c>
      <c r="G4" s="9" t="s">
        <v>93</v>
      </c>
      <c r="H4" s="9" t="s">
        <v>94</v>
      </c>
      <c r="I4" s="10">
        <v>44119</v>
      </c>
    </row>
    <row r="5" spans="1:9" x14ac:dyDescent="0.15">
      <c r="A5" s="9">
        <v>4</v>
      </c>
      <c r="B5" s="9" t="s">
        <v>9</v>
      </c>
      <c r="C5" s="9">
        <v>1912</v>
      </c>
      <c r="D5" s="10">
        <v>45616</v>
      </c>
      <c r="E5" s="13" t="str">
        <f>+HYPERLINK("http://trademark.i-assist.jp/data/china/image_1912th/54413495.pdf","54413495")</f>
        <v>54413495</v>
      </c>
      <c r="F5" s="9" t="s">
        <v>95</v>
      </c>
      <c r="G5" s="12" t="s">
        <v>96</v>
      </c>
      <c r="H5" s="9" t="s">
        <v>97</v>
      </c>
      <c r="I5" s="10">
        <v>44273</v>
      </c>
    </row>
    <row r="6" spans="1:9" x14ac:dyDescent="0.15">
      <c r="A6" s="9">
        <v>5</v>
      </c>
      <c r="B6" s="9" t="s">
        <v>9</v>
      </c>
      <c r="C6" s="9">
        <v>1912</v>
      </c>
      <c r="D6" s="10">
        <v>45616</v>
      </c>
      <c r="E6" s="13" t="str">
        <f>+HYPERLINK("http://trademark.i-assist.jp/data/china/image_1912th/65435805.pdf","65435805")</f>
        <v>65435805</v>
      </c>
      <c r="F6" s="9" t="s">
        <v>98</v>
      </c>
      <c r="G6" s="12" t="s">
        <v>99</v>
      </c>
      <c r="H6" s="9" t="s">
        <v>100</v>
      </c>
      <c r="I6" s="10">
        <v>44733</v>
      </c>
    </row>
    <row r="7" spans="1:9" x14ac:dyDescent="0.15">
      <c r="A7" s="9">
        <v>6</v>
      </c>
      <c r="B7" s="9" t="s">
        <v>9</v>
      </c>
      <c r="C7" s="9">
        <v>1912</v>
      </c>
      <c r="D7" s="10">
        <v>45616</v>
      </c>
      <c r="E7" s="13" t="str">
        <f>+HYPERLINK("http://trademark.i-assist.jp/data/china/image_1912th/65675025.pdf","65675025")</f>
        <v>65675025</v>
      </c>
      <c r="F7" s="12" t="s">
        <v>101</v>
      </c>
      <c r="G7" s="12" t="s">
        <v>102</v>
      </c>
      <c r="H7" s="9" t="s">
        <v>103</v>
      </c>
      <c r="I7" s="10">
        <v>44742</v>
      </c>
    </row>
    <row r="8" spans="1:9" x14ac:dyDescent="0.15">
      <c r="A8" s="9">
        <v>7</v>
      </c>
      <c r="B8" s="9" t="s">
        <v>9</v>
      </c>
      <c r="C8" s="9">
        <v>1912</v>
      </c>
      <c r="D8" s="10">
        <v>45616</v>
      </c>
      <c r="E8" s="13" t="str">
        <f>+HYPERLINK("http://trademark.i-assist.jp/data/china/image_1912th/67616923.pdf","67616923")</f>
        <v>67616923</v>
      </c>
      <c r="F8" s="9" t="s">
        <v>104</v>
      </c>
      <c r="G8" s="9" t="s">
        <v>105</v>
      </c>
      <c r="H8" s="9" t="s">
        <v>106</v>
      </c>
      <c r="I8" s="10">
        <v>44843</v>
      </c>
    </row>
    <row r="9" spans="1:9" x14ac:dyDescent="0.15">
      <c r="A9" s="9">
        <v>8</v>
      </c>
      <c r="B9" s="9" t="s">
        <v>9</v>
      </c>
      <c r="C9" s="9">
        <v>1912</v>
      </c>
      <c r="D9" s="10">
        <v>45616</v>
      </c>
      <c r="E9" s="13" t="str">
        <f>+HYPERLINK("http://trademark.i-assist.jp/data/china/image_1912th/68105904.pdf","68105904")</f>
        <v>68105904</v>
      </c>
      <c r="F9" s="9" t="s">
        <v>107</v>
      </c>
      <c r="G9" s="12" t="s">
        <v>108</v>
      </c>
      <c r="H9" s="9" t="s">
        <v>14</v>
      </c>
      <c r="I9" s="10">
        <v>44867</v>
      </c>
    </row>
    <row r="10" spans="1:9" x14ac:dyDescent="0.15">
      <c r="A10" s="9">
        <v>9</v>
      </c>
      <c r="B10" s="9" t="s">
        <v>9</v>
      </c>
      <c r="C10" s="9">
        <v>1912</v>
      </c>
      <c r="D10" s="10">
        <v>45616</v>
      </c>
      <c r="E10" s="13" t="str">
        <f>+HYPERLINK("http://trademark.i-assist.jp/data/china/image_1912th/68452230.pdf","68452230")</f>
        <v>68452230</v>
      </c>
      <c r="F10" s="9" t="s">
        <v>109</v>
      </c>
      <c r="G10" s="12" t="s">
        <v>110</v>
      </c>
      <c r="H10" s="9" t="s">
        <v>111</v>
      </c>
      <c r="I10" s="10">
        <v>44886</v>
      </c>
    </row>
    <row r="11" spans="1:9" x14ac:dyDescent="0.15">
      <c r="A11" s="9">
        <v>10</v>
      </c>
      <c r="B11" s="9" t="s">
        <v>9</v>
      </c>
      <c r="C11" s="9">
        <v>1912</v>
      </c>
      <c r="D11" s="10">
        <v>45616</v>
      </c>
      <c r="E11" s="13" t="str">
        <f>+HYPERLINK("http://trademark.i-assist.jp/data/china/image_1912th/69287908.pdf","69287908")</f>
        <v>69287908</v>
      </c>
      <c r="F11" s="9" t="s">
        <v>112</v>
      </c>
      <c r="G11" s="12" t="s">
        <v>113</v>
      </c>
      <c r="H11" s="9" t="s">
        <v>114</v>
      </c>
      <c r="I11" s="10">
        <v>44946</v>
      </c>
    </row>
    <row r="12" spans="1:9" x14ac:dyDescent="0.15">
      <c r="A12" s="9">
        <v>11</v>
      </c>
      <c r="B12" s="9" t="s">
        <v>9</v>
      </c>
      <c r="C12" s="9">
        <v>1912</v>
      </c>
      <c r="D12" s="10">
        <v>45616</v>
      </c>
      <c r="E12" s="13" t="str">
        <f>+HYPERLINK("http://trademark.i-assist.jp/data/china/image_1912th/69449529.pdf","69449529")</f>
        <v>69449529</v>
      </c>
      <c r="F12" s="9" t="s">
        <v>115</v>
      </c>
      <c r="G12" s="12" t="s">
        <v>108</v>
      </c>
      <c r="H12" s="9" t="s">
        <v>14</v>
      </c>
      <c r="I12" s="10">
        <v>44965</v>
      </c>
    </row>
    <row r="13" spans="1:9" x14ac:dyDescent="0.15">
      <c r="A13" s="9">
        <v>12</v>
      </c>
      <c r="B13" s="9" t="s">
        <v>9</v>
      </c>
      <c r="C13" s="9">
        <v>1912</v>
      </c>
      <c r="D13" s="10">
        <v>45616</v>
      </c>
      <c r="E13" s="13" t="str">
        <f>+HYPERLINK("http://trademark.i-assist.jp/data/china/image_1912th/69513804.pdf","69513804")</f>
        <v>69513804</v>
      </c>
      <c r="F13" s="12" t="s">
        <v>15</v>
      </c>
      <c r="G13" s="9" t="s">
        <v>116</v>
      </c>
      <c r="H13" s="9" t="s">
        <v>117</v>
      </c>
      <c r="I13" s="10">
        <v>44968</v>
      </c>
    </row>
    <row r="14" spans="1:9" x14ac:dyDescent="0.15">
      <c r="A14" s="9">
        <v>13</v>
      </c>
      <c r="B14" s="9" t="s">
        <v>9</v>
      </c>
      <c r="C14" s="9">
        <v>1912</v>
      </c>
      <c r="D14" s="10">
        <v>45616</v>
      </c>
      <c r="E14" s="13" t="str">
        <f>+HYPERLINK("http://trademark.i-assist.jp/data/china/image_1912th/69770360.pdf","69770360")</f>
        <v>69770360</v>
      </c>
      <c r="F14" s="9" t="s">
        <v>118</v>
      </c>
      <c r="G14" s="9" t="s">
        <v>119</v>
      </c>
      <c r="H14" s="9" t="s">
        <v>120</v>
      </c>
      <c r="I14" s="10">
        <v>44980</v>
      </c>
    </row>
    <row r="15" spans="1:9" x14ac:dyDescent="0.15">
      <c r="A15" s="9">
        <v>14</v>
      </c>
      <c r="B15" s="9" t="s">
        <v>9</v>
      </c>
      <c r="C15" s="9">
        <v>1912</v>
      </c>
      <c r="D15" s="10">
        <v>45616</v>
      </c>
      <c r="E15" s="13" t="str">
        <f>+HYPERLINK("http://trademark.i-assist.jp/data/china/image_1912th/70160030.pdf","70160030")</f>
        <v>70160030</v>
      </c>
      <c r="F15" s="9" t="s">
        <v>121</v>
      </c>
      <c r="G15" s="9" t="s">
        <v>122</v>
      </c>
      <c r="H15" s="9" t="s">
        <v>123</v>
      </c>
      <c r="I15" s="10">
        <v>44998</v>
      </c>
    </row>
    <row r="16" spans="1:9" x14ac:dyDescent="0.15">
      <c r="A16" s="9">
        <v>15</v>
      </c>
      <c r="B16" s="9" t="s">
        <v>9</v>
      </c>
      <c r="C16" s="9">
        <v>1912</v>
      </c>
      <c r="D16" s="10">
        <v>45616</v>
      </c>
      <c r="E16" s="13" t="str">
        <f>+HYPERLINK("http://trademark.i-assist.jp/data/china/image_1912th/71043700.pdf","71043700")</f>
        <v>71043700</v>
      </c>
      <c r="F16" s="9" t="s">
        <v>124</v>
      </c>
      <c r="G16" s="9" t="s">
        <v>125</v>
      </c>
      <c r="H16" s="12" t="s">
        <v>126</v>
      </c>
      <c r="I16" s="10">
        <v>45036</v>
      </c>
    </row>
    <row r="17" spans="1:9" x14ac:dyDescent="0.15">
      <c r="A17" s="9">
        <v>16</v>
      </c>
      <c r="B17" s="9" t="s">
        <v>9</v>
      </c>
      <c r="C17" s="9">
        <v>1912</v>
      </c>
      <c r="D17" s="10">
        <v>45616</v>
      </c>
      <c r="E17" s="13" t="str">
        <f>+HYPERLINK("http://trademark.i-assist.jp/data/china/image_1912th/71066034.pdf","71066034")</f>
        <v>71066034</v>
      </c>
      <c r="F17" s="9" t="s">
        <v>127</v>
      </c>
      <c r="G17" s="12" t="s">
        <v>108</v>
      </c>
      <c r="H17" s="9" t="s">
        <v>128</v>
      </c>
      <c r="I17" s="10">
        <v>45037</v>
      </c>
    </row>
    <row r="18" spans="1:9" x14ac:dyDescent="0.15">
      <c r="A18" s="9">
        <v>17</v>
      </c>
      <c r="B18" s="9" t="s">
        <v>9</v>
      </c>
      <c r="C18" s="9">
        <v>1912</v>
      </c>
      <c r="D18" s="10">
        <v>45616</v>
      </c>
      <c r="E18" s="13" t="str">
        <f>+HYPERLINK("http://trademark.i-assist.jp/data/china/image_1912th/71621443.pdf","71621443")</f>
        <v>71621443</v>
      </c>
      <c r="F18" s="9" t="s">
        <v>129</v>
      </c>
      <c r="G18" s="9" t="s">
        <v>130</v>
      </c>
      <c r="H18" s="9" t="s">
        <v>131</v>
      </c>
      <c r="I18" s="10">
        <v>45063</v>
      </c>
    </row>
    <row r="19" spans="1:9" x14ac:dyDescent="0.15">
      <c r="A19" s="9">
        <v>18</v>
      </c>
      <c r="B19" s="9" t="s">
        <v>9</v>
      </c>
      <c r="C19" s="9">
        <v>1912</v>
      </c>
      <c r="D19" s="10">
        <v>45616</v>
      </c>
      <c r="E19" s="13" t="str">
        <f>+HYPERLINK("http://trademark.i-assist.jp/data/china/image_1912th/71723176.pdf","71723176")</f>
        <v>71723176</v>
      </c>
      <c r="F19" s="9" t="s">
        <v>132</v>
      </c>
      <c r="G19" s="12" t="s">
        <v>133</v>
      </c>
      <c r="H19" s="12" t="s">
        <v>134</v>
      </c>
      <c r="I19" s="10">
        <v>45068</v>
      </c>
    </row>
    <row r="20" spans="1:9" x14ac:dyDescent="0.15">
      <c r="A20" s="9">
        <v>19</v>
      </c>
      <c r="B20" s="9" t="s">
        <v>9</v>
      </c>
      <c r="C20" s="9">
        <v>1912</v>
      </c>
      <c r="D20" s="10">
        <v>45616</v>
      </c>
      <c r="E20" s="13" t="str">
        <f>+HYPERLINK("http://trademark.i-assist.jp/data/china/image_1912th/71929424.pdf","71929424")</f>
        <v>71929424</v>
      </c>
      <c r="F20" s="9" t="s">
        <v>135</v>
      </c>
      <c r="G20" s="9" t="s">
        <v>136</v>
      </c>
      <c r="H20" s="9" t="s">
        <v>137</v>
      </c>
      <c r="I20" s="10">
        <v>45077</v>
      </c>
    </row>
    <row r="21" spans="1:9" x14ac:dyDescent="0.15">
      <c r="A21" s="9">
        <v>20</v>
      </c>
      <c r="B21" s="9" t="s">
        <v>9</v>
      </c>
      <c r="C21" s="9">
        <v>1912</v>
      </c>
      <c r="D21" s="10">
        <v>45616</v>
      </c>
      <c r="E21" s="13" t="str">
        <f>+HYPERLINK("http://trademark.i-assist.jp/data/china/image_1912th/71957661.pdf","71957661")</f>
        <v>71957661</v>
      </c>
      <c r="F21" s="12" t="s">
        <v>138</v>
      </c>
      <c r="G21" s="12" t="s">
        <v>139</v>
      </c>
      <c r="H21" s="9" t="s">
        <v>140</v>
      </c>
      <c r="I21" s="10">
        <v>45078</v>
      </c>
    </row>
    <row r="22" spans="1:9" x14ac:dyDescent="0.15">
      <c r="A22" s="9">
        <v>21</v>
      </c>
      <c r="B22" s="9" t="s">
        <v>9</v>
      </c>
      <c r="C22" s="9">
        <v>1912</v>
      </c>
      <c r="D22" s="10">
        <v>45616</v>
      </c>
      <c r="E22" s="13" t="str">
        <f>+HYPERLINK("http://trademark.i-assist.jp/data/china/image_1912th/72325758.pdf","72325758")</f>
        <v>72325758</v>
      </c>
      <c r="F22" s="9" t="s">
        <v>141</v>
      </c>
      <c r="G22" s="9" t="s">
        <v>142</v>
      </c>
      <c r="H22" s="12" t="s">
        <v>143</v>
      </c>
      <c r="I22" s="10">
        <v>45096</v>
      </c>
    </row>
    <row r="23" spans="1:9" x14ac:dyDescent="0.15">
      <c r="A23" s="9">
        <v>22</v>
      </c>
      <c r="B23" s="9" t="s">
        <v>9</v>
      </c>
      <c r="C23" s="9">
        <v>1912</v>
      </c>
      <c r="D23" s="10">
        <v>45616</v>
      </c>
      <c r="E23" s="13" t="str">
        <f>+HYPERLINK("http://trademark.i-assist.jp/data/china/image_1912th/72476348.pdf","72476348")</f>
        <v>72476348</v>
      </c>
      <c r="F23" s="9" t="s">
        <v>144</v>
      </c>
      <c r="G23" s="12" t="s">
        <v>145</v>
      </c>
      <c r="H23" s="9" t="s">
        <v>146</v>
      </c>
      <c r="I23" s="10">
        <v>45104</v>
      </c>
    </row>
    <row r="24" spans="1:9" x14ac:dyDescent="0.15">
      <c r="A24" s="9">
        <v>23</v>
      </c>
      <c r="B24" s="9" t="s">
        <v>9</v>
      </c>
      <c r="C24" s="9">
        <v>1912</v>
      </c>
      <c r="D24" s="10">
        <v>45616</v>
      </c>
      <c r="E24" s="13" t="str">
        <f>+HYPERLINK("http://trademark.i-assist.jp/data/china/image_1912th/72586518.pdf","72586518")</f>
        <v>72586518</v>
      </c>
      <c r="F24" s="9" t="s">
        <v>147</v>
      </c>
      <c r="G24" s="9" t="s">
        <v>148</v>
      </c>
      <c r="H24" s="9" t="s">
        <v>149</v>
      </c>
      <c r="I24" s="10">
        <v>45110</v>
      </c>
    </row>
    <row r="25" spans="1:9" x14ac:dyDescent="0.15">
      <c r="A25" s="9">
        <v>24</v>
      </c>
      <c r="B25" s="9" t="s">
        <v>9</v>
      </c>
      <c r="C25" s="9">
        <v>1912</v>
      </c>
      <c r="D25" s="10">
        <v>45616</v>
      </c>
      <c r="E25" s="13" t="str">
        <f>+HYPERLINK("http://trademark.i-assist.jp/data/china/image_1912th/72966205.pdf","72966205")</f>
        <v>72966205</v>
      </c>
      <c r="F25" s="9" t="s">
        <v>150</v>
      </c>
      <c r="G25" s="9" t="s">
        <v>151</v>
      </c>
      <c r="H25" s="9" t="s">
        <v>152</v>
      </c>
      <c r="I25" s="10">
        <v>45127</v>
      </c>
    </row>
    <row r="26" spans="1:9" x14ac:dyDescent="0.15">
      <c r="A26" s="9">
        <v>25</v>
      </c>
      <c r="B26" s="9" t="s">
        <v>9</v>
      </c>
      <c r="C26" s="9">
        <v>1912</v>
      </c>
      <c r="D26" s="10">
        <v>45616</v>
      </c>
      <c r="E26" s="13" t="str">
        <f>+HYPERLINK("http://trademark.i-assist.jp/data/china/image_1912th/73340230.pdf","73340230")</f>
        <v>73340230</v>
      </c>
      <c r="F26" s="9" t="s">
        <v>153</v>
      </c>
      <c r="G26" s="9" t="s">
        <v>154</v>
      </c>
      <c r="H26" s="9" t="s">
        <v>155</v>
      </c>
      <c r="I26" s="10">
        <v>45146</v>
      </c>
    </row>
    <row r="27" spans="1:9" x14ac:dyDescent="0.15">
      <c r="A27" s="9">
        <v>26</v>
      </c>
      <c r="B27" s="9" t="s">
        <v>9</v>
      </c>
      <c r="C27" s="9">
        <v>1912</v>
      </c>
      <c r="D27" s="10">
        <v>45616</v>
      </c>
      <c r="E27" s="13" t="str">
        <f>+HYPERLINK("http://trademark.i-assist.jp/data/china/image_1912th/73380583.pdf","73380583")</f>
        <v>73380583</v>
      </c>
      <c r="F27" s="9" t="s">
        <v>156</v>
      </c>
      <c r="G27" s="12" t="s">
        <v>157</v>
      </c>
      <c r="H27" s="9" t="s">
        <v>158</v>
      </c>
      <c r="I27" s="10">
        <v>45147</v>
      </c>
    </row>
    <row r="28" spans="1:9" x14ac:dyDescent="0.15">
      <c r="A28" s="9">
        <v>27</v>
      </c>
      <c r="B28" s="9" t="s">
        <v>9</v>
      </c>
      <c r="C28" s="9">
        <v>1912</v>
      </c>
      <c r="D28" s="10">
        <v>45616</v>
      </c>
      <c r="E28" s="13" t="str">
        <f>+HYPERLINK("http://trademark.i-assist.jp/data/china/image_1912th/73436723.pdf","73436723")</f>
        <v>73436723</v>
      </c>
      <c r="F28" s="9" t="s">
        <v>159</v>
      </c>
      <c r="G28" s="9" t="s">
        <v>160</v>
      </c>
      <c r="H28" s="9" t="s">
        <v>161</v>
      </c>
      <c r="I28" s="10">
        <v>45150</v>
      </c>
    </row>
    <row r="29" spans="1:9" x14ac:dyDescent="0.15">
      <c r="A29" s="9">
        <v>28</v>
      </c>
      <c r="B29" s="9" t="s">
        <v>9</v>
      </c>
      <c r="C29" s="9">
        <v>1912</v>
      </c>
      <c r="D29" s="10">
        <v>45616</v>
      </c>
      <c r="E29" s="13" t="str">
        <f>+HYPERLINK("http://trademark.i-assist.jp/data/china/image_1912th/73545752.pdf","73545752")</f>
        <v>73545752</v>
      </c>
      <c r="F29" s="9" t="s">
        <v>162</v>
      </c>
      <c r="G29" s="12" t="s">
        <v>163</v>
      </c>
      <c r="H29" s="9" t="s">
        <v>164</v>
      </c>
      <c r="I29" s="10">
        <v>45155</v>
      </c>
    </row>
    <row r="30" spans="1:9" x14ac:dyDescent="0.15">
      <c r="A30" s="9">
        <v>29</v>
      </c>
      <c r="B30" s="9" t="s">
        <v>9</v>
      </c>
      <c r="C30" s="9">
        <v>1912</v>
      </c>
      <c r="D30" s="10">
        <v>45616</v>
      </c>
      <c r="E30" s="13" t="str">
        <f>+HYPERLINK("http://trademark.i-assist.jp/data/china/image_1912th/73617638.pdf","73617638")</f>
        <v>73617638</v>
      </c>
      <c r="F30" s="9" t="s">
        <v>165</v>
      </c>
      <c r="G30" s="9" t="s">
        <v>166</v>
      </c>
      <c r="H30" s="9" t="s">
        <v>167</v>
      </c>
      <c r="I30" s="10">
        <v>45160</v>
      </c>
    </row>
    <row r="31" spans="1:9" x14ac:dyDescent="0.15">
      <c r="A31" s="9">
        <v>30</v>
      </c>
      <c r="B31" s="9" t="s">
        <v>9</v>
      </c>
      <c r="C31" s="9">
        <v>1912</v>
      </c>
      <c r="D31" s="10">
        <v>45616</v>
      </c>
      <c r="E31" s="13" t="str">
        <f>+HYPERLINK("http://trademark.i-assist.jp/data/china/image_1912th/73629428.pdf","73629428")</f>
        <v>73629428</v>
      </c>
      <c r="F31" s="12" t="s">
        <v>168</v>
      </c>
      <c r="G31" s="9" t="s">
        <v>169</v>
      </c>
      <c r="H31" s="9" t="s">
        <v>170</v>
      </c>
      <c r="I31" s="10">
        <v>45160</v>
      </c>
    </row>
    <row r="32" spans="1:9" x14ac:dyDescent="0.15">
      <c r="A32" s="9">
        <v>31</v>
      </c>
      <c r="B32" s="9" t="s">
        <v>9</v>
      </c>
      <c r="C32" s="9">
        <v>1912</v>
      </c>
      <c r="D32" s="10">
        <v>45616</v>
      </c>
      <c r="E32" s="13" t="str">
        <f>+HYPERLINK("http://trademark.i-assist.jp/data/china/image_1912th/74013857.pdf","74013857")</f>
        <v>74013857</v>
      </c>
      <c r="F32" s="9" t="s">
        <v>171</v>
      </c>
      <c r="G32" s="9" t="s">
        <v>172</v>
      </c>
      <c r="H32" s="9" t="s">
        <v>173</v>
      </c>
      <c r="I32" s="10">
        <v>45180</v>
      </c>
    </row>
    <row r="33" spans="1:9" x14ac:dyDescent="0.15">
      <c r="A33" s="9">
        <v>32</v>
      </c>
      <c r="B33" s="9" t="s">
        <v>9</v>
      </c>
      <c r="C33" s="9">
        <v>1912</v>
      </c>
      <c r="D33" s="10">
        <v>45616</v>
      </c>
      <c r="E33" s="13" t="str">
        <f>+HYPERLINK("http://trademark.i-assist.jp/data/china/image_1912th/74021378.pdf","74021378")</f>
        <v>74021378</v>
      </c>
      <c r="F33" s="9" t="s">
        <v>174</v>
      </c>
      <c r="G33" s="9" t="s">
        <v>175</v>
      </c>
      <c r="H33" s="9" t="s">
        <v>176</v>
      </c>
      <c r="I33" s="10">
        <v>45181</v>
      </c>
    </row>
    <row r="34" spans="1:9" x14ac:dyDescent="0.15">
      <c r="A34" s="9">
        <v>33</v>
      </c>
      <c r="B34" s="9" t="s">
        <v>9</v>
      </c>
      <c r="C34" s="9">
        <v>1912</v>
      </c>
      <c r="D34" s="10">
        <v>45616</v>
      </c>
      <c r="E34" s="13" t="str">
        <f>+HYPERLINK("http://trademark.i-assist.jp/data/china/image_1912th/74050860.pdf","74050860")</f>
        <v>74050860</v>
      </c>
      <c r="F34" s="9" t="s">
        <v>177</v>
      </c>
      <c r="G34" s="12" t="s">
        <v>178</v>
      </c>
      <c r="H34" s="9" t="s">
        <v>179</v>
      </c>
      <c r="I34" s="10">
        <v>45182</v>
      </c>
    </row>
    <row r="35" spans="1:9" x14ac:dyDescent="0.15">
      <c r="A35" s="9">
        <v>34</v>
      </c>
      <c r="B35" s="9" t="s">
        <v>9</v>
      </c>
      <c r="C35" s="9">
        <v>1912</v>
      </c>
      <c r="D35" s="10">
        <v>45616</v>
      </c>
      <c r="E35" s="13" t="str">
        <f>+HYPERLINK("http://trademark.i-assist.jp/data/china/image_1912th/74054052.pdf","74054052")</f>
        <v>74054052</v>
      </c>
      <c r="F35" s="9" t="s">
        <v>180</v>
      </c>
      <c r="G35" s="9" t="s">
        <v>181</v>
      </c>
      <c r="H35" s="9" t="s">
        <v>182</v>
      </c>
      <c r="I35" s="10">
        <v>45182</v>
      </c>
    </row>
    <row r="36" spans="1:9" x14ac:dyDescent="0.15">
      <c r="A36" s="9">
        <v>35</v>
      </c>
      <c r="B36" s="9" t="s">
        <v>9</v>
      </c>
      <c r="C36" s="9">
        <v>1912</v>
      </c>
      <c r="D36" s="10">
        <v>45616</v>
      </c>
      <c r="E36" s="13" t="str">
        <f>+HYPERLINK("http://trademark.i-assist.jp/data/china/image_1912th/74117915.pdf","74117915")</f>
        <v>74117915</v>
      </c>
      <c r="F36" s="12" t="s">
        <v>15</v>
      </c>
      <c r="G36" s="12" t="s">
        <v>183</v>
      </c>
      <c r="H36" s="9" t="s">
        <v>184</v>
      </c>
      <c r="I36" s="10">
        <v>45184</v>
      </c>
    </row>
    <row r="37" spans="1:9" x14ac:dyDescent="0.15">
      <c r="A37" s="9">
        <v>36</v>
      </c>
      <c r="B37" s="9" t="s">
        <v>9</v>
      </c>
      <c r="C37" s="9">
        <v>1912</v>
      </c>
      <c r="D37" s="10">
        <v>45616</v>
      </c>
      <c r="E37" s="13" t="str">
        <f>+HYPERLINK("http://trademark.i-assist.jp/data/china/image_1912th/74181570.pdf","74181570")</f>
        <v>74181570</v>
      </c>
      <c r="F37" s="9" t="s">
        <v>185</v>
      </c>
      <c r="G37" s="9" t="s">
        <v>186</v>
      </c>
      <c r="H37" s="9" t="s">
        <v>187</v>
      </c>
      <c r="I37" s="10">
        <v>45188</v>
      </c>
    </row>
    <row r="38" spans="1:9" x14ac:dyDescent="0.15">
      <c r="A38" s="9">
        <v>37</v>
      </c>
      <c r="B38" s="9" t="s">
        <v>9</v>
      </c>
      <c r="C38" s="9">
        <v>1912</v>
      </c>
      <c r="D38" s="10">
        <v>45616</v>
      </c>
      <c r="E38" s="13" t="str">
        <f>+HYPERLINK("http://trademark.i-assist.jp/data/china/image_1912th/74231649.pdf","74231649")</f>
        <v>74231649</v>
      </c>
      <c r="F38" s="9" t="s">
        <v>188</v>
      </c>
      <c r="G38" s="9" t="s">
        <v>189</v>
      </c>
      <c r="H38" s="12" t="s">
        <v>190</v>
      </c>
      <c r="I38" s="10">
        <v>45190</v>
      </c>
    </row>
    <row r="39" spans="1:9" x14ac:dyDescent="0.15">
      <c r="A39" s="9">
        <v>38</v>
      </c>
      <c r="B39" s="9" t="s">
        <v>9</v>
      </c>
      <c r="C39" s="9">
        <v>1912</v>
      </c>
      <c r="D39" s="10">
        <v>45616</v>
      </c>
      <c r="E39" s="13" t="str">
        <f>+HYPERLINK("http://trademark.i-assist.jp/data/china/image_1912th/74268829.pdf","74268829")</f>
        <v>74268829</v>
      </c>
      <c r="F39" s="9" t="s">
        <v>191</v>
      </c>
      <c r="G39" s="9" t="s">
        <v>192</v>
      </c>
      <c r="H39" s="12" t="s">
        <v>193</v>
      </c>
      <c r="I39" s="10">
        <v>45193</v>
      </c>
    </row>
    <row r="40" spans="1:9" x14ac:dyDescent="0.15">
      <c r="A40" s="9">
        <v>39</v>
      </c>
      <c r="B40" s="9" t="s">
        <v>9</v>
      </c>
      <c r="C40" s="9">
        <v>1912</v>
      </c>
      <c r="D40" s="10">
        <v>45616</v>
      </c>
      <c r="E40" s="13" t="str">
        <f>+HYPERLINK("http://trademark.i-assist.jp/data/china/image_1912th/74393121.pdf","74393121")</f>
        <v>74393121</v>
      </c>
      <c r="F40" s="9" t="s">
        <v>194</v>
      </c>
      <c r="G40" s="9" t="s">
        <v>195</v>
      </c>
      <c r="H40" s="9" t="s">
        <v>196</v>
      </c>
      <c r="I40" s="10">
        <v>45206</v>
      </c>
    </row>
    <row r="41" spans="1:9" x14ac:dyDescent="0.15">
      <c r="A41" s="9">
        <v>40</v>
      </c>
      <c r="B41" s="9" t="s">
        <v>9</v>
      </c>
      <c r="C41" s="9">
        <v>1912</v>
      </c>
      <c r="D41" s="10">
        <v>45616</v>
      </c>
      <c r="E41" s="13" t="str">
        <f>+HYPERLINK("http://trademark.i-assist.jp/data/china/image_1912th/74565962.pdf","74565962")</f>
        <v>74565962</v>
      </c>
      <c r="F41" s="9" t="s">
        <v>197</v>
      </c>
      <c r="G41" s="9" t="s">
        <v>198</v>
      </c>
      <c r="H41" s="12" t="s">
        <v>199</v>
      </c>
      <c r="I41" s="10">
        <v>45213</v>
      </c>
    </row>
    <row r="42" spans="1:9" x14ac:dyDescent="0.15">
      <c r="A42" s="9">
        <v>41</v>
      </c>
      <c r="B42" s="9" t="s">
        <v>9</v>
      </c>
      <c r="C42" s="9">
        <v>1912</v>
      </c>
      <c r="D42" s="10">
        <v>45616</v>
      </c>
      <c r="E42" s="13" t="str">
        <f>+HYPERLINK("http://trademark.i-assist.jp/data/china/image_1912th/74589412.pdf","74589412")</f>
        <v>74589412</v>
      </c>
      <c r="F42" s="9" t="s">
        <v>23</v>
      </c>
      <c r="G42" s="9" t="s">
        <v>24</v>
      </c>
      <c r="H42" s="9" t="s">
        <v>200</v>
      </c>
      <c r="I42" s="10">
        <v>45215</v>
      </c>
    </row>
    <row r="43" spans="1:9" x14ac:dyDescent="0.15">
      <c r="A43" s="9">
        <v>42</v>
      </c>
      <c r="B43" s="9" t="s">
        <v>9</v>
      </c>
      <c r="C43" s="9">
        <v>1912</v>
      </c>
      <c r="D43" s="10">
        <v>45616</v>
      </c>
      <c r="E43" s="13" t="str">
        <f>+HYPERLINK("http://trademark.i-assist.jp/data/china/image_1912th/74669029.pdf","74669029")</f>
        <v>74669029</v>
      </c>
      <c r="F43" s="9" t="s">
        <v>201</v>
      </c>
      <c r="G43" s="9" t="s">
        <v>202</v>
      </c>
      <c r="H43" s="9" t="s">
        <v>203</v>
      </c>
      <c r="I43" s="10">
        <v>45218</v>
      </c>
    </row>
    <row r="44" spans="1:9" x14ac:dyDescent="0.15">
      <c r="A44" s="9">
        <v>43</v>
      </c>
      <c r="B44" s="9" t="s">
        <v>9</v>
      </c>
      <c r="C44" s="9">
        <v>1912</v>
      </c>
      <c r="D44" s="10">
        <v>45616</v>
      </c>
      <c r="E44" s="13" t="str">
        <f>+HYPERLINK("http://trademark.i-assist.jp/data/china/image_1912th/74670073.pdf","74670073")</f>
        <v>74670073</v>
      </c>
      <c r="F44" s="9" t="s">
        <v>204</v>
      </c>
      <c r="G44" s="12" t="s">
        <v>205</v>
      </c>
      <c r="H44" s="12" t="s">
        <v>206</v>
      </c>
      <c r="I44" s="10">
        <v>45218</v>
      </c>
    </row>
    <row r="45" spans="1:9" x14ac:dyDescent="0.15">
      <c r="A45" s="9">
        <v>44</v>
      </c>
      <c r="B45" s="9" t="s">
        <v>9</v>
      </c>
      <c r="C45" s="9">
        <v>1912</v>
      </c>
      <c r="D45" s="10">
        <v>45616</v>
      </c>
      <c r="E45" s="13" t="str">
        <f>+HYPERLINK("http://trademark.i-assist.jp/data/china/image_1912th/74834978.pdf","74834978")</f>
        <v>74834978</v>
      </c>
      <c r="F45" s="9" t="s">
        <v>207</v>
      </c>
      <c r="G45" s="9" t="s">
        <v>208</v>
      </c>
      <c r="H45" s="12" t="s">
        <v>209</v>
      </c>
      <c r="I45" s="10">
        <v>45226</v>
      </c>
    </row>
    <row r="46" spans="1:9" x14ac:dyDescent="0.15">
      <c r="A46" s="9">
        <v>45</v>
      </c>
      <c r="B46" s="9" t="s">
        <v>9</v>
      </c>
      <c r="C46" s="9">
        <v>1912</v>
      </c>
      <c r="D46" s="10">
        <v>45616</v>
      </c>
      <c r="E46" s="13" t="str">
        <f>+HYPERLINK("http://trademark.i-assist.jp/data/china/image_1912th/74839460.pdf","74839460")</f>
        <v>74839460</v>
      </c>
      <c r="F46" s="9" t="s">
        <v>210</v>
      </c>
      <c r="G46" s="12" t="s">
        <v>211</v>
      </c>
      <c r="H46" s="9" t="s">
        <v>212</v>
      </c>
      <c r="I46" s="10">
        <v>45227</v>
      </c>
    </row>
    <row r="47" spans="1:9" x14ac:dyDescent="0.15">
      <c r="A47" s="9">
        <v>46</v>
      </c>
      <c r="B47" s="9" t="s">
        <v>9</v>
      </c>
      <c r="C47" s="9">
        <v>1912</v>
      </c>
      <c r="D47" s="10">
        <v>45616</v>
      </c>
      <c r="E47" s="13" t="str">
        <f>+HYPERLINK("http://trademark.i-assist.jp/data/china/image_1912th/74919983.pdf","74919983")</f>
        <v>74919983</v>
      </c>
      <c r="F47" s="9" t="s">
        <v>213</v>
      </c>
      <c r="G47" s="12" t="s">
        <v>214</v>
      </c>
      <c r="H47" s="9" t="s">
        <v>215</v>
      </c>
      <c r="I47" s="10">
        <v>45231</v>
      </c>
    </row>
    <row r="48" spans="1:9" x14ac:dyDescent="0.15">
      <c r="A48" s="9">
        <v>47</v>
      </c>
      <c r="B48" s="9" t="s">
        <v>9</v>
      </c>
      <c r="C48" s="9">
        <v>1912</v>
      </c>
      <c r="D48" s="10">
        <v>45616</v>
      </c>
      <c r="E48" s="13" t="str">
        <f>+HYPERLINK("http://trademark.i-assist.jp/data/china/image_1912th/74968409.pdf","74968409")</f>
        <v>74968409</v>
      </c>
      <c r="F48" s="9" t="s">
        <v>216</v>
      </c>
      <c r="G48" s="12" t="s">
        <v>217</v>
      </c>
      <c r="H48" s="9" t="s">
        <v>218</v>
      </c>
      <c r="I48" s="10">
        <v>45233</v>
      </c>
    </row>
    <row r="49" spans="1:9" x14ac:dyDescent="0.15">
      <c r="A49" s="9">
        <v>48</v>
      </c>
      <c r="B49" s="9" t="s">
        <v>9</v>
      </c>
      <c r="C49" s="9">
        <v>1912</v>
      </c>
      <c r="D49" s="10">
        <v>45616</v>
      </c>
      <c r="E49" s="13" t="str">
        <f>+HYPERLINK("http://trademark.i-assist.jp/data/china/image_1912th/75045783.pdf","75045783")</f>
        <v>75045783</v>
      </c>
      <c r="F49" s="9" t="s">
        <v>219</v>
      </c>
      <c r="G49" s="9" t="s">
        <v>220</v>
      </c>
      <c r="H49" s="9" t="s">
        <v>221</v>
      </c>
      <c r="I49" s="10">
        <v>45238</v>
      </c>
    </row>
    <row r="50" spans="1:9" x14ac:dyDescent="0.15">
      <c r="A50" s="9">
        <v>49</v>
      </c>
      <c r="B50" s="9" t="s">
        <v>9</v>
      </c>
      <c r="C50" s="9">
        <v>1912</v>
      </c>
      <c r="D50" s="10">
        <v>45616</v>
      </c>
      <c r="E50" s="13" t="str">
        <f>+HYPERLINK("http://trademark.i-assist.jp/data/china/image_1912th/75166555.pdf","75166555")</f>
        <v>75166555</v>
      </c>
      <c r="F50" s="12" t="s">
        <v>222</v>
      </c>
      <c r="G50" s="9" t="s">
        <v>223</v>
      </c>
      <c r="H50" s="9" t="s">
        <v>224</v>
      </c>
      <c r="I50" s="10">
        <v>45244</v>
      </c>
    </row>
    <row r="51" spans="1:9" x14ac:dyDescent="0.15">
      <c r="A51" s="9">
        <v>50</v>
      </c>
      <c r="B51" s="9" t="s">
        <v>9</v>
      </c>
      <c r="C51" s="9">
        <v>1912</v>
      </c>
      <c r="D51" s="10">
        <v>45616</v>
      </c>
      <c r="E51" s="13" t="str">
        <f>+HYPERLINK("http://trademark.i-assist.jp/data/china/image_1912th/75223146.pdf","75223146")</f>
        <v>75223146</v>
      </c>
      <c r="F51" s="9" t="s">
        <v>225</v>
      </c>
      <c r="G51" s="12" t="s">
        <v>226</v>
      </c>
      <c r="H51" s="9" t="s">
        <v>227</v>
      </c>
      <c r="I51" s="10">
        <v>45246</v>
      </c>
    </row>
    <row r="52" spans="1:9" x14ac:dyDescent="0.15">
      <c r="A52" s="9">
        <v>51</v>
      </c>
      <c r="B52" s="9" t="s">
        <v>9</v>
      </c>
      <c r="C52" s="9">
        <v>1912</v>
      </c>
      <c r="D52" s="10">
        <v>45616</v>
      </c>
      <c r="E52" s="13" t="str">
        <f>+HYPERLINK("http://trademark.i-assist.jp/data/china/image_1912th/75249083.pdf","75249083")</f>
        <v>75249083</v>
      </c>
      <c r="F52" s="9" t="s">
        <v>228</v>
      </c>
      <c r="G52" s="12" t="s">
        <v>229</v>
      </c>
      <c r="H52" s="9" t="s">
        <v>230</v>
      </c>
      <c r="I52" s="10">
        <v>45247</v>
      </c>
    </row>
    <row r="53" spans="1:9" x14ac:dyDescent="0.15">
      <c r="A53" s="9">
        <v>52</v>
      </c>
      <c r="B53" s="9" t="s">
        <v>9</v>
      </c>
      <c r="C53" s="9">
        <v>1912</v>
      </c>
      <c r="D53" s="10">
        <v>45616</v>
      </c>
      <c r="E53" s="13" t="str">
        <f>+HYPERLINK("http://trademark.i-assist.jp/data/china/image_1912th/75321340.pdf","75321340")</f>
        <v>75321340</v>
      </c>
      <c r="F53" s="9" t="s">
        <v>231</v>
      </c>
      <c r="G53" s="9" t="s">
        <v>232</v>
      </c>
      <c r="H53" s="9" t="s">
        <v>10</v>
      </c>
      <c r="I53" s="10">
        <v>45251</v>
      </c>
    </row>
    <row r="54" spans="1:9" x14ac:dyDescent="0.15">
      <c r="A54" s="9">
        <v>53</v>
      </c>
      <c r="B54" s="9" t="s">
        <v>9</v>
      </c>
      <c r="C54" s="9">
        <v>1912</v>
      </c>
      <c r="D54" s="10">
        <v>45616</v>
      </c>
      <c r="E54" s="13" t="str">
        <f>+HYPERLINK("http://trademark.i-assist.jp/data/china/image_1912th/75465924.pdf","75465924")</f>
        <v>75465924</v>
      </c>
      <c r="F54" s="9" t="s">
        <v>233</v>
      </c>
      <c r="G54" s="12" t="s">
        <v>234</v>
      </c>
      <c r="H54" s="9" t="s">
        <v>235</v>
      </c>
      <c r="I54" s="10">
        <v>45258</v>
      </c>
    </row>
    <row r="55" spans="1:9" x14ac:dyDescent="0.15">
      <c r="A55" s="9">
        <v>54</v>
      </c>
      <c r="B55" s="9" t="s">
        <v>9</v>
      </c>
      <c r="C55" s="9">
        <v>1912</v>
      </c>
      <c r="D55" s="10">
        <v>45616</v>
      </c>
      <c r="E55" s="13" t="str">
        <f>+HYPERLINK("http://trademark.i-assist.jp/data/china/image_1912th/75484582.pdf","75484582")</f>
        <v>75484582</v>
      </c>
      <c r="F55" s="9" t="s">
        <v>236</v>
      </c>
      <c r="G55" s="9" t="s">
        <v>237</v>
      </c>
      <c r="H55" s="9" t="s">
        <v>238</v>
      </c>
      <c r="I55" s="10">
        <v>45259</v>
      </c>
    </row>
    <row r="56" spans="1:9" x14ac:dyDescent="0.15">
      <c r="A56" s="9">
        <v>55</v>
      </c>
      <c r="B56" s="9" t="s">
        <v>9</v>
      </c>
      <c r="C56" s="9">
        <v>1912</v>
      </c>
      <c r="D56" s="10">
        <v>45616</v>
      </c>
      <c r="E56" s="13" t="str">
        <f>+HYPERLINK("http://trademark.i-assist.jp/data/china/image_1912th/75624479.pdf","75624479")</f>
        <v>75624479</v>
      </c>
      <c r="F56" s="9" t="s">
        <v>239</v>
      </c>
      <c r="G56" s="9" t="s">
        <v>240</v>
      </c>
      <c r="H56" s="9" t="s">
        <v>241</v>
      </c>
      <c r="I56" s="10">
        <v>45266</v>
      </c>
    </row>
    <row r="57" spans="1:9" x14ac:dyDescent="0.15">
      <c r="A57" s="9">
        <v>56</v>
      </c>
      <c r="B57" s="9" t="s">
        <v>9</v>
      </c>
      <c r="C57" s="9">
        <v>1912</v>
      </c>
      <c r="D57" s="10">
        <v>45616</v>
      </c>
      <c r="E57" s="13" t="str">
        <f>+HYPERLINK("http://trademark.i-assist.jp/data/china/image_1912th/75711222.pdf","75711222")</f>
        <v>75711222</v>
      </c>
      <c r="F57" s="9" t="s">
        <v>242</v>
      </c>
      <c r="G57" s="12" t="s">
        <v>243</v>
      </c>
      <c r="H57" s="9" t="s">
        <v>244</v>
      </c>
      <c r="I57" s="10">
        <v>45271</v>
      </c>
    </row>
    <row r="58" spans="1:9" x14ac:dyDescent="0.15">
      <c r="A58" s="9">
        <v>57</v>
      </c>
      <c r="B58" s="9" t="s">
        <v>9</v>
      </c>
      <c r="C58" s="9">
        <v>1912</v>
      </c>
      <c r="D58" s="10">
        <v>45616</v>
      </c>
      <c r="E58" s="13" t="str">
        <f>+HYPERLINK("http://trademark.i-assist.jp/data/china/image_1912th/75715558.pdf","75715558")</f>
        <v>75715558</v>
      </c>
      <c r="F58" s="9" t="s">
        <v>245</v>
      </c>
      <c r="G58" s="9" t="s">
        <v>246</v>
      </c>
      <c r="H58" s="9" t="s">
        <v>247</v>
      </c>
      <c r="I58" s="10">
        <v>45271</v>
      </c>
    </row>
    <row r="59" spans="1:9" x14ac:dyDescent="0.15">
      <c r="A59" s="9">
        <v>58</v>
      </c>
      <c r="B59" s="9" t="s">
        <v>9</v>
      </c>
      <c r="C59" s="9">
        <v>1912</v>
      </c>
      <c r="D59" s="10">
        <v>45616</v>
      </c>
      <c r="E59" s="13" t="str">
        <f>+HYPERLINK("http://trademark.i-assist.jp/data/china/image_1912th/75768272.pdf","75768272")</f>
        <v>75768272</v>
      </c>
      <c r="F59" s="9" t="s">
        <v>248</v>
      </c>
      <c r="G59" s="12" t="s">
        <v>249</v>
      </c>
      <c r="H59" s="9" t="s">
        <v>250</v>
      </c>
      <c r="I59" s="10">
        <v>45273</v>
      </c>
    </row>
    <row r="60" spans="1:9" x14ac:dyDescent="0.15">
      <c r="A60" s="9">
        <v>59</v>
      </c>
      <c r="B60" s="9" t="s">
        <v>9</v>
      </c>
      <c r="C60" s="9">
        <v>1912</v>
      </c>
      <c r="D60" s="10">
        <v>45616</v>
      </c>
      <c r="E60" s="13" t="str">
        <f>+HYPERLINK("http://trademark.i-assist.jp/data/china/image_1912th/75799971.pdf","75799971")</f>
        <v>75799971</v>
      </c>
      <c r="F60" s="12" t="s">
        <v>251</v>
      </c>
      <c r="G60" s="9" t="s">
        <v>252</v>
      </c>
      <c r="H60" s="9" t="s">
        <v>253</v>
      </c>
      <c r="I60" s="10">
        <v>45274</v>
      </c>
    </row>
    <row r="61" spans="1:9" x14ac:dyDescent="0.15">
      <c r="A61" s="9">
        <v>60</v>
      </c>
      <c r="B61" s="9" t="s">
        <v>9</v>
      </c>
      <c r="C61" s="9">
        <v>1912</v>
      </c>
      <c r="D61" s="10">
        <v>45616</v>
      </c>
      <c r="E61" s="13" t="str">
        <f>+HYPERLINK("http://trademark.i-assist.jp/data/china/image_1912th/75904222.pdf","75904222")</f>
        <v>75904222</v>
      </c>
      <c r="F61" s="9" t="s">
        <v>254</v>
      </c>
      <c r="G61" s="9" t="s">
        <v>255</v>
      </c>
      <c r="H61" s="9" t="s">
        <v>256</v>
      </c>
      <c r="I61" s="10">
        <v>45280</v>
      </c>
    </row>
    <row r="62" spans="1:9" x14ac:dyDescent="0.15">
      <c r="A62" s="9">
        <v>61</v>
      </c>
      <c r="B62" s="9" t="s">
        <v>9</v>
      </c>
      <c r="C62" s="9">
        <v>1912</v>
      </c>
      <c r="D62" s="10">
        <v>45616</v>
      </c>
      <c r="E62" s="13" t="str">
        <f>+HYPERLINK("http://trademark.i-assist.jp/data/china/image_1912th/75924312.pdf","75924312")</f>
        <v>75924312</v>
      </c>
      <c r="F62" s="9" t="s">
        <v>257</v>
      </c>
      <c r="G62" s="9" t="s">
        <v>258</v>
      </c>
      <c r="H62" s="9" t="s">
        <v>259</v>
      </c>
      <c r="I62" s="10">
        <v>45281</v>
      </c>
    </row>
    <row r="63" spans="1:9" x14ac:dyDescent="0.15">
      <c r="A63" s="9">
        <v>62</v>
      </c>
      <c r="B63" s="9" t="s">
        <v>9</v>
      </c>
      <c r="C63" s="9">
        <v>1912</v>
      </c>
      <c r="D63" s="10">
        <v>45616</v>
      </c>
      <c r="E63" s="13" t="str">
        <f>+HYPERLINK("http://trademark.i-assist.jp/data/china/image_1912th/75945209.pdf","75945209")</f>
        <v>75945209</v>
      </c>
      <c r="F63" s="9" t="s">
        <v>260</v>
      </c>
      <c r="G63" s="9" t="s">
        <v>261</v>
      </c>
      <c r="H63" s="9" t="s">
        <v>25</v>
      </c>
      <c r="I63" s="10">
        <v>45281</v>
      </c>
    </row>
    <row r="64" spans="1:9" x14ac:dyDescent="0.15">
      <c r="A64" s="9">
        <v>63</v>
      </c>
      <c r="B64" s="9" t="s">
        <v>9</v>
      </c>
      <c r="C64" s="9">
        <v>1912</v>
      </c>
      <c r="D64" s="10">
        <v>45616</v>
      </c>
      <c r="E64" s="13" t="str">
        <f>+HYPERLINK("http://trademark.i-assist.jp/data/china/image_1912th/75946525.pdf","75946525")</f>
        <v>75946525</v>
      </c>
      <c r="F64" s="9" t="s">
        <v>262</v>
      </c>
      <c r="G64" s="12" t="s">
        <v>133</v>
      </c>
      <c r="H64" s="9" t="s">
        <v>263</v>
      </c>
      <c r="I64" s="10">
        <v>45281</v>
      </c>
    </row>
    <row r="65" spans="1:9" x14ac:dyDescent="0.15">
      <c r="A65" s="9">
        <v>64</v>
      </c>
      <c r="B65" s="9" t="s">
        <v>9</v>
      </c>
      <c r="C65" s="9">
        <v>1912</v>
      </c>
      <c r="D65" s="10">
        <v>45616</v>
      </c>
      <c r="E65" s="13" t="str">
        <f>+HYPERLINK("http://trademark.i-assist.jp/data/china/image_1912th/75960790.pdf","75960790")</f>
        <v>75960790</v>
      </c>
      <c r="F65" s="9" t="s">
        <v>264</v>
      </c>
      <c r="G65" s="12" t="s">
        <v>65</v>
      </c>
      <c r="H65" s="12" t="s">
        <v>265</v>
      </c>
      <c r="I65" s="10">
        <v>45282</v>
      </c>
    </row>
    <row r="66" spans="1:9" x14ac:dyDescent="0.15">
      <c r="A66" s="9">
        <v>65</v>
      </c>
      <c r="B66" s="9" t="s">
        <v>9</v>
      </c>
      <c r="C66" s="9">
        <v>1912</v>
      </c>
      <c r="D66" s="10">
        <v>45616</v>
      </c>
      <c r="E66" s="13" t="str">
        <f>+HYPERLINK("http://trademark.i-assist.jp/data/china/image_1912th/75996316.pdf","75996316")</f>
        <v>75996316</v>
      </c>
      <c r="F66" s="9" t="s">
        <v>266</v>
      </c>
      <c r="G66" s="12" t="s">
        <v>133</v>
      </c>
      <c r="H66" s="9" t="s">
        <v>267</v>
      </c>
      <c r="I66" s="10">
        <v>45285</v>
      </c>
    </row>
    <row r="67" spans="1:9" x14ac:dyDescent="0.15">
      <c r="A67" s="9">
        <v>66</v>
      </c>
      <c r="B67" s="9" t="s">
        <v>9</v>
      </c>
      <c r="C67" s="9">
        <v>1912</v>
      </c>
      <c r="D67" s="10">
        <v>45616</v>
      </c>
      <c r="E67" s="13" t="str">
        <f>+HYPERLINK("http://trademark.i-assist.jp/data/china/image_1912th/76001493.pdf","76001493")</f>
        <v>76001493</v>
      </c>
      <c r="F67" s="9" t="s">
        <v>268</v>
      </c>
      <c r="G67" s="12" t="s">
        <v>133</v>
      </c>
      <c r="H67" s="9" t="s">
        <v>269</v>
      </c>
      <c r="I67" s="10">
        <v>45285</v>
      </c>
    </row>
    <row r="68" spans="1:9" x14ac:dyDescent="0.15">
      <c r="A68" s="9">
        <v>67</v>
      </c>
      <c r="B68" s="9" t="s">
        <v>9</v>
      </c>
      <c r="C68" s="9">
        <v>1912</v>
      </c>
      <c r="D68" s="10">
        <v>45616</v>
      </c>
      <c r="E68" s="13" t="str">
        <f>+HYPERLINK("http://trademark.i-assist.jp/data/china/image_1912th/76016073.pdf","76016073")</f>
        <v>76016073</v>
      </c>
      <c r="F68" s="12" t="s">
        <v>15</v>
      </c>
      <c r="G68" s="9" t="s">
        <v>270</v>
      </c>
      <c r="H68" s="9" t="s">
        <v>271</v>
      </c>
      <c r="I68" s="10">
        <v>45286</v>
      </c>
    </row>
    <row r="69" spans="1:9" x14ac:dyDescent="0.15">
      <c r="A69" s="9">
        <v>68</v>
      </c>
      <c r="B69" s="9" t="s">
        <v>9</v>
      </c>
      <c r="C69" s="9">
        <v>1912</v>
      </c>
      <c r="D69" s="10">
        <v>45616</v>
      </c>
      <c r="E69" s="13" t="str">
        <f>+HYPERLINK("http://trademark.i-assist.jp/data/china/image_1912th/76019035.pdf","76019035")</f>
        <v>76019035</v>
      </c>
      <c r="F69" s="9" t="s">
        <v>272</v>
      </c>
      <c r="G69" s="12" t="s">
        <v>273</v>
      </c>
      <c r="H69" s="9" t="s">
        <v>274</v>
      </c>
      <c r="I69" s="10">
        <v>45285</v>
      </c>
    </row>
    <row r="70" spans="1:9" x14ac:dyDescent="0.15">
      <c r="A70" s="9">
        <v>69</v>
      </c>
      <c r="B70" s="9" t="s">
        <v>9</v>
      </c>
      <c r="C70" s="9">
        <v>1912</v>
      </c>
      <c r="D70" s="10">
        <v>45616</v>
      </c>
      <c r="E70" s="13" t="str">
        <f>+HYPERLINK("http://trademark.i-assist.jp/data/china/image_1912th/76073069.pdf","76073069")</f>
        <v>76073069</v>
      </c>
      <c r="F70" s="9" t="s">
        <v>275</v>
      </c>
      <c r="G70" s="9" t="s">
        <v>276</v>
      </c>
      <c r="H70" s="9" t="s">
        <v>277</v>
      </c>
      <c r="I70" s="10">
        <v>45288</v>
      </c>
    </row>
    <row r="71" spans="1:9" x14ac:dyDescent="0.15">
      <c r="A71" s="9">
        <v>70</v>
      </c>
      <c r="B71" s="9" t="s">
        <v>9</v>
      </c>
      <c r="C71" s="9">
        <v>1912</v>
      </c>
      <c r="D71" s="10">
        <v>45616</v>
      </c>
      <c r="E71" s="13" t="str">
        <f>+HYPERLINK("http://trademark.i-assist.jp/data/china/image_1912th/76147356.pdf","76147356")</f>
        <v>76147356</v>
      </c>
      <c r="F71" s="12" t="s">
        <v>278</v>
      </c>
      <c r="G71" s="12" t="s">
        <v>279</v>
      </c>
      <c r="H71" s="12" t="s">
        <v>280</v>
      </c>
      <c r="I71" s="10">
        <v>45293</v>
      </c>
    </row>
    <row r="72" spans="1:9" x14ac:dyDescent="0.15">
      <c r="A72" s="9">
        <v>71</v>
      </c>
      <c r="B72" s="9" t="s">
        <v>9</v>
      </c>
      <c r="C72" s="9">
        <v>1912</v>
      </c>
      <c r="D72" s="10">
        <v>45616</v>
      </c>
      <c r="E72" s="13" t="str">
        <f>+HYPERLINK("http://trademark.i-assist.jp/data/china/image_1912th/76172594.pdf","76172594")</f>
        <v>76172594</v>
      </c>
      <c r="F72" s="9" t="s">
        <v>281</v>
      </c>
      <c r="G72" s="12" t="s">
        <v>21</v>
      </c>
      <c r="H72" s="9" t="s">
        <v>282</v>
      </c>
      <c r="I72" s="10">
        <v>45294</v>
      </c>
    </row>
    <row r="73" spans="1:9" x14ac:dyDescent="0.15">
      <c r="A73" s="9">
        <v>72</v>
      </c>
      <c r="B73" s="9" t="s">
        <v>9</v>
      </c>
      <c r="C73" s="9">
        <v>1912</v>
      </c>
      <c r="D73" s="10">
        <v>45616</v>
      </c>
      <c r="E73" s="13" t="str">
        <f>+HYPERLINK("http://trademark.i-assist.jp/data/china/image_1912th/76327720.pdf","76327720")</f>
        <v>76327720</v>
      </c>
      <c r="F73" s="12" t="s">
        <v>283</v>
      </c>
      <c r="G73" s="12" t="s">
        <v>284</v>
      </c>
      <c r="H73" s="9" t="s">
        <v>285</v>
      </c>
      <c r="I73" s="10">
        <v>45302</v>
      </c>
    </row>
    <row r="74" spans="1:9" x14ac:dyDescent="0.15">
      <c r="A74" s="9">
        <v>73</v>
      </c>
      <c r="B74" s="9" t="s">
        <v>9</v>
      </c>
      <c r="C74" s="9">
        <v>1912</v>
      </c>
      <c r="D74" s="10">
        <v>45616</v>
      </c>
      <c r="E74" s="13" t="str">
        <f>+HYPERLINK("http://trademark.i-assist.jp/data/china/image_1912th/76438549.pdf","76438549")</f>
        <v>76438549</v>
      </c>
      <c r="F74" s="9" t="s">
        <v>286</v>
      </c>
      <c r="G74" s="9" t="s">
        <v>287</v>
      </c>
      <c r="H74" s="9" t="s">
        <v>288</v>
      </c>
      <c r="I74" s="10">
        <v>45308</v>
      </c>
    </row>
    <row r="75" spans="1:9" x14ac:dyDescent="0.15">
      <c r="A75" s="9">
        <v>74</v>
      </c>
      <c r="B75" s="9" t="s">
        <v>9</v>
      </c>
      <c r="C75" s="9">
        <v>1912</v>
      </c>
      <c r="D75" s="10">
        <v>45616</v>
      </c>
      <c r="E75" s="13" t="str">
        <f>+HYPERLINK("http://trademark.i-assist.jp/data/china/image_1912th/76452100.pdf","76452100")</f>
        <v>76452100</v>
      </c>
      <c r="F75" s="9" t="s">
        <v>289</v>
      </c>
      <c r="G75" s="9" t="s">
        <v>287</v>
      </c>
      <c r="H75" s="9" t="s">
        <v>290</v>
      </c>
      <c r="I75" s="10">
        <v>45308</v>
      </c>
    </row>
    <row r="76" spans="1:9" x14ac:dyDescent="0.15">
      <c r="A76" s="9">
        <v>75</v>
      </c>
      <c r="B76" s="9" t="s">
        <v>9</v>
      </c>
      <c r="C76" s="9">
        <v>1912</v>
      </c>
      <c r="D76" s="10">
        <v>45616</v>
      </c>
      <c r="E76" s="13" t="str">
        <f>+HYPERLINK("http://trademark.i-assist.jp/data/china/image_1912th/76620558.pdf","76620558")</f>
        <v>76620558</v>
      </c>
      <c r="F76" s="9" t="s">
        <v>291</v>
      </c>
      <c r="G76" s="11" t="s">
        <v>292</v>
      </c>
      <c r="H76" s="9" t="s">
        <v>293</v>
      </c>
      <c r="I76" s="10">
        <v>45317</v>
      </c>
    </row>
    <row r="77" spans="1:9" x14ac:dyDescent="0.15">
      <c r="A77" s="9">
        <v>76</v>
      </c>
      <c r="B77" s="9" t="s">
        <v>9</v>
      </c>
      <c r="C77" s="9">
        <v>1912</v>
      </c>
      <c r="D77" s="10">
        <v>45616</v>
      </c>
      <c r="E77" s="13" t="str">
        <f>+HYPERLINK("http://trademark.i-assist.jp/data/china/image_1912th/76632095.pdf","76632095")</f>
        <v>76632095</v>
      </c>
      <c r="F77" s="9" t="s">
        <v>294</v>
      </c>
      <c r="G77" s="9" t="s">
        <v>295</v>
      </c>
      <c r="H77" s="9" t="s">
        <v>296</v>
      </c>
      <c r="I77" s="10">
        <v>45317</v>
      </c>
    </row>
    <row r="78" spans="1:9" x14ac:dyDescent="0.15">
      <c r="A78" s="9">
        <v>77</v>
      </c>
      <c r="B78" s="9" t="s">
        <v>9</v>
      </c>
      <c r="C78" s="9">
        <v>1912</v>
      </c>
      <c r="D78" s="10">
        <v>45616</v>
      </c>
      <c r="E78" s="13" t="str">
        <f>+HYPERLINK("http://trademark.i-assist.jp/data/china/image_1912th/76835779.pdf","76835779")</f>
        <v>76835779</v>
      </c>
      <c r="F78" s="9" t="s">
        <v>297</v>
      </c>
      <c r="G78" s="9" t="s">
        <v>298</v>
      </c>
      <c r="H78" s="9" t="s">
        <v>299</v>
      </c>
      <c r="I78" s="10">
        <v>45340</v>
      </c>
    </row>
    <row r="79" spans="1:9" x14ac:dyDescent="0.15">
      <c r="A79" s="9">
        <v>78</v>
      </c>
      <c r="B79" s="9" t="s">
        <v>9</v>
      </c>
      <c r="C79" s="9">
        <v>1912</v>
      </c>
      <c r="D79" s="10">
        <v>45616</v>
      </c>
      <c r="E79" s="13" t="str">
        <f>+HYPERLINK("http://trademark.i-assist.jp/data/china/image_1912th/76887960.pdf","76887960")</f>
        <v>76887960</v>
      </c>
      <c r="F79" s="9" t="s">
        <v>300</v>
      </c>
      <c r="G79" s="9" t="s">
        <v>301</v>
      </c>
      <c r="H79" s="9" t="s">
        <v>302</v>
      </c>
      <c r="I79" s="10">
        <v>45343</v>
      </c>
    </row>
    <row r="80" spans="1:9" x14ac:dyDescent="0.15">
      <c r="A80" s="9">
        <v>79</v>
      </c>
      <c r="B80" s="9" t="s">
        <v>9</v>
      </c>
      <c r="C80" s="9">
        <v>1912</v>
      </c>
      <c r="D80" s="10">
        <v>45616</v>
      </c>
      <c r="E80" s="13" t="str">
        <f>+HYPERLINK("http://trademark.i-assist.jp/data/china/image_1912th/78025413.pdf","78025413")</f>
        <v>78025413</v>
      </c>
      <c r="F80" s="9" t="s">
        <v>303</v>
      </c>
      <c r="G80" s="9" t="s">
        <v>304</v>
      </c>
      <c r="H80" s="9" t="s">
        <v>305</v>
      </c>
      <c r="I80" s="10">
        <v>45399</v>
      </c>
    </row>
    <row r="81" spans="1:9" x14ac:dyDescent="0.15">
      <c r="A81" s="9">
        <v>80</v>
      </c>
      <c r="B81" s="9" t="s">
        <v>9</v>
      </c>
      <c r="C81" s="9">
        <v>1912</v>
      </c>
      <c r="D81" s="10">
        <v>45616</v>
      </c>
      <c r="E81" s="13" t="str">
        <f>+HYPERLINK("http://trademark.i-assist.jp/data/china/image_1912th/78057372.pdf","78057372")</f>
        <v>78057372</v>
      </c>
      <c r="F81" s="12" t="s">
        <v>306</v>
      </c>
      <c r="G81" s="9" t="s">
        <v>307</v>
      </c>
      <c r="H81" s="9" t="s">
        <v>308</v>
      </c>
      <c r="I81" s="10">
        <v>45400</v>
      </c>
    </row>
    <row r="82" spans="1:9" x14ac:dyDescent="0.15">
      <c r="A82" s="9">
        <v>81</v>
      </c>
      <c r="B82" s="9" t="s">
        <v>9</v>
      </c>
      <c r="C82" s="9">
        <v>1912</v>
      </c>
      <c r="D82" s="10">
        <v>45616</v>
      </c>
      <c r="E82" s="13" t="str">
        <f>+HYPERLINK("http://trademark.i-assist.jp/data/china/image_1912th/78099224.pdf","78099224")</f>
        <v>78099224</v>
      </c>
      <c r="F82" s="12" t="s">
        <v>15</v>
      </c>
      <c r="G82" s="9" t="s">
        <v>309</v>
      </c>
      <c r="H82" s="9" t="s">
        <v>310</v>
      </c>
      <c r="I82" s="10">
        <v>45401</v>
      </c>
    </row>
    <row r="83" spans="1:9" x14ac:dyDescent="0.15">
      <c r="A83" s="9">
        <v>82</v>
      </c>
      <c r="B83" s="9" t="s">
        <v>9</v>
      </c>
      <c r="C83" s="9">
        <v>1912</v>
      </c>
      <c r="D83" s="10">
        <v>45616</v>
      </c>
      <c r="E83" s="13" t="str">
        <f>+HYPERLINK("http://trademark.i-assist.jp/data/china/image_1912th/78347931.pdf","78347931")</f>
        <v>78347931</v>
      </c>
      <c r="F83" s="9" t="s">
        <v>311</v>
      </c>
      <c r="G83" s="9" t="s">
        <v>312</v>
      </c>
      <c r="H83" s="9" t="s">
        <v>313</v>
      </c>
      <c r="I83" s="10">
        <v>45411</v>
      </c>
    </row>
    <row r="84" spans="1:9" x14ac:dyDescent="0.15">
      <c r="A84" s="9">
        <v>83</v>
      </c>
      <c r="B84" s="9" t="s">
        <v>9</v>
      </c>
      <c r="C84" s="9">
        <v>1912</v>
      </c>
      <c r="D84" s="10">
        <v>45616</v>
      </c>
      <c r="E84" s="13" t="str">
        <f>+HYPERLINK("http://trademark.i-assist.jp/data/china/image_1912th/78441304.pdf","78441304")</f>
        <v>78441304</v>
      </c>
      <c r="F84" s="9" t="s">
        <v>314</v>
      </c>
      <c r="G84" s="9" t="s">
        <v>315</v>
      </c>
      <c r="H84" s="9" t="s">
        <v>316</v>
      </c>
      <c r="I84" s="10">
        <v>45420</v>
      </c>
    </row>
    <row r="85" spans="1:9" x14ac:dyDescent="0.15">
      <c r="A85" s="9">
        <v>84</v>
      </c>
      <c r="B85" s="9" t="s">
        <v>9</v>
      </c>
      <c r="C85" s="9">
        <v>1912</v>
      </c>
      <c r="D85" s="10">
        <v>45616</v>
      </c>
      <c r="E85" s="13" t="str">
        <f>+HYPERLINK("http://trademark.i-assist.jp/data/china/image_1912th/78688986.pdf","78688986")</f>
        <v>78688986</v>
      </c>
      <c r="F85" s="9" t="s">
        <v>317</v>
      </c>
      <c r="G85" s="9" t="s">
        <v>40</v>
      </c>
      <c r="H85" s="9" t="s">
        <v>318</v>
      </c>
      <c r="I85" s="10">
        <v>45432</v>
      </c>
    </row>
    <row r="86" spans="1:9" x14ac:dyDescent="0.15">
      <c r="A86" s="9">
        <v>85</v>
      </c>
      <c r="B86" s="9" t="s">
        <v>9</v>
      </c>
      <c r="C86" s="9">
        <v>1912</v>
      </c>
      <c r="D86" s="10">
        <v>45616</v>
      </c>
      <c r="E86" s="13" t="str">
        <f>+HYPERLINK("http://trademark.i-assist.jp/data/china/image_1912th/78708800.pdf","78708800")</f>
        <v>78708800</v>
      </c>
      <c r="F86" s="9" t="s">
        <v>319</v>
      </c>
      <c r="G86" s="9" t="s">
        <v>320</v>
      </c>
      <c r="H86" s="9" t="s">
        <v>321</v>
      </c>
      <c r="I86" s="10">
        <v>45432</v>
      </c>
    </row>
    <row r="87" spans="1:9" x14ac:dyDescent="0.15">
      <c r="A87" s="9">
        <v>86</v>
      </c>
      <c r="B87" s="9" t="s">
        <v>9</v>
      </c>
      <c r="C87" s="9">
        <v>1912</v>
      </c>
      <c r="D87" s="10">
        <v>45616</v>
      </c>
      <c r="E87" s="13" t="str">
        <f>+HYPERLINK("http://trademark.i-assist.jp/data/china/image_1912th/78715388.pdf","78715388")</f>
        <v>78715388</v>
      </c>
      <c r="F87" s="9" t="s">
        <v>317</v>
      </c>
      <c r="G87" s="9" t="s">
        <v>40</v>
      </c>
      <c r="H87" s="9" t="s">
        <v>322</v>
      </c>
      <c r="I87" s="10">
        <v>45432</v>
      </c>
    </row>
    <row r="88" spans="1:9" x14ac:dyDescent="0.15">
      <c r="A88" s="9">
        <v>87</v>
      </c>
      <c r="B88" s="9" t="s">
        <v>9</v>
      </c>
      <c r="C88" s="9">
        <v>1912</v>
      </c>
      <c r="D88" s="10">
        <v>45616</v>
      </c>
      <c r="E88" s="13" t="str">
        <f>+HYPERLINK("http://trademark.i-assist.jp/data/china/image_1912th/78719919.pdf","78719919")</f>
        <v>78719919</v>
      </c>
      <c r="F88" s="9" t="s">
        <v>323</v>
      </c>
      <c r="G88" s="9" t="s">
        <v>324</v>
      </c>
      <c r="H88" s="12" t="s">
        <v>325</v>
      </c>
      <c r="I88" s="10">
        <v>45433</v>
      </c>
    </row>
    <row r="89" spans="1:9" x14ac:dyDescent="0.15">
      <c r="A89" s="9">
        <v>88</v>
      </c>
      <c r="B89" s="9" t="s">
        <v>9</v>
      </c>
      <c r="C89" s="9">
        <v>1912</v>
      </c>
      <c r="D89" s="10">
        <v>45616</v>
      </c>
      <c r="E89" s="13" t="str">
        <f>+HYPERLINK("http://trademark.i-assist.jp/data/china/image_1912th/78733293.pdf","78733293")</f>
        <v>78733293</v>
      </c>
      <c r="F89" s="9" t="s">
        <v>326</v>
      </c>
      <c r="G89" s="9" t="s">
        <v>327</v>
      </c>
      <c r="H89" s="9" t="s">
        <v>328</v>
      </c>
      <c r="I89" s="10">
        <v>45433</v>
      </c>
    </row>
    <row r="90" spans="1:9" x14ac:dyDescent="0.15">
      <c r="A90" s="9">
        <v>89</v>
      </c>
      <c r="B90" s="9" t="s">
        <v>9</v>
      </c>
      <c r="C90" s="9">
        <v>1912</v>
      </c>
      <c r="D90" s="10">
        <v>45616</v>
      </c>
      <c r="E90" s="13" t="str">
        <f>+HYPERLINK("http://trademark.i-assist.jp/data/china/image_1912th/78755894.pdf","78755894")</f>
        <v>78755894</v>
      </c>
      <c r="F90" s="12" t="s">
        <v>15</v>
      </c>
      <c r="G90" s="12" t="s">
        <v>329</v>
      </c>
      <c r="H90" s="9" t="s">
        <v>330</v>
      </c>
      <c r="I90" s="10">
        <v>45434</v>
      </c>
    </row>
    <row r="91" spans="1:9" x14ac:dyDescent="0.15">
      <c r="A91" s="9">
        <v>90</v>
      </c>
      <c r="B91" s="9" t="s">
        <v>9</v>
      </c>
      <c r="C91" s="9">
        <v>1912</v>
      </c>
      <c r="D91" s="10">
        <v>45616</v>
      </c>
      <c r="E91" s="13" t="str">
        <f>+HYPERLINK("http://trademark.i-assist.jp/data/china/image_1912th/78964862A.pdf","78964862A")</f>
        <v>78964862A</v>
      </c>
      <c r="F91" s="9" t="s">
        <v>331</v>
      </c>
      <c r="G91" s="9" t="s">
        <v>332</v>
      </c>
      <c r="H91" s="9" t="s">
        <v>333</v>
      </c>
      <c r="I91" s="10">
        <v>45443</v>
      </c>
    </row>
    <row r="92" spans="1:9" x14ac:dyDescent="0.15">
      <c r="A92" s="9">
        <v>91</v>
      </c>
      <c r="B92" s="9" t="s">
        <v>9</v>
      </c>
      <c r="C92" s="9">
        <v>1912</v>
      </c>
      <c r="D92" s="10">
        <v>45616</v>
      </c>
      <c r="E92" s="13" t="str">
        <f>+HYPERLINK("http://trademark.i-assist.jp/data/china/image_1912th/78965045.pdf","78965045")</f>
        <v>78965045</v>
      </c>
      <c r="F92" s="12" t="s">
        <v>334</v>
      </c>
      <c r="G92" s="9" t="s">
        <v>335</v>
      </c>
      <c r="H92" s="9" t="s">
        <v>336</v>
      </c>
      <c r="I92" s="10">
        <v>45443</v>
      </c>
    </row>
    <row r="93" spans="1:9" x14ac:dyDescent="0.15">
      <c r="A93" s="9">
        <v>92</v>
      </c>
      <c r="B93" s="9" t="s">
        <v>9</v>
      </c>
      <c r="C93" s="9">
        <v>1912</v>
      </c>
      <c r="D93" s="10">
        <v>45616</v>
      </c>
      <c r="E93" s="13" t="str">
        <f>+HYPERLINK("http://trademark.i-assist.jp/data/china/image_1912th/79023844.pdf","79023844")</f>
        <v>79023844</v>
      </c>
      <c r="F93" s="9" t="s">
        <v>337</v>
      </c>
      <c r="G93" s="9" t="s">
        <v>338</v>
      </c>
      <c r="H93" s="9" t="s">
        <v>339</v>
      </c>
      <c r="I93" s="10">
        <v>45447</v>
      </c>
    </row>
    <row r="94" spans="1:9" x14ac:dyDescent="0.15">
      <c r="A94" s="9">
        <v>93</v>
      </c>
      <c r="B94" s="9" t="s">
        <v>9</v>
      </c>
      <c r="C94" s="9">
        <v>1912</v>
      </c>
      <c r="D94" s="10">
        <v>45616</v>
      </c>
      <c r="E94" s="13" t="str">
        <f>+HYPERLINK("http://trademark.i-assist.jp/data/china/image_1912th/79071835.pdf","79071835")</f>
        <v>79071835</v>
      </c>
      <c r="F94" s="9" t="s">
        <v>340</v>
      </c>
      <c r="G94" s="12" t="s">
        <v>341</v>
      </c>
      <c r="H94" s="9" t="s">
        <v>342</v>
      </c>
      <c r="I94" s="10">
        <v>45449</v>
      </c>
    </row>
    <row r="95" spans="1:9" x14ac:dyDescent="0.15">
      <c r="A95" s="9">
        <v>94</v>
      </c>
      <c r="B95" s="9" t="s">
        <v>9</v>
      </c>
      <c r="C95" s="9">
        <v>1912</v>
      </c>
      <c r="D95" s="10">
        <v>45616</v>
      </c>
      <c r="E95" s="13" t="str">
        <f>+HYPERLINK("http://trademark.i-assist.jp/data/china/image_1912th/79134214.pdf","79134214")</f>
        <v>79134214</v>
      </c>
      <c r="F95" s="9" t="s">
        <v>343</v>
      </c>
      <c r="G95" s="12" t="s">
        <v>344</v>
      </c>
      <c r="H95" s="9" t="s">
        <v>345</v>
      </c>
      <c r="I95" s="10">
        <v>45454</v>
      </c>
    </row>
    <row r="96" spans="1:9" x14ac:dyDescent="0.15">
      <c r="A96" s="9">
        <v>95</v>
      </c>
      <c r="B96" s="9" t="s">
        <v>9</v>
      </c>
      <c r="C96" s="9">
        <v>1912</v>
      </c>
      <c r="D96" s="10">
        <v>45616</v>
      </c>
      <c r="E96" s="13" t="str">
        <f>+HYPERLINK("http://trademark.i-assist.jp/data/china/image_1912th/79144293.pdf","79144293")</f>
        <v>79144293</v>
      </c>
      <c r="F96" s="9" t="s">
        <v>346</v>
      </c>
      <c r="G96" s="12" t="s">
        <v>347</v>
      </c>
      <c r="H96" s="9" t="s">
        <v>348</v>
      </c>
      <c r="I96" s="10">
        <v>45454</v>
      </c>
    </row>
    <row r="97" spans="1:9" x14ac:dyDescent="0.15">
      <c r="A97" s="9">
        <v>96</v>
      </c>
      <c r="B97" s="9" t="s">
        <v>9</v>
      </c>
      <c r="C97" s="9">
        <v>1912</v>
      </c>
      <c r="D97" s="10">
        <v>45616</v>
      </c>
      <c r="E97" s="13" t="str">
        <f>+HYPERLINK("http://trademark.i-assist.jp/data/china/image_1912th/79172436.pdf","79172436")</f>
        <v>79172436</v>
      </c>
      <c r="F97" s="12" t="s">
        <v>349</v>
      </c>
      <c r="G97" s="9" t="s">
        <v>350</v>
      </c>
      <c r="H97" s="9" t="s">
        <v>351</v>
      </c>
      <c r="I97" s="10">
        <v>45455</v>
      </c>
    </row>
    <row r="98" spans="1:9" x14ac:dyDescent="0.15">
      <c r="A98" s="9">
        <v>97</v>
      </c>
      <c r="B98" s="9" t="s">
        <v>9</v>
      </c>
      <c r="C98" s="9">
        <v>1912</v>
      </c>
      <c r="D98" s="10">
        <v>45616</v>
      </c>
      <c r="E98" s="13" t="str">
        <f>+HYPERLINK("http://trademark.i-assist.jp/data/china/image_1912th/79189031.pdf","79189031")</f>
        <v>79189031</v>
      </c>
      <c r="F98" s="9" t="s">
        <v>352</v>
      </c>
      <c r="G98" s="9" t="s">
        <v>353</v>
      </c>
      <c r="H98" s="9" t="s">
        <v>354</v>
      </c>
      <c r="I98" s="10">
        <v>45456</v>
      </c>
    </row>
    <row r="99" spans="1:9" x14ac:dyDescent="0.15">
      <c r="A99" s="9">
        <v>98</v>
      </c>
      <c r="B99" s="9" t="s">
        <v>9</v>
      </c>
      <c r="C99" s="9">
        <v>1912</v>
      </c>
      <c r="D99" s="10">
        <v>45616</v>
      </c>
      <c r="E99" s="13" t="str">
        <f>+HYPERLINK("http://trademark.i-assist.jp/data/china/image_1912th/79211689.pdf","79211689")</f>
        <v>79211689</v>
      </c>
      <c r="F99" s="12" t="s">
        <v>15</v>
      </c>
      <c r="G99" s="9" t="s">
        <v>355</v>
      </c>
      <c r="H99" s="9" t="s">
        <v>356</v>
      </c>
      <c r="I99" s="10">
        <v>45457</v>
      </c>
    </row>
    <row r="100" spans="1:9" x14ac:dyDescent="0.15">
      <c r="A100" s="9">
        <v>99</v>
      </c>
      <c r="B100" s="9" t="s">
        <v>9</v>
      </c>
      <c r="C100" s="9">
        <v>1912</v>
      </c>
      <c r="D100" s="10">
        <v>45616</v>
      </c>
      <c r="E100" s="13" t="str">
        <f>+HYPERLINK("http://trademark.i-assist.jp/data/china/image_1912th/79259263.pdf","79259263")</f>
        <v>79259263</v>
      </c>
      <c r="F100" s="9" t="s">
        <v>357</v>
      </c>
      <c r="G100" s="9" t="s">
        <v>358</v>
      </c>
      <c r="H100" s="9" t="s">
        <v>359</v>
      </c>
      <c r="I100" s="10">
        <v>45460</v>
      </c>
    </row>
    <row r="101" spans="1:9" x14ac:dyDescent="0.15">
      <c r="A101" s="9">
        <v>100</v>
      </c>
      <c r="B101" s="9" t="s">
        <v>9</v>
      </c>
      <c r="C101" s="9">
        <v>1912</v>
      </c>
      <c r="D101" s="10">
        <v>45616</v>
      </c>
      <c r="E101" s="13" t="str">
        <f>+HYPERLINK("http://trademark.i-assist.jp/data/china/image_1912th/79282446.pdf","79282446")</f>
        <v>79282446</v>
      </c>
      <c r="F101" s="12" t="s">
        <v>360</v>
      </c>
      <c r="G101" s="9" t="s">
        <v>361</v>
      </c>
      <c r="H101" s="9" t="s">
        <v>362</v>
      </c>
      <c r="I101" s="10">
        <v>45461</v>
      </c>
    </row>
    <row r="102" spans="1:9" x14ac:dyDescent="0.15">
      <c r="A102" s="9">
        <v>101</v>
      </c>
      <c r="B102" s="9" t="s">
        <v>9</v>
      </c>
      <c r="C102" s="9">
        <v>1912</v>
      </c>
      <c r="D102" s="10">
        <v>45616</v>
      </c>
      <c r="E102" s="13" t="str">
        <f>+HYPERLINK("http://trademark.i-assist.jp/data/china/image_1912th/79320705.pdf","79320705")</f>
        <v>79320705</v>
      </c>
      <c r="F102" s="9" t="s">
        <v>363</v>
      </c>
      <c r="G102" s="12" t="s">
        <v>364</v>
      </c>
      <c r="H102" s="9" t="s">
        <v>365</v>
      </c>
      <c r="I102" s="10">
        <v>45462</v>
      </c>
    </row>
    <row r="103" spans="1:9" x14ac:dyDescent="0.15">
      <c r="A103" s="9">
        <v>102</v>
      </c>
      <c r="B103" s="9" t="s">
        <v>9</v>
      </c>
      <c r="C103" s="9">
        <v>1912</v>
      </c>
      <c r="D103" s="10">
        <v>45616</v>
      </c>
      <c r="E103" s="13" t="str">
        <f>+HYPERLINK("http://trademark.i-assist.jp/data/china/image_1912th/79326709.pdf","79326709")</f>
        <v>79326709</v>
      </c>
      <c r="F103" s="9" t="s">
        <v>366</v>
      </c>
      <c r="G103" s="9" t="s">
        <v>367</v>
      </c>
      <c r="H103" s="9" t="s">
        <v>368</v>
      </c>
      <c r="I103" s="10">
        <v>45463</v>
      </c>
    </row>
    <row r="104" spans="1:9" x14ac:dyDescent="0.15">
      <c r="A104" s="9">
        <v>103</v>
      </c>
      <c r="B104" s="9" t="s">
        <v>9</v>
      </c>
      <c r="C104" s="9">
        <v>1912</v>
      </c>
      <c r="D104" s="10">
        <v>45616</v>
      </c>
      <c r="E104" s="13" t="str">
        <f>+HYPERLINK("http://trademark.i-assist.jp/data/china/image_1912th/79351957.pdf","79351957")</f>
        <v>79351957</v>
      </c>
      <c r="F104" s="9" t="s">
        <v>369</v>
      </c>
      <c r="G104" s="9" t="s">
        <v>370</v>
      </c>
      <c r="H104" s="9" t="s">
        <v>371</v>
      </c>
      <c r="I104" s="10">
        <v>45464</v>
      </c>
    </row>
    <row r="105" spans="1:9" x14ac:dyDescent="0.15">
      <c r="A105" s="9">
        <v>104</v>
      </c>
      <c r="B105" s="9" t="s">
        <v>9</v>
      </c>
      <c r="C105" s="9">
        <v>1912</v>
      </c>
      <c r="D105" s="10">
        <v>45616</v>
      </c>
      <c r="E105" s="13" t="str">
        <f>+HYPERLINK("http://trademark.i-assist.jp/data/china/image_1912th/79358704.pdf","79358704")</f>
        <v>79358704</v>
      </c>
      <c r="F105" s="12" t="s">
        <v>372</v>
      </c>
      <c r="G105" s="9" t="s">
        <v>373</v>
      </c>
      <c r="H105" s="9" t="s">
        <v>374</v>
      </c>
      <c r="I105" s="10">
        <v>45464</v>
      </c>
    </row>
    <row r="106" spans="1:9" x14ac:dyDescent="0.15">
      <c r="A106" s="9">
        <v>105</v>
      </c>
      <c r="B106" s="9" t="s">
        <v>9</v>
      </c>
      <c r="C106" s="9">
        <v>1912</v>
      </c>
      <c r="D106" s="10">
        <v>45616</v>
      </c>
      <c r="E106" s="13" t="str">
        <f>+HYPERLINK("http://trademark.i-assist.jp/data/china/image_1912th/79369785.pdf","79369785")</f>
        <v>79369785</v>
      </c>
      <c r="F106" s="9" t="s">
        <v>375</v>
      </c>
      <c r="G106" s="9" t="s">
        <v>376</v>
      </c>
      <c r="H106" s="9" t="s">
        <v>377</v>
      </c>
      <c r="I106" s="10">
        <v>45464</v>
      </c>
    </row>
    <row r="107" spans="1:9" x14ac:dyDescent="0.15">
      <c r="A107" s="9">
        <v>106</v>
      </c>
      <c r="B107" s="9" t="s">
        <v>9</v>
      </c>
      <c r="C107" s="9">
        <v>1912</v>
      </c>
      <c r="D107" s="10">
        <v>45616</v>
      </c>
      <c r="E107" s="13" t="str">
        <f>+HYPERLINK("http://trademark.i-assist.jp/data/china/image_1912th/79370502.pdf","79370502")</f>
        <v>79370502</v>
      </c>
      <c r="F107" s="9" t="s">
        <v>378</v>
      </c>
      <c r="G107" s="9" t="s">
        <v>379</v>
      </c>
      <c r="H107" s="9" t="s">
        <v>380</v>
      </c>
      <c r="I107" s="10">
        <v>45464</v>
      </c>
    </row>
    <row r="108" spans="1:9" x14ac:dyDescent="0.15">
      <c r="A108" s="9">
        <v>107</v>
      </c>
      <c r="B108" s="9" t="s">
        <v>9</v>
      </c>
      <c r="C108" s="9">
        <v>1912</v>
      </c>
      <c r="D108" s="10">
        <v>45616</v>
      </c>
      <c r="E108" s="13" t="str">
        <f>+HYPERLINK("http://trademark.i-assist.jp/data/china/image_1912th/79374435.pdf","79374435")</f>
        <v>79374435</v>
      </c>
      <c r="F108" s="12" t="s">
        <v>381</v>
      </c>
      <c r="G108" s="12" t="s">
        <v>382</v>
      </c>
      <c r="H108" s="9" t="s">
        <v>383</v>
      </c>
      <c r="I108" s="10">
        <v>45464</v>
      </c>
    </row>
    <row r="109" spans="1:9" x14ac:dyDescent="0.15">
      <c r="A109" s="9">
        <v>108</v>
      </c>
      <c r="B109" s="9" t="s">
        <v>9</v>
      </c>
      <c r="C109" s="9">
        <v>1912</v>
      </c>
      <c r="D109" s="10">
        <v>45616</v>
      </c>
      <c r="E109" s="13" t="str">
        <f>+HYPERLINK("http://trademark.i-assist.jp/data/china/image_1912th/79413014.pdf","79413014")</f>
        <v>79413014</v>
      </c>
      <c r="F109" s="9" t="s">
        <v>384</v>
      </c>
      <c r="G109" s="12" t="s">
        <v>28</v>
      </c>
      <c r="H109" s="12" t="s">
        <v>385</v>
      </c>
      <c r="I109" s="10">
        <v>45468</v>
      </c>
    </row>
    <row r="110" spans="1:9" x14ac:dyDescent="0.15">
      <c r="A110" s="9">
        <v>109</v>
      </c>
      <c r="B110" s="9" t="s">
        <v>9</v>
      </c>
      <c r="C110" s="9">
        <v>1912</v>
      </c>
      <c r="D110" s="10">
        <v>45616</v>
      </c>
      <c r="E110" s="13" t="str">
        <f>+HYPERLINK("http://trademark.i-assist.jp/data/china/image_1912th/79422133.pdf","79422133")</f>
        <v>79422133</v>
      </c>
      <c r="F110" s="9" t="s">
        <v>386</v>
      </c>
      <c r="G110" s="12" t="s">
        <v>387</v>
      </c>
      <c r="H110" s="9" t="s">
        <v>388</v>
      </c>
      <c r="I110" s="10">
        <v>45468</v>
      </c>
    </row>
    <row r="111" spans="1:9" x14ac:dyDescent="0.15">
      <c r="A111" s="9">
        <v>110</v>
      </c>
      <c r="B111" s="9" t="s">
        <v>9</v>
      </c>
      <c r="C111" s="9">
        <v>1912</v>
      </c>
      <c r="D111" s="10">
        <v>45616</v>
      </c>
      <c r="E111" s="13" t="str">
        <f>+HYPERLINK("http://trademark.i-assist.jp/data/china/image_1912th/79426444.pdf","79426444")</f>
        <v>79426444</v>
      </c>
      <c r="F111" s="9" t="s">
        <v>389</v>
      </c>
      <c r="G111" s="12" t="s">
        <v>390</v>
      </c>
      <c r="H111" s="9" t="s">
        <v>391</v>
      </c>
      <c r="I111" s="10">
        <v>45468</v>
      </c>
    </row>
    <row r="112" spans="1:9" x14ac:dyDescent="0.15">
      <c r="A112" s="9">
        <v>111</v>
      </c>
      <c r="B112" s="9" t="s">
        <v>9</v>
      </c>
      <c r="C112" s="9">
        <v>1912</v>
      </c>
      <c r="D112" s="10">
        <v>45616</v>
      </c>
      <c r="E112" s="13" t="str">
        <f>+HYPERLINK("http://trademark.i-assist.jp/data/china/image_1912th/79436461.pdf","79436461")</f>
        <v>79436461</v>
      </c>
      <c r="F112" s="9" t="s">
        <v>392</v>
      </c>
      <c r="G112" s="12" t="s">
        <v>28</v>
      </c>
      <c r="H112" s="9" t="s">
        <v>393</v>
      </c>
      <c r="I112" s="10">
        <v>45468</v>
      </c>
    </row>
    <row r="113" spans="1:9" x14ac:dyDescent="0.15">
      <c r="A113" s="9">
        <v>112</v>
      </c>
      <c r="B113" s="9" t="s">
        <v>9</v>
      </c>
      <c r="C113" s="9">
        <v>1912</v>
      </c>
      <c r="D113" s="10">
        <v>45616</v>
      </c>
      <c r="E113" s="13" t="str">
        <f>+HYPERLINK("http://trademark.i-assist.jp/data/china/image_1912th/79446327.pdf","79446327")</f>
        <v>79446327</v>
      </c>
      <c r="F113" s="12" t="s">
        <v>394</v>
      </c>
      <c r="G113" s="12" t="s">
        <v>395</v>
      </c>
      <c r="H113" s="9" t="s">
        <v>396</v>
      </c>
      <c r="I113" s="10">
        <v>45469</v>
      </c>
    </row>
    <row r="114" spans="1:9" x14ac:dyDescent="0.15">
      <c r="A114" s="9">
        <v>113</v>
      </c>
      <c r="B114" s="9" t="s">
        <v>9</v>
      </c>
      <c r="C114" s="9">
        <v>1912</v>
      </c>
      <c r="D114" s="10">
        <v>45616</v>
      </c>
      <c r="E114" s="13" t="str">
        <f>+HYPERLINK("http://trademark.i-assist.jp/data/china/image_1912th/79465718.pdf","79465718")</f>
        <v>79465718</v>
      </c>
      <c r="F114" s="9" t="s">
        <v>397</v>
      </c>
      <c r="G114" s="9" t="s">
        <v>398</v>
      </c>
      <c r="H114" s="12" t="s">
        <v>399</v>
      </c>
      <c r="I114" s="10">
        <v>45470</v>
      </c>
    </row>
    <row r="115" spans="1:9" x14ac:dyDescent="0.15">
      <c r="A115" s="9">
        <v>114</v>
      </c>
      <c r="B115" s="9" t="s">
        <v>9</v>
      </c>
      <c r="C115" s="9">
        <v>1912</v>
      </c>
      <c r="D115" s="10">
        <v>45616</v>
      </c>
      <c r="E115" s="13" t="str">
        <f>+HYPERLINK("http://trademark.i-assist.jp/data/china/image_1912th/79468709.pdf","79468709")</f>
        <v>79468709</v>
      </c>
      <c r="F115" s="9" t="s">
        <v>400</v>
      </c>
      <c r="G115" s="12" t="s">
        <v>17</v>
      </c>
      <c r="H115" s="9" t="s">
        <v>401</v>
      </c>
      <c r="I115" s="10">
        <v>45470</v>
      </c>
    </row>
    <row r="116" spans="1:9" x14ac:dyDescent="0.15">
      <c r="A116" s="9">
        <v>115</v>
      </c>
      <c r="B116" s="9" t="s">
        <v>9</v>
      </c>
      <c r="C116" s="9">
        <v>1912</v>
      </c>
      <c r="D116" s="10">
        <v>45616</v>
      </c>
      <c r="E116" s="13" t="str">
        <f>+HYPERLINK("http://trademark.i-assist.jp/data/china/image_1912th/79490956.pdf","79490956")</f>
        <v>79490956</v>
      </c>
      <c r="F116" s="9" t="s">
        <v>402</v>
      </c>
      <c r="G116" s="9" t="s">
        <v>403</v>
      </c>
      <c r="H116" s="9" t="s">
        <v>404</v>
      </c>
      <c r="I116" s="10">
        <v>45471</v>
      </c>
    </row>
    <row r="117" spans="1:9" x14ac:dyDescent="0.15">
      <c r="A117" s="9">
        <v>116</v>
      </c>
      <c r="B117" s="9" t="s">
        <v>9</v>
      </c>
      <c r="C117" s="9">
        <v>1912</v>
      </c>
      <c r="D117" s="10">
        <v>45616</v>
      </c>
      <c r="E117" s="13" t="str">
        <f>+HYPERLINK("http://trademark.i-assist.jp/data/china/image_1912th/79491381.pdf","79491381")</f>
        <v>79491381</v>
      </c>
      <c r="F117" s="9" t="s">
        <v>405</v>
      </c>
      <c r="G117" s="11" t="s">
        <v>22</v>
      </c>
      <c r="H117" s="9" t="s">
        <v>406</v>
      </c>
      <c r="I117" s="10">
        <v>45471</v>
      </c>
    </row>
    <row r="118" spans="1:9" x14ac:dyDescent="0.15">
      <c r="A118" s="9">
        <v>117</v>
      </c>
      <c r="B118" s="9" t="s">
        <v>9</v>
      </c>
      <c r="C118" s="9">
        <v>1912</v>
      </c>
      <c r="D118" s="10">
        <v>45616</v>
      </c>
      <c r="E118" s="13" t="str">
        <f>+HYPERLINK("http://trademark.i-assist.jp/data/china/image_1912th/79491574.pdf","79491574")</f>
        <v>79491574</v>
      </c>
      <c r="F118" s="9" t="s">
        <v>407</v>
      </c>
      <c r="G118" s="9" t="s">
        <v>408</v>
      </c>
      <c r="H118" s="9" t="s">
        <v>409</v>
      </c>
      <c r="I118" s="10">
        <v>45471</v>
      </c>
    </row>
    <row r="119" spans="1:9" x14ac:dyDescent="0.15">
      <c r="A119" s="9">
        <v>118</v>
      </c>
      <c r="B119" s="9" t="s">
        <v>9</v>
      </c>
      <c r="C119" s="9">
        <v>1912</v>
      </c>
      <c r="D119" s="10">
        <v>45616</v>
      </c>
      <c r="E119" s="13" t="str">
        <f>+HYPERLINK("http://trademark.i-assist.jp/data/china/image_1912th/79497675.pdf","79497675")</f>
        <v>79497675</v>
      </c>
      <c r="F119" s="9" t="s">
        <v>410</v>
      </c>
      <c r="G119" s="9" t="s">
        <v>411</v>
      </c>
      <c r="H119" s="9" t="s">
        <v>412</v>
      </c>
      <c r="I119" s="10">
        <v>45471</v>
      </c>
    </row>
    <row r="120" spans="1:9" x14ac:dyDescent="0.15">
      <c r="A120" s="9">
        <v>119</v>
      </c>
      <c r="B120" s="9" t="s">
        <v>9</v>
      </c>
      <c r="C120" s="9">
        <v>1912</v>
      </c>
      <c r="D120" s="10">
        <v>45616</v>
      </c>
      <c r="E120" s="13" t="str">
        <f>+HYPERLINK("http://trademark.i-assist.jp/data/china/image_1912th/79500007.pdf","79500007")</f>
        <v>79500007</v>
      </c>
      <c r="F120" s="9" t="s">
        <v>413</v>
      </c>
      <c r="G120" s="9" t="s">
        <v>414</v>
      </c>
      <c r="H120" s="9" t="s">
        <v>415</v>
      </c>
      <c r="I120" s="10">
        <v>45471</v>
      </c>
    </row>
    <row r="121" spans="1:9" x14ac:dyDescent="0.15">
      <c r="A121" s="9">
        <v>120</v>
      </c>
      <c r="B121" s="9" t="s">
        <v>9</v>
      </c>
      <c r="C121" s="9">
        <v>1912</v>
      </c>
      <c r="D121" s="10">
        <v>45616</v>
      </c>
      <c r="E121" s="13" t="str">
        <f>+HYPERLINK("http://trademark.i-assist.jp/data/china/image_1912th/79505503.pdf","79505503")</f>
        <v>79505503</v>
      </c>
      <c r="F121" s="9" t="s">
        <v>416</v>
      </c>
      <c r="G121" s="9" t="s">
        <v>403</v>
      </c>
      <c r="H121" s="12" t="s">
        <v>417</v>
      </c>
      <c r="I121" s="10">
        <v>45471</v>
      </c>
    </row>
    <row r="122" spans="1:9" x14ac:dyDescent="0.15">
      <c r="A122" s="9">
        <v>121</v>
      </c>
      <c r="B122" s="9" t="s">
        <v>9</v>
      </c>
      <c r="C122" s="9">
        <v>1912</v>
      </c>
      <c r="D122" s="10">
        <v>45616</v>
      </c>
      <c r="E122" s="13" t="str">
        <f>+HYPERLINK("http://trademark.i-assist.jp/data/china/image_1912th/79515420.pdf","79515420")</f>
        <v>79515420</v>
      </c>
      <c r="F122" s="12" t="s">
        <v>418</v>
      </c>
      <c r="G122" s="9" t="s">
        <v>419</v>
      </c>
      <c r="H122" s="9" t="s">
        <v>420</v>
      </c>
      <c r="I122" s="10">
        <v>45472</v>
      </c>
    </row>
    <row r="123" spans="1:9" x14ac:dyDescent="0.15">
      <c r="A123" s="9">
        <v>122</v>
      </c>
      <c r="B123" s="9" t="s">
        <v>9</v>
      </c>
      <c r="C123" s="9">
        <v>1912</v>
      </c>
      <c r="D123" s="10">
        <v>45616</v>
      </c>
      <c r="E123" s="13" t="str">
        <f>+HYPERLINK("http://trademark.i-assist.jp/data/china/image_1912th/79532366A.pdf","79532366A")</f>
        <v>79532366A</v>
      </c>
      <c r="F123" s="9" t="s">
        <v>421</v>
      </c>
      <c r="G123" s="11" t="s">
        <v>422</v>
      </c>
      <c r="H123" s="9" t="s">
        <v>423</v>
      </c>
      <c r="I123" s="10">
        <v>45474</v>
      </c>
    </row>
    <row r="124" spans="1:9" x14ac:dyDescent="0.15">
      <c r="A124" s="9">
        <v>123</v>
      </c>
      <c r="B124" s="9" t="s">
        <v>9</v>
      </c>
      <c r="C124" s="9">
        <v>1912</v>
      </c>
      <c r="D124" s="10">
        <v>45616</v>
      </c>
      <c r="E124" s="13" t="str">
        <f>+HYPERLINK("http://trademark.i-assist.jp/data/china/image_1912th/79541079.pdf","79541079")</f>
        <v>79541079</v>
      </c>
      <c r="F124" s="9" t="s">
        <v>424</v>
      </c>
      <c r="G124" s="9" t="s">
        <v>425</v>
      </c>
      <c r="H124" s="9" t="s">
        <v>426</v>
      </c>
      <c r="I124" s="10">
        <v>45474</v>
      </c>
    </row>
    <row r="125" spans="1:9" x14ac:dyDescent="0.15">
      <c r="A125" s="9">
        <v>124</v>
      </c>
      <c r="B125" s="9" t="s">
        <v>9</v>
      </c>
      <c r="C125" s="9">
        <v>1912</v>
      </c>
      <c r="D125" s="10">
        <v>45616</v>
      </c>
      <c r="E125" s="13" t="str">
        <f>+HYPERLINK("http://trademark.i-assist.jp/data/china/image_1912th/79544949A.pdf","79544949A")</f>
        <v>79544949A</v>
      </c>
      <c r="F125" s="9" t="s">
        <v>427</v>
      </c>
      <c r="G125" s="11" t="s">
        <v>422</v>
      </c>
      <c r="H125" s="9" t="s">
        <v>428</v>
      </c>
      <c r="I125" s="10">
        <v>45474</v>
      </c>
    </row>
    <row r="126" spans="1:9" x14ac:dyDescent="0.15">
      <c r="A126" s="9">
        <v>125</v>
      </c>
      <c r="B126" s="9" t="s">
        <v>9</v>
      </c>
      <c r="C126" s="9">
        <v>1912</v>
      </c>
      <c r="D126" s="10">
        <v>45616</v>
      </c>
      <c r="E126" s="13" t="str">
        <f>+HYPERLINK("http://trademark.i-assist.jp/data/china/image_1912th/79549837.pdf","79549837")</f>
        <v>79549837</v>
      </c>
      <c r="F126" s="9" t="s">
        <v>429</v>
      </c>
      <c r="G126" s="9" t="s">
        <v>430</v>
      </c>
      <c r="H126" s="9" t="s">
        <v>431</v>
      </c>
      <c r="I126" s="10">
        <v>45474</v>
      </c>
    </row>
    <row r="127" spans="1:9" x14ac:dyDescent="0.15">
      <c r="A127" s="9">
        <v>126</v>
      </c>
      <c r="B127" s="9" t="s">
        <v>9</v>
      </c>
      <c r="C127" s="9">
        <v>1912</v>
      </c>
      <c r="D127" s="10">
        <v>45616</v>
      </c>
      <c r="E127" s="13" t="str">
        <f>+HYPERLINK("http://trademark.i-assist.jp/data/china/image_1912th/79553251.pdf","79553251")</f>
        <v>79553251</v>
      </c>
      <c r="F127" s="9" t="s">
        <v>432</v>
      </c>
      <c r="G127" s="9" t="s">
        <v>433</v>
      </c>
      <c r="H127" s="9" t="s">
        <v>434</v>
      </c>
      <c r="I127" s="10">
        <v>45475</v>
      </c>
    </row>
    <row r="128" spans="1:9" x14ac:dyDescent="0.15">
      <c r="A128" s="9">
        <v>127</v>
      </c>
      <c r="B128" s="9" t="s">
        <v>9</v>
      </c>
      <c r="C128" s="9">
        <v>1912</v>
      </c>
      <c r="D128" s="10">
        <v>45616</v>
      </c>
      <c r="E128" s="13" t="str">
        <f>+HYPERLINK("http://trademark.i-assist.jp/data/china/image_1912th/79560181.pdf","79560181")</f>
        <v>79560181</v>
      </c>
      <c r="F128" s="9" t="s">
        <v>435</v>
      </c>
      <c r="G128" s="9" t="s">
        <v>436</v>
      </c>
      <c r="H128" s="9" t="s">
        <v>437</v>
      </c>
      <c r="I128" s="10">
        <v>45475</v>
      </c>
    </row>
    <row r="129" spans="1:9" x14ac:dyDescent="0.15">
      <c r="A129" s="9">
        <v>128</v>
      </c>
      <c r="B129" s="9" t="s">
        <v>9</v>
      </c>
      <c r="C129" s="9">
        <v>1912</v>
      </c>
      <c r="D129" s="10">
        <v>45616</v>
      </c>
      <c r="E129" s="13" t="str">
        <f>+HYPERLINK("http://trademark.i-assist.jp/data/china/image_1912th/79583323.pdf","79583323")</f>
        <v>79583323</v>
      </c>
      <c r="F129" s="9" t="s">
        <v>438</v>
      </c>
      <c r="G129" s="9" t="s">
        <v>439</v>
      </c>
      <c r="H129" s="9" t="s">
        <v>440</v>
      </c>
      <c r="I129" s="10">
        <v>45476</v>
      </c>
    </row>
    <row r="130" spans="1:9" x14ac:dyDescent="0.15">
      <c r="A130" s="9">
        <v>129</v>
      </c>
      <c r="B130" s="9" t="s">
        <v>9</v>
      </c>
      <c r="C130" s="9">
        <v>1912</v>
      </c>
      <c r="D130" s="10">
        <v>45616</v>
      </c>
      <c r="E130" s="13" t="str">
        <f>+HYPERLINK("http://trademark.i-assist.jp/data/china/image_1912th/79594085.pdf","79594085")</f>
        <v>79594085</v>
      </c>
      <c r="F130" s="9" t="s">
        <v>441</v>
      </c>
      <c r="G130" s="9" t="s">
        <v>442</v>
      </c>
      <c r="H130" s="9" t="s">
        <v>443</v>
      </c>
      <c r="I130" s="10">
        <v>45476</v>
      </c>
    </row>
    <row r="131" spans="1:9" x14ac:dyDescent="0.15">
      <c r="A131" s="9">
        <v>130</v>
      </c>
      <c r="B131" s="9" t="s">
        <v>9</v>
      </c>
      <c r="C131" s="9">
        <v>1912</v>
      </c>
      <c r="D131" s="10">
        <v>45616</v>
      </c>
      <c r="E131" s="13" t="str">
        <f>+HYPERLINK("http://trademark.i-assist.jp/data/china/image_1912th/79616659.pdf","79616659")</f>
        <v>79616659</v>
      </c>
      <c r="F131" s="9" t="s">
        <v>444</v>
      </c>
      <c r="G131" s="12" t="s">
        <v>445</v>
      </c>
      <c r="H131" s="9" t="s">
        <v>446</v>
      </c>
      <c r="I131" s="10">
        <v>45477</v>
      </c>
    </row>
    <row r="132" spans="1:9" x14ac:dyDescent="0.15">
      <c r="A132" s="9">
        <v>131</v>
      </c>
      <c r="B132" s="9" t="s">
        <v>9</v>
      </c>
      <c r="C132" s="9">
        <v>1912</v>
      </c>
      <c r="D132" s="10">
        <v>45616</v>
      </c>
      <c r="E132" s="13" t="str">
        <f>+HYPERLINK("http://trademark.i-assist.jp/data/china/image_1912th/79619362.pdf","79619362")</f>
        <v>79619362</v>
      </c>
      <c r="F132" s="9" t="s">
        <v>447</v>
      </c>
      <c r="G132" s="9" t="s">
        <v>448</v>
      </c>
      <c r="H132" s="9" t="s">
        <v>449</v>
      </c>
      <c r="I132" s="10">
        <v>45477</v>
      </c>
    </row>
    <row r="133" spans="1:9" x14ac:dyDescent="0.15">
      <c r="A133" s="9">
        <v>132</v>
      </c>
      <c r="B133" s="9" t="s">
        <v>9</v>
      </c>
      <c r="C133" s="9">
        <v>1912</v>
      </c>
      <c r="D133" s="10">
        <v>45616</v>
      </c>
      <c r="E133" s="13" t="str">
        <f>+HYPERLINK("http://trademark.i-assist.jp/data/china/image_1912th/79626287.pdf","79626287")</f>
        <v>79626287</v>
      </c>
      <c r="F133" s="9" t="s">
        <v>450</v>
      </c>
      <c r="G133" s="9" t="s">
        <v>451</v>
      </c>
      <c r="H133" s="9" t="s">
        <v>452</v>
      </c>
      <c r="I133" s="10">
        <v>45478</v>
      </c>
    </row>
    <row r="134" spans="1:9" x14ac:dyDescent="0.15">
      <c r="A134" s="9">
        <v>133</v>
      </c>
      <c r="B134" s="9" t="s">
        <v>9</v>
      </c>
      <c r="C134" s="9">
        <v>1912</v>
      </c>
      <c r="D134" s="10">
        <v>45616</v>
      </c>
      <c r="E134" s="13" t="str">
        <f>+HYPERLINK("http://trademark.i-assist.jp/data/china/image_1912th/79630581.pdf","79630581")</f>
        <v>79630581</v>
      </c>
      <c r="F134" s="9" t="s">
        <v>453</v>
      </c>
      <c r="G134" s="9" t="s">
        <v>454</v>
      </c>
      <c r="H134" s="9" t="s">
        <v>455</v>
      </c>
      <c r="I134" s="10">
        <v>45478</v>
      </c>
    </row>
    <row r="135" spans="1:9" x14ac:dyDescent="0.15">
      <c r="A135" s="9">
        <v>134</v>
      </c>
      <c r="B135" s="9" t="s">
        <v>9</v>
      </c>
      <c r="C135" s="9">
        <v>1912</v>
      </c>
      <c r="D135" s="10">
        <v>45616</v>
      </c>
      <c r="E135" s="13" t="str">
        <f>+HYPERLINK("http://trademark.i-assist.jp/data/china/image_1912th/79632873.pdf","79632873")</f>
        <v>79632873</v>
      </c>
      <c r="F135" s="9" t="s">
        <v>456</v>
      </c>
      <c r="G135" s="9" t="s">
        <v>457</v>
      </c>
      <c r="H135" s="9" t="s">
        <v>458</v>
      </c>
      <c r="I135" s="10">
        <v>45478</v>
      </c>
    </row>
    <row r="136" spans="1:9" x14ac:dyDescent="0.15">
      <c r="A136" s="9">
        <v>135</v>
      </c>
      <c r="B136" s="9" t="s">
        <v>9</v>
      </c>
      <c r="C136" s="9">
        <v>1912</v>
      </c>
      <c r="D136" s="10">
        <v>45616</v>
      </c>
      <c r="E136" s="13" t="str">
        <f>+HYPERLINK("http://trademark.i-assist.jp/data/china/image_1912th/79645440.pdf","79645440")</f>
        <v>79645440</v>
      </c>
      <c r="F136" s="9" t="s">
        <v>459</v>
      </c>
      <c r="G136" s="9" t="s">
        <v>460</v>
      </c>
      <c r="H136" s="9" t="s">
        <v>13</v>
      </c>
      <c r="I136" s="10">
        <v>45478</v>
      </c>
    </row>
    <row r="137" spans="1:9" x14ac:dyDescent="0.15">
      <c r="A137" s="9">
        <v>136</v>
      </c>
      <c r="B137" s="9" t="s">
        <v>9</v>
      </c>
      <c r="C137" s="9">
        <v>1912</v>
      </c>
      <c r="D137" s="10">
        <v>45616</v>
      </c>
      <c r="E137" s="13" t="str">
        <f>+HYPERLINK("http://trademark.i-assist.jp/data/china/image_1912th/79649956.pdf","79649956")</f>
        <v>79649956</v>
      </c>
      <c r="F137" s="9" t="s">
        <v>461</v>
      </c>
      <c r="G137" s="9" t="s">
        <v>462</v>
      </c>
      <c r="H137" s="12" t="s">
        <v>463</v>
      </c>
      <c r="I137" s="10">
        <v>45479</v>
      </c>
    </row>
    <row r="138" spans="1:9" x14ac:dyDescent="0.15">
      <c r="A138" s="9">
        <v>137</v>
      </c>
      <c r="B138" s="9" t="s">
        <v>9</v>
      </c>
      <c r="C138" s="9">
        <v>1912</v>
      </c>
      <c r="D138" s="10">
        <v>45616</v>
      </c>
      <c r="E138" s="13" t="str">
        <f>+HYPERLINK("http://trademark.i-assist.jp/data/china/image_1912th/79650431.pdf","79650431")</f>
        <v>79650431</v>
      </c>
      <c r="F138" s="9" t="s">
        <v>464</v>
      </c>
      <c r="G138" s="9" t="s">
        <v>465</v>
      </c>
      <c r="H138" s="9" t="s">
        <v>466</v>
      </c>
      <c r="I138" s="10">
        <v>45479</v>
      </c>
    </row>
    <row r="139" spans="1:9" x14ac:dyDescent="0.15">
      <c r="A139" s="9">
        <v>138</v>
      </c>
      <c r="B139" s="9" t="s">
        <v>9</v>
      </c>
      <c r="C139" s="9">
        <v>1912</v>
      </c>
      <c r="D139" s="10">
        <v>45616</v>
      </c>
      <c r="E139" s="13" t="str">
        <f>+HYPERLINK("http://trademark.i-assist.jp/data/china/image_1912th/79651021.pdf","79651021")</f>
        <v>79651021</v>
      </c>
      <c r="F139" s="9" t="s">
        <v>467</v>
      </c>
      <c r="G139" s="9" t="s">
        <v>468</v>
      </c>
      <c r="H139" s="9" t="s">
        <v>469</v>
      </c>
      <c r="I139" s="10">
        <v>45479</v>
      </c>
    </row>
    <row r="140" spans="1:9" x14ac:dyDescent="0.15">
      <c r="A140" s="9">
        <v>139</v>
      </c>
      <c r="B140" s="9" t="s">
        <v>9</v>
      </c>
      <c r="C140" s="9">
        <v>1912</v>
      </c>
      <c r="D140" s="10">
        <v>45616</v>
      </c>
      <c r="E140" s="13" t="str">
        <f>+HYPERLINK("http://trademark.i-assist.jp/data/china/image_1912th/79658494.pdf","79658494")</f>
        <v>79658494</v>
      </c>
      <c r="F140" s="9" t="s">
        <v>470</v>
      </c>
      <c r="G140" s="12" t="s">
        <v>471</v>
      </c>
      <c r="H140" s="9" t="s">
        <v>472</v>
      </c>
      <c r="I140" s="10">
        <v>45481</v>
      </c>
    </row>
    <row r="141" spans="1:9" x14ac:dyDescent="0.15">
      <c r="A141" s="9">
        <v>140</v>
      </c>
      <c r="B141" s="9" t="s">
        <v>9</v>
      </c>
      <c r="C141" s="9">
        <v>1912</v>
      </c>
      <c r="D141" s="10">
        <v>45616</v>
      </c>
      <c r="E141" s="13" t="str">
        <f>+HYPERLINK("http://trademark.i-assist.jp/data/china/image_1912th/79674470.pdf","79674470")</f>
        <v>79674470</v>
      </c>
      <c r="F141" s="9" t="s">
        <v>473</v>
      </c>
      <c r="G141" s="9" t="s">
        <v>32</v>
      </c>
      <c r="H141" s="9" t="s">
        <v>474</v>
      </c>
      <c r="I141" s="10">
        <v>45481</v>
      </c>
    </row>
    <row r="142" spans="1:9" x14ac:dyDescent="0.15">
      <c r="A142" s="9">
        <v>141</v>
      </c>
      <c r="B142" s="9" t="s">
        <v>9</v>
      </c>
      <c r="C142" s="9">
        <v>1912</v>
      </c>
      <c r="D142" s="10">
        <v>45616</v>
      </c>
      <c r="E142" s="13" t="str">
        <f>+HYPERLINK("http://trademark.i-assist.jp/data/china/image_1912th/79680007.pdf","79680007")</f>
        <v>79680007</v>
      </c>
      <c r="F142" s="9" t="s">
        <v>475</v>
      </c>
      <c r="G142" s="9" t="s">
        <v>32</v>
      </c>
      <c r="H142" s="9" t="s">
        <v>476</v>
      </c>
      <c r="I142" s="10">
        <v>45481</v>
      </c>
    </row>
    <row r="143" spans="1:9" x14ac:dyDescent="0.15">
      <c r="A143" s="9">
        <v>142</v>
      </c>
      <c r="B143" s="9" t="s">
        <v>9</v>
      </c>
      <c r="C143" s="9">
        <v>1912</v>
      </c>
      <c r="D143" s="10">
        <v>45616</v>
      </c>
      <c r="E143" s="13" t="str">
        <f>+HYPERLINK("http://trademark.i-assist.jp/data/china/image_1912th/79689230.pdf","79689230")</f>
        <v>79689230</v>
      </c>
      <c r="F143" s="9" t="s">
        <v>477</v>
      </c>
      <c r="G143" s="9" t="s">
        <v>478</v>
      </c>
      <c r="H143" s="9" t="s">
        <v>479</v>
      </c>
      <c r="I143" s="10">
        <v>45482</v>
      </c>
    </row>
    <row r="144" spans="1:9" x14ac:dyDescent="0.15">
      <c r="A144" s="9">
        <v>143</v>
      </c>
      <c r="B144" s="9" t="s">
        <v>9</v>
      </c>
      <c r="C144" s="9">
        <v>1912</v>
      </c>
      <c r="D144" s="10">
        <v>45616</v>
      </c>
      <c r="E144" s="13" t="str">
        <f>+HYPERLINK("http://trademark.i-assist.jp/data/china/image_1912th/79695961.pdf","79695961")</f>
        <v>79695961</v>
      </c>
      <c r="F144" s="9" t="s">
        <v>480</v>
      </c>
      <c r="G144" s="9" t="s">
        <v>481</v>
      </c>
      <c r="H144" s="9" t="s">
        <v>482</v>
      </c>
      <c r="I144" s="10">
        <v>45482</v>
      </c>
    </row>
    <row r="145" spans="1:9" x14ac:dyDescent="0.15">
      <c r="A145" s="9">
        <v>144</v>
      </c>
      <c r="B145" s="9" t="s">
        <v>9</v>
      </c>
      <c r="C145" s="9">
        <v>1912</v>
      </c>
      <c r="D145" s="10">
        <v>45616</v>
      </c>
      <c r="E145" s="13" t="str">
        <f>+HYPERLINK("http://trademark.i-assist.jp/data/china/image_1912th/79702122.pdf","79702122")</f>
        <v>79702122</v>
      </c>
      <c r="F145" s="9" t="s">
        <v>483</v>
      </c>
      <c r="G145" s="9" t="s">
        <v>484</v>
      </c>
      <c r="H145" s="9" t="s">
        <v>485</v>
      </c>
      <c r="I145" s="10">
        <v>45482</v>
      </c>
    </row>
    <row r="146" spans="1:9" x14ac:dyDescent="0.15">
      <c r="A146" s="9">
        <v>145</v>
      </c>
      <c r="B146" s="9" t="s">
        <v>9</v>
      </c>
      <c r="C146" s="9">
        <v>1912</v>
      </c>
      <c r="D146" s="10">
        <v>45616</v>
      </c>
      <c r="E146" s="13" t="str">
        <f>+HYPERLINK("http://trademark.i-assist.jp/data/china/image_1912th/79709118.pdf","79709118")</f>
        <v>79709118</v>
      </c>
      <c r="F146" s="12" t="s">
        <v>486</v>
      </c>
      <c r="G146" s="9" t="s">
        <v>487</v>
      </c>
      <c r="H146" s="12" t="s">
        <v>488</v>
      </c>
      <c r="I146" s="10">
        <v>45483</v>
      </c>
    </row>
    <row r="147" spans="1:9" x14ac:dyDescent="0.15">
      <c r="A147" s="9">
        <v>146</v>
      </c>
      <c r="B147" s="9" t="s">
        <v>9</v>
      </c>
      <c r="C147" s="9">
        <v>1912</v>
      </c>
      <c r="D147" s="10">
        <v>45616</v>
      </c>
      <c r="E147" s="13" t="str">
        <f>+HYPERLINK("http://trademark.i-assist.jp/data/china/image_1912th/79716974.pdf","79716974")</f>
        <v>79716974</v>
      </c>
      <c r="F147" s="9" t="s">
        <v>489</v>
      </c>
      <c r="G147" s="9" t="s">
        <v>489</v>
      </c>
      <c r="H147" s="9" t="s">
        <v>490</v>
      </c>
      <c r="I147" s="10">
        <v>45483</v>
      </c>
    </row>
    <row r="148" spans="1:9" x14ac:dyDescent="0.15">
      <c r="A148" s="9">
        <v>147</v>
      </c>
      <c r="B148" s="9" t="s">
        <v>9</v>
      </c>
      <c r="C148" s="9">
        <v>1912</v>
      </c>
      <c r="D148" s="10">
        <v>45616</v>
      </c>
      <c r="E148" s="13" t="str">
        <f>+HYPERLINK("http://trademark.i-assist.jp/data/china/image_1912th/79733042.pdf","79733042")</f>
        <v>79733042</v>
      </c>
      <c r="F148" s="9" t="s">
        <v>491</v>
      </c>
      <c r="G148" s="9" t="s">
        <v>492</v>
      </c>
      <c r="H148" s="12" t="s">
        <v>493</v>
      </c>
      <c r="I148" s="10">
        <v>45484</v>
      </c>
    </row>
    <row r="149" spans="1:9" x14ac:dyDescent="0.15">
      <c r="A149" s="9">
        <v>148</v>
      </c>
      <c r="B149" s="9" t="s">
        <v>9</v>
      </c>
      <c r="C149" s="9">
        <v>1912</v>
      </c>
      <c r="D149" s="10">
        <v>45616</v>
      </c>
      <c r="E149" s="13" t="str">
        <f>+HYPERLINK("http://trademark.i-assist.jp/data/china/image_1912th/79749562.pdf","79749562")</f>
        <v>79749562</v>
      </c>
      <c r="F149" s="9" t="s">
        <v>494</v>
      </c>
      <c r="G149" s="9" t="s">
        <v>33</v>
      </c>
      <c r="H149" s="9" t="s">
        <v>495</v>
      </c>
      <c r="I149" s="10">
        <v>45484</v>
      </c>
    </row>
    <row r="150" spans="1:9" x14ac:dyDescent="0.15">
      <c r="A150" s="9">
        <v>149</v>
      </c>
      <c r="B150" s="9" t="s">
        <v>9</v>
      </c>
      <c r="C150" s="9">
        <v>1912</v>
      </c>
      <c r="D150" s="10">
        <v>45616</v>
      </c>
      <c r="E150" s="13" t="str">
        <f>+HYPERLINK("http://trademark.i-assist.jp/data/china/image_1912th/79751235.pdf","79751235")</f>
        <v>79751235</v>
      </c>
      <c r="F150" s="9" t="s">
        <v>496</v>
      </c>
      <c r="G150" s="9" t="s">
        <v>497</v>
      </c>
      <c r="H150" s="9" t="s">
        <v>498</v>
      </c>
      <c r="I150" s="10">
        <v>45484</v>
      </c>
    </row>
    <row r="151" spans="1:9" x14ac:dyDescent="0.15">
      <c r="A151" s="9">
        <v>150</v>
      </c>
      <c r="B151" s="9" t="s">
        <v>9</v>
      </c>
      <c r="C151" s="9">
        <v>1912</v>
      </c>
      <c r="D151" s="10">
        <v>45616</v>
      </c>
      <c r="E151" s="13" t="str">
        <f>+HYPERLINK("http://trademark.i-assist.jp/data/china/image_1912th/79755867A.pdf","79755867A")</f>
        <v>79755867A</v>
      </c>
      <c r="F151" s="9" t="s">
        <v>499</v>
      </c>
      <c r="G151" s="9" t="s">
        <v>500</v>
      </c>
      <c r="H151" s="9" t="s">
        <v>501</v>
      </c>
      <c r="I151" s="10">
        <v>45485</v>
      </c>
    </row>
    <row r="152" spans="1:9" x14ac:dyDescent="0.15">
      <c r="A152" s="9">
        <v>151</v>
      </c>
      <c r="B152" s="9" t="s">
        <v>9</v>
      </c>
      <c r="C152" s="9">
        <v>1912</v>
      </c>
      <c r="D152" s="10">
        <v>45616</v>
      </c>
      <c r="E152" s="13" t="str">
        <f>+HYPERLINK("http://trademark.i-assist.jp/data/china/image_1912th/79756865.pdf","79756865")</f>
        <v>79756865</v>
      </c>
      <c r="F152" s="9" t="s">
        <v>502</v>
      </c>
      <c r="G152" s="9" t="s">
        <v>503</v>
      </c>
      <c r="H152" s="9" t="s">
        <v>504</v>
      </c>
      <c r="I152" s="10">
        <v>45485</v>
      </c>
    </row>
    <row r="153" spans="1:9" x14ac:dyDescent="0.15">
      <c r="A153" s="9">
        <v>152</v>
      </c>
      <c r="B153" s="9" t="s">
        <v>9</v>
      </c>
      <c r="C153" s="9">
        <v>1912</v>
      </c>
      <c r="D153" s="10">
        <v>45616</v>
      </c>
      <c r="E153" s="13" t="str">
        <f>+HYPERLINK("http://trademark.i-assist.jp/data/china/image_1912th/79760966.pdf","79760966")</f>
        <v>79760966</v>
      </c>
      <c r="F153" s="9" t="s">
        <v>505</v>
      </c>
      <c r="G153" s="9" t="s">
        <v>506</v>
      </c>
      <c r="H153" s="9" t="s">
        <v>507</v>
      </c>
      <c r="I153" s="10">
        <v>45485</v>
      </c>
    </row>
    <row r="154" spans="1:9" x14ac:dyDescent="0.15">
      <c r="A154" s="9">
        <v>153</v>
      </c>
      <c r="B154" s="9" t="s">
        <v>9</v>
      </c>
      <c r="C154" s="9">
        <v>1912</v>
      </c>
      <c r="D154" s="10">
        <v>45616</v>
      </c>
      <c r="E154" s="13" t="str">
        <f>+HYPERLINK("http://trademark.i-assist.jp/data/china/image_1912th/79761957.pdf","79761957")</f>
        <v>79761957</v>
      </c>
      <c r="F154" s="12" t="s">
        <v>508</v>
      </c>
      <c r="G154" s="9" t="s">
        <v>509</v>
      </c>
      <c r="H154" s="9" t="s">
        <v>510</v>
      </c>
      <c r="I154" s="10">
        <v>45485</v>
      </c>
    </row>
    <row r="155" spans="1:9" x14ac:dyDescent="0.15">
      <c r="A155" s="9">
        <v>154</v>
      </c>
      <c r="B155" s="9" t="s">
        <v>9</v>
      </c>
      <c r="C155" s="9">
        <v>1912</v>
      </c>
      <c r="D155" s="10">
        <v>45616</v>
      </c>
      <c r="E155" s="13" t="str">
        <f>+HYPERLINK("http://trademark.i-assist.jp/data/china/image_1912th/79771826.pdf","79771826")</f>
        <v>79771826</v>
      </c>
      <c r="F155" s="9" t="s">
        <v>511</v>
      </c>
      <c r="G155" s="9" t="s">
        <v>512</v>
      </c>
      <c r="H155" s="9" t="s">
        <v>513</v>
      </c>
      <c r="I155" s="10">
        <v>45485</v>
      </c>
    </row>
    <row r="156" spans="1:9" x14ac:dyDescent="0.15">
      <c r="A156" s="9">
        <v>155</v>
      </c>
      <c r="B156" s="9" t="s">
        <v>9</v>
      </c>
      <c r="C156" s="9">
        <v>1912</v>
      </c>
      <c r="D156" s="10">
        <v>45616</v>
      </c>
      <c r="E156" s="13" t="str">
        <f>+HYPERLINK("http://trademark.i-assist.jp/data/china/image_1912th/79788206.pdf","79788206")</f>
        <v>79788206</v>
      </c>
      <c r="F156" s="9" t="s">
        <v>514</v>
      </c>
      <c r="G156" s="9" t="s">
        <v>515</v>
      </c>
      <c r="H156" s="12" t="s">
        <v>516</v>
      </c>
      <c r="I156" s="10">
        <v>45488</v>
      </c>
    </row>
    <row r="157" spans="1:9" x14ac:dyDescent="0.15">
      <c r="A157" s="9">
        <v>156</v>
      </c>
      <c r="B157" s="9" t="s">
        <v>9</v>
      </c>
      <c r="C157" s="9">
        <v>1912</v>
      </c>
      <c r="D157" s="10">
        <v>45616</v>
      </c>
      <c r="E157" s="13" t="str">
        <f>+HYPERLINK("http://trademark.i-assist.jp/data/china/image_1912th/79789054.pdf","79789054")</f>
        <v>79789054</v>
      </c>
      <c r="F157" s="9" t="s">
        <v>517</v>
      </c>
      <c r="G157" s="9" t="s">
        <v>518</v>
      </c>
      <c r="H157" s="9" t="s">
        <v>519</v>
      </c>
      <c r="I157" s="10">
        <v>45488</v>
      </c>
    </row>
    <row r="158" spans="1:9" x14ac:dyDescent="0.15">
      <c r="A158" s="9">
        <v>157</v>
      </c>
      <c r="B158" s="9" t="s">
        <v>9</v>
      </c>
      <c r="C158" s="9">
        <v>1912</v>
      </c>
      <c r="D158" s="10">
        <v>45616</v>
      </c>
      <c r="E158" s="13" t="str">
        <f>+HYPERLINK("http://trademark.i-assist.jp/data/china/image_1912th/79795940.pdf","79795940")</f>
        <v>79795940</v>
      </c>
      <c r="F158" s="9" t="s">
        <v>520</v>
      </c>
      <c r="G158" s="9" t="s">
        <v>521</v>
      </c>
      <c r="H158" s="9" t="s">
        <v>522</v>
      </c>
      <c r="I158" s="10">
        <v>45488</v>
      </c>
    </row>
    <row r="159" spans="1:9" x14ac:dyDescent="0.15">
      <c r="A159" s="9">
        <v>158</v>
      </c>
      <c r="B159" s="9" t="s">
        <v>9</v>
      </c>
      <c r="C159" s="9">
        <v>1912</v>
      </c>
      <c r="D159" s="10">
        <v>45616</v>
      </c>
      <c r="E159" s="13" t="str">
        <f>+HYPERLINK("http://trademark.i-assist.jp/data/china/image_1912th/79797016.pdf","79797016")</f>
        <v>79797016</v>
      </c>
      <c r="F159" s="9" t="s">
        <v>523</v>
      </c>
      <c r="G159" s="9" t="s">
        <v>524</v>
      </c>
      <c r="H159" s="12" t="s">
        <v>525</v>
      </c>
      <c r="I159" s="10">
        <v>45488</v>
      </c>
    </row>
    <row r="160" spans="1:9" x14ac:dyDescent="0.15">
      <c r="A160" s="9">
        <v>159</v>
      </c>
      <c r="B160" s="9" t="s">
        <v>9</v>
      </c>
      <c r="C160" s="9">
        <v>1912</v>
      </c>
      <c r="D160" s="10">
        <v>45616</v>
      </c>
      <c r="E160" s="13" t="str">
        <f>+HYPERLINK("http://trademark.i-assist.jp/data/china/image_1912th/79806995.pdf","79806995")</f>
        <v>79806995</v>
      </c>
      <c r="F160" s="12" t="s">
        <v>526</v>
      </c>
      <c r="G160" s="12" t="s">
        <v>527</v>
      </c>
      <c r="H160" s="9" t="s">
        <v>528</v>
      </c>
      <c r="I160" s="10">
        <v>45488</v>
      </c>
    </row>
    <row r="161" spans="1:9" x14ac:dyDescent="0.15">
      <c r="A161" s="9">
        <v>160</v>
      </c>
      <c r="B161" s="9" t="s">
        <v>9</v>
      </c>
      <c r="C161" s="9">
        <v>1912</v>
      </c>
      <c r="D161" s="10">
        <v>45616</v>
      </c>
      <c r="E161" s="13" t="str">
        <f>+HYPERLINK("http://trademark.i-assist.jp/data/china/image_1912th/79810190A.pdf","79810190A")</f>
        <v>79810190A</v>
      </c>
      <c r="F161" s="9" t="s">
        <v>421</v>
      </c>
      <c r="G161" s="11" t="s">
        <v>422</v>
      </c>
      <c r="H161" s="9" t="s">
        <v>529</v>
      </c>
      <c r="I161" s="10">
        <v>45489</v>
      </c>
    </row>
    <row r="162" spans="1:9" x14ac:dyDescent="0.15">
      <c r="A162" s="9">
        <v>161</v>
      </c>
      <c r="B162" s="9" t="s">
        <v>9</v>
      </c>
      <c r="C162" s="9">
        <v>1912</v>
      </c>
      <c r="D162" s="10">
        <v>45616</v>
      </c>
      <c r="E162" s="13" t="str">
        <f>+HYPERLINK("http://trademark.i-assist.jp/data/china/image_1912th/79812800.pdf","79812800")</f>
        <v>79812800</v>
      </c>
      <c r="F162" s="9" t="s">
        <v>530</v>
      </c>
      <c r="G162" s="9" t="s">
        <v>531</v>
      </c>
      <c r="H162" s="9" t="s">
        <v>532</v>
      </c>
      <c r="I162" s="10">
        <v>45489</v>
      </c>
    </row>
    <row r="163" spans="1:9" x14ac:dyDescent="0.15">
      <c r="A163" s="9">
        <v>162</v>
      </c>
      <c r="B163" s="9" t="s">
        <v>9</v>
      </c>
      <c r="C163" s="9">
        <v>1912</v>
      </c>
      <c r="D163" s="10">
        <v>45616</v>
      </c>
      <c r="E163" s="13" t="str">
        <f>+HYPERLINK("http://trademark.i-assist.jp/data/china/image_1912th/79813708A.pdf","79813708A")</f>
        <v>79813708A</v>
      </c>
      <c r="F163" s="9" t="s">
        <v>421</v>
      </c>
      <c r="G163" s="11" t="s">
        <v>422</v>
      </c>
      <c r="H163" s="12" t="s">
        <v>533</v>
      </c>
      <c r="I163" s="10">
        <v>45489</v>
      </c>
    </row>
    <row r="164" spans="1:9" x14ac:dyDescent="0.15">
      <c r="A164" s="9">
        <v>163</v>
      </c>
      <c r="B164" s="9" t="s">
        <v>9</v>
      </c>
      <c r="C164" s="9">
        <v>1912</v>
      </c>
      <c r="D164" s="10">
        <v>45616</v>
      </c>
      <c r="E164" s="13" t="str">
        <f>+HYPERLINK("http://trademark.i-assist.jp/data/china/image_1912th/79822086.pdf","79822086")</f>
        <v>79822086</v>
      </c>
      <c r="F164" s="9" t="s">
        <v>534</v>
      </c>
      <c r="G164" s="9" t="s">
        <v>535</v>
      </c>
      <c r="H164" s="9" t="s">
        <v>536</v>
      </c>
      <c r="I164" s="10">
        <v>45489</v>
      </c>
    </row>
    <row r="165" spans="1:9" x14ac:dyDescent="0.15">
      <c r="A165" s="9">
        <v>164</v>
      </c>
      <c r="B165" s="9" t="s">
        <v>9</v>
      </c>
      <c r="C165" s="9">
        <v>1912</v>
      </c>
      <c r="D165" s="10">
        <v>45616</v>
      </c>
      <c r="E165" s="13" t="str">
        <f>+HYPERLINK("http://trademark.i-assist.jp/data/china/image_1912th/79823540.pdf","79823540")</f>
        <v>79823540</v>
      </c>
      <c r="F165" s="9" t="s">
        <v>537</v>
      </c>
      <c r="G165" s="9" t="s">
        <v>535</v>
      </c>
      <c r="H165" s="9" t="s">
        <v>538</v>
      </c>
      <c r="I165" s="10">
        <v>45489</v>
      </c>
    </row>
    <row r="166" spans="1:9" x14ac:dyDescent="0.15">
      <c r="A166" s="9">
        <v>165</v>
      </c>
      <c r="B166" s="9" t="s">
        <v>9</v>
      </c>
      <c r="C166" s="9">
        <v>1912</v>
      </c>
      <c r="D166" s="10">
        <v>45616</v>
      </c>
      <c r="E166" s="13" t="str">
        <f>+HYPERLINK("http://trademark.i-assist.jp/data/china/image_1912th/79823543.pdf","79823543")</f>
        <v>79823543</v>
      </c>
      <c r="F166" s="9" t="s">
        <v>539</v>
      </c>
      <c r="G166" s="9" t="s">
        <v>535</v>
      </c>
      <c r="H166" s="9" t="s">
        <v>540</v>
      </c>
      <c r="I166" s="10">
        <v>45489</v>
      </c>
    </row>
    <row r="167" spans="1:9" x14ac:dyDescent="0.15">
      <c r="A167" s="9">
        <v>166</v>
      </c>
      <c r="B167" s="9" t="s">
        <v>9</v>
      </c>
      <c r="C167" s="9">
        <v>1912</v>
      </c>
      <c r="D167" s="10">
        <v>45616</v>
      </c>
      <c r="E167" s="13" t="str">
        <f>+HYPERLINK("http://trademark.i-assist.jp/data/china/image_1912th/79827582.pdf","79827582")</f>
        <v>79827582</v>
      </c>
      <c r="F167" s="12" t="s">
        <v>541</v>
      </c>
      <c r="G167" s="9" t="s">
        <v>535</v>
      </c>
      <c r="H167" s="9" t="s">
        <v>542</v>
      </c>
      <c r="I167" s="10">
        <v>45489</v>
      </c>
    </row>
    <row r="168" spans="1:9" x14ac:dyDescent="0.15">
      <c r="A168" s="9">
        <v>167</v>
      </c>
      <c r="B168" s="9" t="s">
        <v>9</v>
      </c>
      <c r="C168" s="9">
        <v>1912</v>
      </c>
      <c r="D168" s="10">
        <v>45616</v>
      </c>
      <c r="E168" s="13" t="str">
        <f>+HYPERLINK("http://trademark.i-assist.jp/data/china/image_1912th/79831773.pdf","79831773")</f>
        <v>79831773</v>
      </c>
      <c r="F168" s="12" t="s">
        <v>543</v>
      </c>
      <c r="G168" s="9" t="s">
        <v>544</v>
      </c>
      <c r="H168" s="9" t="s">
        <v>545</v>
      </c>
      <c r="I168" s="10">
        <v>45489</v>
      </c>
    </row>
    <row r="169" spans="1:9" x14ac:dyDescent="0.15">
      <c r="A169" s="9">
        <v>168</v>
      </c>
      <c r="B169" s="9" t="s">
        <v>9</v>
      </c>
      <c r="C169" s="9">
        <v>1912</v>
      </c>
      <c r="D169" s="10">
        <v>45616</v>
      </c>
      <c r="E169" s="13" t="str">
        <f>+HYPERLINK("http://trademark.i-assist.jp/data/china/image_1912th/79838213.pdf","79838213")</f>
        <v>79838213</v>
      </c>
      <c r="F169" s="9" t="s">
        <v>546</v>
      </c>
      <c r="G169" s="9" t="s">
        <v>547</v>
      </c>
      <c r="H169" s="9" t="s">
        <v>548</v>
      </c>
      <c r="I169" s="10">
        <v>45490</v>
      </c>
    </row>
    <row r="170" spans="1:9" x14ac:dyDescent="0.15">
      <c r="A170" s="9">
        <v>169</v>
      </c>
      <c r="B170" s="9" t="s">
        <v>9</v>
      </c>
      <c r="C170" s="9">
        <v>1912</v>
      </c>
      <c r="D170" s="10">
        <v>45616</v>
      </c>
      <c r="E170" s="13" t="str">
        <f>+HYPERLINK("http://trademark.i-assist.jp/data/china/image_1912th/79842097.pdf","79842097")</f>
        <v>79842097</v>
      </c>
      <c r="F170" s="9" t="s">
        <v>549</v>
      </c>
      <c r="G170" s="12" t="s">
        <v>550</v>
      </c>
      <c r="H170" s="9" t="s">
        <v>551</v>
      </c>
      <c r="I170" s="10">
        <v>45490</v>
      </c>
    </row>
    <row r="171" spans="1:9" x14ac:dyDescent="0.15">
      <c r="A171" s="9">
        <v>170</v>
      </c>
      <c r="B171" s="9" t="s">
        <v>9</v>
      </c>
      <c r="C171" s="9">
        <v>1912</v>
      </c>
      <c r="D171" s="10">
        <v>45616</v>
      </c>
      <c r="E171" s="13" t="str">
        <f>+HYPERLINK("http://trademark.i-assist.jp/data/china/image_1912th/79850322.pdf","79850322")</f>
        <v>79850322</v>
      </c>
      <c r="F171" s="9" t="s">
        <v>552</v>
      </c>
      <c r="G171" s="12" t="s">
        <v>553</v>
      </c>
      <c r="H171" s="9" t="s">
        <v>554</v>
      </c>
      <c r="I171" s="10">
        <v>45490</v>
      </c>
    </row>
    <row r="172" spans="1:9" x14ac:dyDescent="0.15">
      <c r="A172" s="9">
        <v>171</v>
      </c>
      <c r="B172" s="9" t="s">
        <v>9</v>
      </c>
      <c r="C172" s="9">
        <v>1912</v>
      </c>
      <c r="D172" s="10">
        <v>45616</v>
      </c>
      <c r="E172" s="13" t="str">
        <f>+HYPERLINK("http://trademark.i-assist.jp/data/china/image_1912th/79855432.pdf","79855432")</f>
        <v>79855432</v>
      </c>
      <c r="F172" s="9" t="s">
        <v>555</v>
      </c>
      <c r="G172" s="12" t="s">
        <v>556</v>
      </c>
      <c r="H172" s="9" t="s">
        <v>557</v>
      </c>
      <c r="I172" s="10">
        <v>45490</v>
      </c>
    </row>
    <row r="173" spans="1:9" x14ac:dyDescent="0.15">
      <c r="A173" s="9">
        <v>172</v>
      </c>
      <c r="B173" s="9" t="s">
        <v>9</v>
      </c>
      <c r="C173" s="9">
        <v>1912</v>
      </c>
      <c r="D173" s="10">
        <v>45616</v>
      </c>
      <c r="E173" s="13" t="str">
        <f>+HYPERLINK("http://trademark.i-assist.jp/data/china/image_1912th/79858407.pdf","79858407")</f>
        <v>79858407</v>
      </c>
      <c r="F173" s="9" t="s">
        <v>558</v>
      </c>
      <c r="G173" s="9" t="s">
        <v>559</v>
      </c>
      <c r="H173" s="9" t="s">
        <v>560</v>
      </c>
      <c r="I173" s="10">
        <v>45491</v>
      </c>
    </row>
    <row r="174" spans="1:9" x14ac:dyDescent="0.15">
      <c r="A174" s="9">
        <v>173</v>
      </c>
      <c r="B174" s="9" t="s">
        <v>9</v>
      </c>
      <c r="C174" s="9">
        <v>1912</v>
      </c>
      <c r="D174" s="10">
        <v>45616</v>
      </c>
      <c r="E174" s="13" t="str">
        <f>+HYPERLINK("http://trademark.i-assist.jp/data/china/image_1912th/79871610.pdf","79871610")</f>
        <v>79871610</v>
      </c>
      <c r="F174" s="9" t="s">
        <v>561</v>
      </c>
      <c r="G174" s="12" t="s">
        <v>562</v>
      </c>
      <c r="H174" s="9" t="s">
        <v>563</v>
      </c>
      <c r="I174" s="10">
        <v>45491</v>
      </c>
    </row>
    <row r="175" spans="1:9" x14ac:dyDescent="0.15">
      <c r="A175" s="9">
        <v>174</v>
      </c>
      <c r="B175" s="9" t="s">
        <v>9</v>
      </c>
      <c r="C175" s="9">
        <v>1912</v>
      </c>
      <c r="D175" s="10">
        <v>45616</v>
      </c>
      <c r="E175" s="13" t="str">
        <f>+HYPERLINK("http://trademark.i-assist.jp/data/china/image_1912th/79876115.pdf","79876115")</f>
        <v>79876115</v>
      </c>
      <c r="F175" s="9" t="s">
        <v>564</v>
      </c>
      <c r="G175" s="9" t="s">
        <v>565</v>
      </c>
      <c r="H175" s="9" t="s">
        <v>566</v>
      </c>
      <c r="I175" s="10">
        <v>45491</v>
      </c>
    </row>
    <row r="176" spans="1:9" x14ac:dyDescent="0.15">
      <c r="A176" s="9">
        <v>175</v>
      </c>
      <c r="B176" s="9" t="s">
        <v>9</v>
      </c>
      <c r="C176" s="9">
        <v>1912</v>
      </c>
      <c r="D176" s="10">
        <v>45616</v>
      </c>
      <c r="E176" s="13" t="str">
        <f>+HYPERLINK("http://trademark.i-assist.jp/data/china/image_1912th/79876644.pdf","79876644")</f>
        <v>79876644</v>
      </c>
      <c r="F176" s="12" t="s">
        <v>15</v>
      </c>
      <c r="G176" s="9" t="s">
        <v>567</v>
      </c>
      <c r="H176" s="9" t="s">
        <v>568</v>
      </c>
      <c r="I176" s="10">
        <v>45491</v>
      </c>
    </row>
    <row r="177" spans="1:9" x14ac:dyDescent="0.15">
      <c r="A177" s="9">
        <v>176</v>
      </c>
      <c r="B177" s="9" t="s">
        <v>9</v>
      </c>
      <c r="C177" s="9">
        <v>1912</v>
      </c>
      <c r="D177" s="10">
        <v>45616</v>
      </c>
      <c r="E177" s="13" t="str">
        <f>+HYPERLINK("http://trademark.i-assist.jp/data/china/image_1912th/79878304.pdf","79878304")</f>
        <v>79878304</v>
      </c>
      <c r="F177" s="9" t="s">
        <v>569</v>
      </c>
      <c r="G177" s="9" t="s">
        <v>570</v>
      </c>
      <c r="H177" s="9" t="s">
        <v>571</v>
      </c>
      <c r="I177" s="10">
        <v>45491</v>
      </c>
    </row>
    <row r="178" spans="1:9" x14ac:dyDescent="0.15">
      <c r="A178" s="9">
        <v>177</v>
      </c>
      <c r="B178" s="9" t="s">
        <v>9</v>
      </c>
      <c r="C178" s="9">
        <v>1912</v>
      </c>
      <c r="D178" s="10">
        <v>45616</v>
      </c>
      <c r="E178" s="13" t="str">
        <f>+HYPERLINK("http://trademark.i-assist.jp/data/china/image_1912th/79892748.pdf","79892748")</f>
        <v>79892748</v>
      </c>
      <c r="F178" s="9" t="s">
        <v>572</v>
      </c>
      <c r="G178" s="9" t="s">
        <v>573</v>
      </c>
      <c r="H178" s="9" t="s">
        <v>574</v>
      </c>
      <c r="I178" s="10">
        <v>45492</v>
      </c>
    </row>
    <row r="179" spans="1:9" x14ac:dyDescent="0.15">
      <c r="A179" s="9">
        <v>178</v>
      </c>
      <c r="B179" s="9" t="s">
        <v>9</v>
      </c>
      <c r="C179" s="9">
        <v>1912</v>
      </c>
      <c r="D179" s="10">
        <v>45616</v>
      </c>
      <c r="E179" s="13" t="str">
        <f>+HYPERLINK("http://trademark.i-assist.jp/data/china/image_1912th/79912607.pdf","79912607")</f>
        <v>79912607</v>
      </c>
      <c r="F179" s="9" t="s">
        <v>575</v>
      </c>
      <c r="G179" s="12" t="s">
        <v>576</v>
      </c>
      <c r="H179" s="12" t="s">
        <v>577</v>
      </c>
      <c r="I179" s="10">
        <v>45494</v>
      </c>
    </row>
    <row r="180" spans="1:9" x14ac:dyDescent="0.15">
      <c r="A180" s="9">
        <v>179</v>
      </c>
      <c r="B180" s="9" t="s">
        <v>9</v>
      </c>
      <c r="C180" s="9">
        <v>1912</v>
      </c>
      <c r="D180" s="10">
        <v>45616</v>
      </c>
      <c r="E180" s="13" t="str">
        <f>+HYPERLINK("http://trademark.i-assist.jp/data/china/image_1912th/79917144.pdf","79917144")</f>
        <v>79917144</v>
      </c>
      <c r="F180" s="9" t="s">
        <v>578</v>
      </c>
      <c r="G180" s="9" t="s">
        <v>579</v>
      </c>
      <c r="H180" s="9" t="s">
        <v>580</v>
      </c>
      <c r="I180" s="10">
        <v>45495</v>
      </c>
    </row>
    <row r="181" spans="1:9" x14ac:dyDescent="0.15">
      <c r="A181" s="9">
        <v>180</v>
      </c>
      <c r="B181" s="9" t="s">
        <v>9</v>
      </c>
      <c r="C181" s="9">
        <v>1912</v>
      </c>
      <c r="D181" s="10">
        <v>45616</v>
      </c>
      <c r="E181" s="13" t="str">
        <f>+HYPERLINK("http://trademark.i-assist.jp/data/china/image_1912th/79920140.pdf","79920140")</f>
        <v>79920140</v>
      </c>
      <c r="F181" s="9" t="s">
        <v>581</v>
      </c>
      <c r="G181" s="9" t="s">
        <v>582</v>
      </c>
      <c r="H181" s="9" t="s">
        <v>583</v>
      </c>
      <c r="I181" s="10">
        <v>45495</v>
      </c>
    </row>
    <row r="182" spans="1:9" x14ac:dyDescent="0.15">
      <c r="A182" s="9">
        <v>181</v>
      </c>
      <c r="B182" s="9" t="s">
        <v>9</v>
      </c>
      <c r="C182" s="9">
        <v>1912</v>
      </c>
      <c r="D182" s="10">
        <v>45616</v>
      </c>
      <c r="E182" s="13" t="str">
        <f>+HYPERLINK("http://trademark.i-assist.jp/data/china/image_1912th/79923059.pdf","79923059")</f>
        <v>79923059</v>
      </c>
      <c r="F182" s="9" t="s">
        <v>584</v>
      </c>
      <c r="G182" s="9" t="s">
        <v>585</v>
      </c>
      <c r="H182" s="9" t="s">
        <v>586</v>
      </c>
      <c r="I182" s="10">
        <v>45495</v>
      </c>
    </row>
    <row r="183" spans="1:9" x14ac:dyDescent="0.15">
      <c r="A183" s="9">
        <v>182</v>
      </c>
      <c r="B183" s="9" t="s">
        <v>9</v>
      </c>
      <c r="C183" s="9">
        <v>1912</v>
      </c>
      <c r="D183" s="10">
        <v>45616</v>
      </c>
      <c r="E183" s="13" t="str">
        <f>+HYPERLINK("http://trademark.i-assist.jp/data/china/image_1912th/79924986.pdf","79924986")</f>
        <v>79924986</v>
      </c>
      <c r="F183" s="12" t="s">
        <v>587</v>
      </c>
      <c r="G183" s="9" t="s">
        <v>53</v>
      </c>
      <c r="H183" s="9" t="s">
        <v>588</v>
      </c>
      <c r="I183" s="10">
        <v>45495</v>
      </c>
    </row>
    <row r="184" spans="1:9" x14ac:dyDescent="0.15">
      <c r="A184" s="9">
        <v>183</v>
      </c>
      <c r="B184" s="9" t="s">
        <v>9</v>
      </c>
      <c r="C184" s="9">
        <v>1912</v>
      </c>
      <c r="D184" s="10">
        <v>45616</v>
      </c>
      <c r="E184" s="13" t="str">
        <f>+HYPERLINK("http://trademark.i-assist.jp/data/china/image_1912th/79928609.pdf","79928609")</f>
        <v>79928609</v>
      </c>
      <c r="F184" s="9" t="s">
        <v>589</v>
      </c>
      <c r="G184" s="9" t="s">
        <v>590</v>
      </c>
      <c r="H184" s="9" t="s">
        <v>591</v>
      </c>
      <c r="I184" s="10">
        <v>45495</v>
      </c>
    </row>
    <row r="185" spans="1:9" x14ac:dyDescent="0.15">
      <c r="A185" s="9">
        <v>184</v>
      </c>
      <c r="B185" s="9" t="s">
        <v>9</v>
      </c>
      <c r="C185" s="9">
        <v>1912</v>
      </c>
      <c r="D185" s="10">
        <v>45616</v>
      </c>
      <c r="E185" s="13" t="str">
        <f>+HYPERLINK("http://trademark.i-assist.jp/data/china/image_1912th/79931250.pdf","79931250")</f>
        <v>79931250</v>
      </c>
      <c r="F185" s="12" t="s">
        <v>592</v>
      </c>
      <c r="G185" s="9" t="s">
        <v>593</v>
      </c>
      <c r="H185" s="9" t="s">
        <v>594</v>
      </c>
      <c r="I185" s="10">
        <v>45495</v>
      </c>
    </row>
    <row r="186" spans="1:9" x14ac:dyDescent="0.15">
      <c r="A186" s="9">
        <v>185</v>
      </c>
      <c r="B186" s="9" t="s">
        <v>9</v>
      </c>
      <c r="C186" s="9">
        <v>1912</v>
      </c>
      <c r="D186" s="10">
        <v>45616</v>
      </c>
      <c r="E186" s="13" t="str">
        <f>+HYPERLINK("http://trademark.i-assist.jp/data/china/image_1912th/79942279.pdf","79942279")</f>
        <v>79942279</v>
      </c>
      <c r="F186" s="9" t="s">
        <v>595</v>
      </c>
      <c r="G186" s="9" t="s">
        <v>596</v>
      </c>
      <c r="H186" s="9" t="s">
        <v>597</v>
      </c>
      <c r="I186" s="10">
        <v>45496</v>
      </c>
    </row>
    <row r="187" spans="1:9" x14ac:dyDescent="0.15">
      <c r="A187" s="9">
        <v>186</v>
      </c>
      <c r="B187" s="9" t="s">
        <v>9</v>
      </c>
      <c r="C187" s="9">
        <v>1912</v>
      </c>
      <c r="D187" s="10">
        <v>45616</v>
      </c>
      <c r="E187" s="13" t="str">
        <f>+HYPERLINK("http://trademark.i-assist.jp/data/china/image_1912th/79944166.pdf","79944166")</f>
        <v>79944166</v>
      </c>
      <c r="F187" s="9" t="s">
        <v>598</v>
      </c>
      <c r="G187" s="9" t="s">
        <v>599</v>
      </c>
      <c r="H187" s="9" t="s">
        <v>600</v>
      </c>
      <c r="I187" s="10">
        <v>45496</v>
      </c>
    </row>
    <row r="188" spans="1:9" x14ac:dyDescent="0.15">
      <c r="A188" s="9">
        <v>187</v>
      </c>
      <c r="B188" s="9" t="s">
        <v>9</v>
      </c>
      <c r="C188" s="9">
        <v>1912</v>
      </c>
      <c r="D188" s="10">
        <v>45616</v>
      </c>
      <c r="E188" s="13" t="str">
        <f>+HYPERLINK("http://trademark.i-assist.jp/data/china/image_1912th/79948182.pdf","79948182")</f>
        <v>79948182</v>
      </c>
      <c r="F188" s="12" t="s">
        <v>601</v>
      </c>
      <c r="G188" s="12" t="s">
        <v>48</v>
      </c>
      <c r="H188" s="9" t="s">
        <v>602</v>
      </c>
      <c r="I188" s="10">
        <v>45496</v>
      </c>
    </row>
    <row r="189" spans="1:9" x14ac:dyDescent="0.15">
      <c r="A189" s="9">
        <v>188</v>
      </c>
      <c r="B189" s="9" t="s">
        <v>9</v>
      </c>
      <c r="C189" s="9">
        <v>1912</v>
      </c>
      <c r="D189" s="10">
        <v>45616</v>
      </c>
      <c r="E189" s="13" t="str">
        <f>+HYPERLINK("http://trademark.i-assist.jp/data/china/image_1912th/79951790.pdf","79951790")</f>
        <v>79951790</v>
      </c>
      <c r="F189" s="9" t="s">
        <v>603</v>
      </c>
      <c r="G189" s="12" t="s">
        <v>604</v>
      </c>
      <c r="H189" s="9" t="s">
        <v>605</v>
      </c>
      <c r="I189" s="10">
        <v>45496</v>
      </c>
    </row>
    <row r="190" spans="1:9" x14ac:dyDescent="0.15">
      <c r="A190" s="9">
        <v>189</v>
      </c>
      <c r="B190" s="9" t="s">
        <v>9</v>
      </c>
      <c r="C190" s="9">
        <v>1912</v>
      </c>
      <c r="D190" s="10">
        <v>45616</v>
      </c>
      <c r="E190" s="13" t="str">
        <f>+HYPERLINK("http://trademark.i-assist.jp/data/china/image_1912th/79955425.pdf","79955425")</f>
        <v>79955425</v>
      </c>
      <c r="F190" s="12" t="s">
        <v>606</v>
      </c>
      <c r="G190" s="12" t="s">
        <v>607</v>
      </c>
      <c r="H190" s="9" t="s">
        <v>608</v>
      </c>
      <c r="I190" s="10">
        <v>45496</v>
      </c>
    </row>
    <row r="191" spans="1:9" x14ac:dyDescent="0.15">
      <c r="A191" s="9">
        <v>190</v>
      </c>
      <c r="B191" s="9" t="s">
        <v>9</v>
      </c>
      <c r="C191" s="9">
        <v>1912</v>
      </c>
      <c r="D191" s="10">
        <v>45616</v>
      </c>
      <c r="E191" s="13" t="str">
        <f>+HYPERLINK("http://trademark.i-assist.jp/data/china/image_1912th/79962138.pdf","79962138")</f>
        <v>79962138</v>
      </c>
      <c r="F191" s="12" t="s">
        <v>609</v>
      </c>
      <c r="G191" s="12" t="s">
        <v>610</v>
      </c>
      <c r="H191" s="9" t="s">
        <v>611</v>
      </c>
      <c r="I191" s="10">
        <v>45496</v>
      </c>
    </row>
    <row r="192" spans="1:9" x14ac:dyDescent="0.15">
      <c r="A192" s="9">
        <v>191</v>
      </c>
      <c r="B192" s="9" t="s">
        <v>9</v>
      </c>
      <c r="C192" s="9">
        <v>1912</v>
      </c>
      <c r="D192" s="10">
        <v>45616</v>
      </c>
      <c r="E192" s="13" t="str">
        <f>+HYPERLINK("http://trademark.i-assist.jp/data/china/image_1912th/79971248.pdf","79971248")</f>
        <v>79971248</v>
      </c>
      <c r="F192" s="9" t="s">
        <v>612</v>
      </c>
      <c r="G192" s="12" t="s">
        <v>613</v>
      </c>
      <c r="H192" s="9" t="s">
        <v>614</v>
      </c>
      <c r="I192" s="10">
        <v>45497</v>
      </c>
    </row>
    <row r="193" spans="1:9" x14ac:dyDescent="0.15">
      <c r="A193" s="9">
        <v>192</v>
      </c>
      <c r="B193" s="9" t="s">
        <v>9</v>
      </c>
      <c r="C193" s="9">
        <v>1912</v>
      </c>
      <c r="D193" s="10">
        <v>45616</v>
      </c>
      <c r="E193" s="13" t="str">
        <f>+HYPERLINK("http://trademark.i-assist.jp/data/china/image_1912th/79996824.pdf","79996824")</f>
        <v>79996824</v>
      </c>
      <c r="F193" s="9" t="s">
        <v>615</v>
      </c>
      <c r="G193" s="9" t="s">
        <v>616</v>
      </c>
      <c r="H193" s="9" t="s">
        <v>617</v>
      </c>
      <c r="I193" s="10">
        <v>45498</v>
      </c>
    </row>
    <row r="194" spans="1:9" x14ac:dyDescent="0.15">
      <c r="A194" s="9">
        <v>193</v>
      </c>
      <c r="B194" s="9" t="s">
        <v>9</v>
      </c>
      <c r="C194" s="9">
        <v>1912</v>
      </c>
      <c r="D194" s="10">
        <v>45616</v>
      </c>
      <c r="E194" s="13" t="str">
        <f>+HYPERLINK("http://trademark.i-assist.jp/data/china/image_1912th/79997323.pdf","79997323")</f>
        <v>79997323</v>
      </c>
      <c r="F194" s="12" t="s">
        <v>15</v>
      </c>
      <c r="G194" s="9" t="s">
        <v>618</v>
      </c>
      <c r="H194" s="9" t="s">
        <v>619</v>
      </c>
      <c r="I194" s="10">
        <v>45498</v>
      </c>
    </row>
    <row r="195" spans="1:9" x14ac:dyDescent="0.15">
      <c r="A195" s="9">
        <v>194</v>
      </c>
      <c r="B195" s="9" t="s">
        <v>9</v>
      </c>
      <c r="C195" s="9">
        <v>1912</v>
      </c>
      <c r="D195" s="10">
        <v>45616</v>
      </c>
      <c r="E195" s="13" t="str">
        <f>+HYPERLINK("http://trademark.i-assist.jp/data/china/image_1912th/79998005.pdf","79998005")</f>
        <v>79998005</v>
      </c>
      <c r="F195" s="9" t="s">
        <v>620</v>
      </c>
      <c r="G195" s="9" t="s">
        <v>621</v>
      </c>
      <c r="H195" s="9" t="s">
        <v>622</v>
      </c>
      <c r="I195" s="10">
        <v>45498</v>
      </c>
    </row>
    <row r="196" spans="1:9" x14ac:dyDescent="0.15">
      <c r="A196" s="9">
        <v>195</v>
      </c>
      <c r="B196" s="9" t="s">
        <v>9</v>
      </c>
      <c r="C196" s="9">
        <v>1912</v>
      </c>
      <c r="D196" s="10">
        <v>45616</v>
      </c>
      <c r="E196" s="13" t="str">
        <f>+HYPERLINK("http://trademark.i-assist.jp/data/china/image_1912th/79999833.pdf","79999833")</f>
        <v>79999833</v>
      </c>
      <c r="F196" s="9" t="s">
        <v>623</v>
      </c>
      <c r="G196" s="12" t="s">
        <v>624</v>
      </c>
      <c r="H196" s="12" t="s">
        <v>625</v>
      </c>
      <c r="I196" s="10">
        <v>45498</v>
      </c>
    </row>
    <row r="197" spans="1:9" x14ac:dyDescent="0.15">
      <c r="A197" s="9">
        <v>196</v>
      </c>
      <c r="B197" s="9" t="s">
        <v>9</v>
      </c>
      <c r="C197" s="9">
        <v>1912</v>
      </c>
      <c r="D197" s="10">
        <v>45616</v>
      </c>
      <c r="E197" s="13" t="str">
        <f>+HYPERLINK("http://trademark.i-assist.jp/data/china/image_1912th/80006907.pdf","80006907")</f>
        <v>80006907</v>
      </c>
      <c r="F197" s="9" t="s">
        <v>626</v>
      </c>
      <c r="G197" s="12" t="s">
        <v>627</v>
      </c>
      <c r="H197" s="9" t="s">
        <v>628</v>
      </c>
      <c r="I197" s="10">
        <v>45498</v>
      </c>
    </row>
    <row r="198" spans="1:9" x14ac:dyDescent="0.15">
      <c r="A198" s="9">
        <v>197</v>
      </c>
      <c r="B198" s="9" t="s">
        <v>9</v>
      </c>
      <c r="C198" s="9">
        <v>1912</v>
      </c>
      <c r="D198" s="10">
        <v>45616</v>
      </c>
      <c r="E198" s="13" t="str">
        <f>+HYPERLINK("http://trademark.i-assist.jp/data/china/image_1912th/80008786.pdf","80008786")</f>
        <v>80008786</v>
      </c>
      <c r="F198" s="12" t="s">
        <v>629</v>
      </c>
      <c r="G198" s="9" t="s">
        <v>630</v>
      </c>
      <c r="H198" s="9" t="s">
        <v>631</v>
      </c>
      <c r="I198" s="10">
        <v>45498</v>
      </c>
    </row>
    <row r="199" spans="1:9" x14ac:dyDescent="0.15">
      <c r="A199" s="9">
        <v>198</v>
      </c>
      <c r="B199" s="9" t="s">
        <v>9</v>
      </c>
      <c r="C199" s="9">
        <v>1912</v>
      </c>
      <c r="D199" s="10">
        <v>45616</v>
      </c>
      <c r="E199" s="13" t="str">
        <f>+HYPERLINK("http://trademark.i-assist.jp/data/china/image_1912th/80009728.pdf","80009728")</f>
        <v>80009728</v>
      </c>
      <c r="F199" s="9" t="s">
        <v>632</v>
      </c>
      <c r="G199" s="12" t="s">
        <v>633</v>
      </c>
      <c r="H199" s="9" t="s">
        <v>634</v>
      </c>
      <c r="I199" s="10">
        <v>45498</v>
      </c>
    </row>
    <row r="200" spans="1:9" x14ac:dyDescent="0.15">
      <c r="A200" s="9">
        <v>199</v>
      </c>
      <c r="B200" s="9" t="s">
        <v>9</v>
      </c>
      <c r="C200" s="9">
        <v>1912</v>
      </c>
      <c r="D200" s="10">
        <v>45616</v>
      </c>
      <c r="E200" s="13" t="str">
        <f>+HYPERLINK("http://trademark.i-assist.jp/data/china/image_1912th/80012120.pdf","80012120")</f>
        <v>80012120</v>
      </c>
      <c r="F200" s="9" t="s">
        <v>635</v>
      </c>
      <c r="G200" s="12" t="s">
        <v>636</v>
      </c>
      <c r="H200" s="9" t="s">
        <v>637</v>
      </c>
      <c r="I200" s="10">
        <v>45499</v>
      </c>
    </row>
    <row r="201" spans="1:9" x14ac:dyDescent="0.15">
      <c r="A201" s="9">
        <v>200</v>
      </c>
      <c r="B201" s="9" t="s">
        <v>9</v>
      </c>
      <c r="C201" s="9">
        <v>1912</v>
      </c>
      <c r="D201" s="10">
        <v>45616</v>
      </c>
      <c r="E201" s="13" t="str">
        <f>+HYPERLINK("http://trademark.i-assist.jp/data/china/image_1912th/80017471.pdf","80017471")</f>
        <v>80017471</v>
      </c>
      <c r="F201" s="9" t="s">
        <v>638</v>
      </c>
      <c r="G201" s="9" t="s">
        <v>639</v>
      </c>
      <c r="H201" s="9" t="s">
        <v>640</v>
      </c>
      <c r="I201" s="10">
        <v>45499</v>
      </c>
    </row>
    <row r="202" spans="1:9" x14ac:dyDescent="0.15">
      <c r="A202" s="9">
        <v>201</v>
      </c>
      <c r="B202" s="9" t="s">
        <v>9</v>
      </c>
      <c r="C202" s="9">
        <v>1912</v>
      </c>
      <c r="D202" s="10">
        <v>45616</v>
      </c>
      <c r="E202" s="13" t="str">
        <f>+HYPERLINK("http://trademark.i-assist.jp/data/china/image_1912th/80017913.pdf","80017913")</f>
        <v>80017913</v>
      </c>
      <c r="F202" s="9" t="s">
        <v>641</v>
      </c>
      <c r="G202" s="12" t="s">
        <v>636</v>
      </c>
      <c r="H202" s="9" t="s">
        <v>642</v>
      </c>
      <c r="I202" s="10">
        <v>45499</v>
      </c>
    </row>
    <row r="203" spans="1:9" x14ac:dyDescent="0.15">
      <c r="A203" s="9">
        <v>202</v>
      </c>
      <c r="B203" s="9" t="s">
        <v>9</v>
      </c>
      <c r="C203" s="9">
        <v>1912</v>
      </c>
      <c r="D203" s="10">
        <v>45616</v>
      </c>
      <c r="E203" s="13" t="str">
        <f>+HYPERLINK("http://trademark.i-assist.jp/data/china/image_1912th/80019416.pdf","80019416")</f>
        <v>80019416</v>
      </c>
      <c r="F203" s="9" t="s">
        <v>643</v>
      </c>
      <c r="G203" s="12" t="s">
        <v>636</v>
      </c>
      <c r="H203" s="9" t="s">
        <v>644</v>
      </c>
      <c r="I203" s="10">
        <v>45499</v>
      </c>
    </row>
    <row r="204" spans="1:9" x14ac:dyDescent="0.15">
      <c r="A204" s="9">
        <v>203</v>
      </c>
      <c r="B204" s="9" t="s">
        <v>9</v>
      </c>
      <c r="C204" s="9">
        <v>1912</v>
      </c>
      <c r="D204" s="10">
        <v>45616</v>
      </c>
      <c r="E204" s="13" t="str">
        <f>+HYPERLINK("http://trademark.i-assist.jp/data/china/image_1912th/80019618.pdf","80019618")</f>
        <v>80019618</v>
      </c>
      <c r="F204" s="9" t="s">
        <v>645</v>
      </c>
      <c r="G204" s="9" t="s">
        <v>646</v>
      </c>
      <c r="H204" s="9" t="s">
        <v>647</v>
      </c>
      <c r="I204" s="10">
        <v>45499</v>
      </c>
    </row>
    <row r="205" spans="1:9" x14ac:dyDescent="0.15">
      <c r="A205" s="9">
        <v>204</v>
      </c>
      <c r="B205" s="9" t="s">
        <v>9</v>
      </c>
      <c r="C205" s="9">
        <v>1912</v>
      </c>
      <c r="D205" s="10">
        <v>45616</v>
      </c>
      <c r="E205" s="13" t="str">
        <f>+HYPERLINK("http://trademark.i-assist.jp/data/china/image_1912th/80026747.pdf","80026747")</f>
        <v>80026747</v>
      </c>
      <c r="F205" s="9" t="s">
        <v>648</v>
      </c>
      <c r="G205" s="12" t="s">
        <v>636</v>
      </c>
      <c r="H205" s="9" t="s">
        <v>649</v>
      </c>
      <c r="I205" s="10">
        <v>45499</v>
      </c>
    </row>
    <row r="206" spans="1:9" x14ac:dyDescent="0.15">
      <c r="A206" s="9">
        <v>205</v>
      </c>
      <c r="B206" s="9" t="s">
        <v>9</v>
      </c>
      <c r="C206" s="9">
        <v>1912</v>
      </c>
      <c r="D206" s="10">
        <v>45616</v>
      </c>
      <c r="E206" s="13" t="str">
        <f>+HYPERLINK("http://trademark.i-assist.jp/data/china/image_1912th/80028508.pdf","80028508")</f>
        <v>80028508</v>
      </c>
      <c r="F206" s="12" t="s">
        <v>650</v>
      </c>
      <c r="G206" s="12" t="s">
        <v>651</v>
      </c>
      <c r="H206" s="9" t="s">
        <v>652</v>
      </c>
      <c r="I206" s="10">
        <v>45499</v>
      </c>
    </row>
    <row r="207" spans="1:9" x14ac:dyDescent="0.15">
      <c r="A207" s="9">
        <v>206</v>
      </c>
      <c r="B207" s="9" t="s">
        <v>9</v>
      </c>
      <c r="C207" s="9">
        <v>1912</v>
      </c>
      <c r="D207" s="10">
        <v>45616</v>
      </c>
      <c r="E207" s="13" t="str">
        <f>+HYPERLINK("http://trademark.i-assist.jp/data/china/image_1912th/80028902.pdf","80028902")</f>
        <v>80028902</v>
      </c>
      <c r="F207" s="9" t="s">
        <v>653</v>
      </c>
      <c r="G207" s="9" t="s">
        <v>654</v>
      </c>
      <c r="H207" s="9" t="s">
        <v>655</v>
      </c>
      <c r="I207" s="10">
        <v>45499</v>
      </c>
    </row>
    <row r="208" spans="1:9" x14ac:dyDescent="0.15">
      <c r="A208" s="9">
        <v>207</v>
      </c>
      <c r="B208" s="9" t="s">
        <v>9</v>
      </c>
      <c r="C208" s="9">
        <v>1912</v>
      </c>
      <c r="D208" s="10">
        <v>45616</v>
      </c>
      <c r="E208" s="13" t="str">
        <f>+HYPERLINK("http://trademark.i-assist.jp/data/china/image_1912th/80030440.pdf","80030440")</f>
        <v>80030440</v>
      </c>
      <c r="F208" s="9" t="s">
        <v>656</v>
      </c>
      <c r="G208" s="12" t="s">
        <v>657</v>
      </c>
      <c r="H208" s="9" t="s">
        <v>658</v>
      </c>
      <c r="I208" s="10">
        <v>45499</v>
      </c>
    </row>
    <row r="209" spans="1:9" x14ac:dyDescent="0.15">
      <c r="A209" s="9">
        <v>208</v>
      </c>
      <c r="B209" s="9" t="s">
        <v>9</v>
      </c>
      <c r="C209" s="9">
        <v>1912</v>
      </c>
      <c r="D209" s="10">
        <v>45616</v>
      </c>
      <c r="E209" s="13" t="str">
        <f>+HYPERLINK("http://trademark.i-assist.jp/data/china/image_1912th/80045417.pdf","80045417")</f>
        <v>80045417</v>
      </c>
      <c r="F209" s="12" t="s">
        <v>659</v>
      </c>
      <c r="G209" s="12" t="s">
        <v>660</v>
      </c>
      <c r="H209" s="9" t="s">
        <v>661</v>
      </c>
      <c r="I209" s="10">
        <v>45502</v>
      </c>
    </row>
    <row r="210" spans="1:9" x14ac:dyDescent="0.15">
      <c r="A210" s="9">
        <v>209</v>
      </c>
      <c r="B210" s="9" t="s">
        <v>9</v>
      </c>
      <c r="C210" s="9">
        <v>1912</v>
      </c>
      <c r="D210" s="10">
        <v>45616</v>
      </c>
      <c r="E210" s="13" t="str">
        <f>+HYPERLINK("http://trademark.i-assist.jp/data/china/image_1912th/80048056.pdf","80048056")</f>
        <v>80048056</v>
      </c>
      <c r="F210" s="9" t="s">
        <v>662</v>
      </c>
      <c r="G210" s="9" t="s">
        <v>663</v>
      </c>
      <c r="H210" s="9" t="s">
        <v>664</v>
      </c>
      <c r="I210" s="10">
        <v>45502</v>
      </c>
    </row>
    <row r="211" spans="1:9" x14ac:dyDescent="0.15">
      <c r="A211" s="9">
        <v>210</v>
      </c>
      <c r="B211" s="9" t="s">
        <v>9</v>
      </c>
      <c r="C211" s="9">
        <v>1912</v>
      </c>
      <c r="D211" s="10">
        <v>45616</v>
      </c>
      <c r="E211" s="13" t="str">
        <f>+HYPERLINK("http://trademark.i-assist.jp/data/china/image_1912th/80048951.pdf","80048951")</f>
        <v>80048951</v>
      </c>
      <c r="F211" s="9" t="s">
        <v>665</v>
      </c>
      <c r="G211" s="12" t="s">
        <v>666</v>
      </c>
      <c r="H211" s="9" t="s">
        <v>667</v>
      </c>
      <c r="I211" s="10">
        <v>45502</v>
      </c>
    </row>
    <row r="212" spans="1:9" x14ac:dyDescent="0.15">
      <c r="A212" s="9">
        <v>211</v>
      </c>
      <c r="B212" s="9" t="s">
        <v>9</v>
      </c>
      <c r="C212" s="9">
        <v>1912</v>
      </c>
      <c r="D212" s="10">
        <v>45616</v>
      </c>
      <c r="E212" s="13" t="str">
        <f>+HYPERLINK("http://trademark.i-assist.jp/data/china/image_1912th/80053091.pdf","80053091")</f>
        <v>80053091</v>
      </c>
      <c r="F212" s="9" t="s">
        <v>668</v>
      </c>
      <c r="G212" s="9" t="s">
        <v>669</v>
      </c>
      <c r="H212" s="9" t="s">
        <v>670</v>
      </c>
      <c r="I212" s="10">
        <v>45502</v>
      </c>
    </row>
    <row r="213" spans="1:9" x14ac:dyDescent="0.15">
      <c r="A213" s="9">
        <v>212</v>
      </c>
      <c r="B213" s="9" t="s">
        <v>9</v>
      </c>
      <c r="C213" s="9">
        <v>1912</v>
      </c>
      <c r="D213" s="10">
        <v>45616</v>
      </c>
      <c r="E213" s="13" t="str">
        <f>+HYPERLINK("http://trademark.i-assist.jp/data/china/image_1912th/80053231.pdf","80053231")</f>
        <v>80053231</v>
      </c>
      <c r="F213" s="9" t="s">
        <v>671</v>
      </c>
      <c r="G213" s="9" t="s">
        <v>672</v>
      </c>
      <c r="H213" s="9" t="s">
        <v>673</v>
      </c>
      <c r="I213" s="10">
        <v>45502</v>
      </c>
    </row>
    <row r="214" spans="1:9" x14ac:dyDescent="0.15">
      <c r="A214" s="9">
        <v>213</v>
      </c>
      <c r="B214" s="9" t="s">
        <v>9</v>
      </c>
      <c r="C214" s="9">
        <v>1912</v>
      </c>
      <c r="D214" s="10">
        <v>45616</v>
      </c>
      <c r="E214" s="13" t="str">
        <f>+HYPERLINK("http://trademark.i-assist.jp/data/china/image_1912th/80054420.pdf","80054420")</f>
        <v>80054420</v>
      </c>
      <c r="F214" s="9" t="s">
        <v>674</v>
      </c>
      <c r="G214" s="12" t="s">
        <v>675</v>
      </c>
      <c r="H214" s="9" t="s">
        <v>676</v>
      </c>
      <c r="I214" s="10">
        <v>45502</v>
      </c>
    </row>
    <row r="215" spans="1:9" x14ac:dyDescent="0.15">
      <c r="A215" s="9">
        <v>214</v>
      </c>
      <c r="B215" s="9" t="s">
        <v>9</v>
      </c>
      <c r="C215" s="9">
        <v>1912</v>
      </c>
      <c r="D215" s="10">
        <v>45616</v>
      </c>
      <c r="E215" s="13" t="str">
        <f>+HYPERLINK("http://trademark.i-assist.jp/data/china/image_1912th/80054714.pdf","80054714")</f>
        <v>80054714</v>
      </c>
      <c r="F215" s="9" t="s">
        <v>677</v>
      </c>
      <c r="G215" s="9" t="s">
        <v>678</v>
      </c>
      <c r="H215" s="9" t="s">
        <v>679</v>
      </c>
      <c r="I215" s="10">
        <v>45502</v>
      </c>
    </row>
    <row r="216" spans="1:9" x14ac:dyDescent="0.15">
      <c r="A216" s="9">
        <v>215</v>
      </c>
      <c r="B216" s="9" t="s">
        <v>9</v>
      </c>
      <c r="C216" s="9">
        <v>1912</v>
      </c>
      <c r="D216" s="10">
        <v>45616</v>
      </c>
      <c r="E216" s="13" t="str">
        <f>+HYPERLINK("http://trademark.i-assist.jp/data/china/image_1912th/80058169.pdf","80058169")</f>
        <v>80058169</v>
      </c>
      <c r="F216" s="12" t="s">
        <v>680</v>
      </c>
      <c r="G216" s="12" t="s">
        <v>660</v>
      </c>
      <c r="H216" s="9" t="s">
        <v>681</v>
      </c>
      <c r="I216" s="10">
        <v>45502</v>
      </c>
    </row>
    <row r="217" spans="1:9" x14ac:dyDescent="0.15">
      <c r="A217" s="9">
        <v>216</v>
      </c>
      <c r="B217" s="9" t="s">
        <v>9</v>
      </c>
      <c r="C217" s="9">
        <v>1912</v>
      </c>
      <c r="D217" s="10">
        <v>45616</v>
      </c>
      <c r="E217" s="13" t="str">
        <f>+HYPERLINK("http://trademark.i-assist.jp/data/china/image_1912th/80061451.pdf","80061451")</f>
        <v>80061451</v>
      </c>
      <c r="F217" s="9" t="s">
        <v>682</v>
      </c>
      <c r="G217" s="9" t="s">
        <v>683</v>
      </c>
      <c r="H217" s="9" t="s">
        <v>684</v>
      </c>
      <c r="I217" s="10">
        <v>45502</v>
      </c>
    </row>
    <row r="218" spans="1:9" x14ac:dyDescent="0.15">
      <c r="A218" s="9">
        <v>217</v>
      </c>
      <c r="B218" s="9" t="s">
        <v>9</v>
      </c>
      <c r="C218" s="9">
        <v>1912</v>
      </c>
      <c r="D218" s="10">
        <v>45616</v>
      </c>
      <c r="E218" s="13" t="str">
        <f>+HYPERLINK("http://trademark.i-assist.jp/data/china/image_1912th/80063685.pdf","80063685")</f>
        <v>80063685</v>
      </c>
      <c r="F218" s="9" t="s">
        <v>685</v>
      </c>
      <c r="G218" s="9" t="s">
        <v>686</v>
      </c>
      <c r="H218" s="9" t="s">
        <v>687</v>
      </c>
      <c r="I218" s="10">
        <v>45502</v>
      </c>
    </row>
    <row r="219" spans="1:9" x14ac:dyDescent="0.15">
      <c r="A219" s="9">
        <v>218</v>
      </c>
      <c r="B219" s="9" t="s">
        <v>9</v>
      </c>
      <c r="C219" s="9">
        <v>1912</v>
      </c>
      <c r="D219" s="10">
        <v>45616</v>
      </c>
      <c r="E219" s="13" t="str">
        <f>+HYPERLINK("http://trademark.i-assist.jp/data/china/image_1912th/80065577.pdf","80065577")</f>
        <v>80065577</v>
      </c>
      <c r="F219" s="9" t="s">
        <v>688</v>
      </c>
      <c r="G219" s="9" t="s">
        <v>689</v>
      </c>
      <c r="H219" s="9" t="s">
        <v>690</v>
      </c>
      <c r="I219" s="10">
        <v>45502</v>
      </c>
    </row>
    <row r="220" spans="1:9" x14ac:dyDescent="0.15">
      <c r="A220" s="9">
        <v>219</v>
      </c>
      <c r="B220" s="9" t="s">
        <v>9</v>
      </c>
      <c r="C220" s="9">
        <v>1912</v>
      </c>
      <c r="D220" s="10">
        <v>45616</v>
      </c>
      <c r="E220" s="13" t="str">
        <f>+HYPERLINK("http://trademark.i-assist.jp/data/china/image_1912th/80066426.pdf","80066426")</f>
        <v>80066426</v>
      </c>
      <c r="F220" s="9" t="s">
        <v>691</v>
      </c>
      <c r="G220" s="9" t="s">
        <v>692</v>
      </c>
      <c r="H220" s="12" t="s">
        <v>693</v>
      </c>
      <c r="I220" s="10">
        <v>45502</v>
      </c>
    </row>
    <row r="221" spans="1:9" x14ac:dyDescent="0.15">
      <c r="A221" s="9">
        <v>220</v>
      </c>
      <c r="B221" s="9" t="s">
        <v>9</v>
      </c>
      <c r="C221" s="9">
        <v>1912</v>
      </c>
      <c r="D221" s="10">
        <v>45616</v>
      </c>
      <c r="E221" s="13" t="str">
        <f>+HYPERLINK("http://trademark.i-assist.jp/data/china/image_1912th/80069475.pdf","80069475")</f>
        <v>80069475</v>
      </c>
      <c r="F221" s="9" t="s">
        <v>694</v>
      </c>
      <c r="G221" s="9" t="s">
        <v>62</v>
      </c>
      <c r="H221" s="9" t="s">
        <v>695</v>
      </c>
      <c r="I221" s="10">
        <v>45502</v>
      </c>
    </row>
    <row r="222" spans="1:9" x14ac:dyDescent="0.15">
      <c r="A222" s="9">
        <v>221</v>
      </c>
      <c r="B222" s="9" t="s">
        <v>9</v>
      </c>
      <c r="C222" s="9">
        <v>1912</v>
      </c>
      <c r="D222" s="10">
        <v>45616</v>
      </c>
      <c r="E222" s="13" t="str">
        <f>+HYPERLINK("http://trademark.i-assist.jp/data/china/image_1912th/80073478.pdf","80073478")</f>
        <v>80073478</v>
      </c>
      <c r="F222" s="9" t="s">
        <v>696</v>
      </c>
      <c r="G222" s="9" t="s">
        <v>697</v>
      </c>
      <c r="H222" s="9" t="s">
        <v>698</v>
      </c>
      <c r="I222" s="10">
        <v>45503</v>
      </c>
    </row>
    <row r="223" spans="1:9" x14ac:dyDescent="0.15">
      <c r="A223" s="9">
        <v>222</v>
      </c>
      <c r="B223" s="9" t="s">
        <v>9</v>
      </c>
      <c r="C223" s="9">
        <v>1912</v>
      </c>
      <c r="D223" s="10">
        <v>45616</v>
      </c>
      <c r="E223" s="13" t="str">
        <f>+HYPERLINK("http://trademark.i-assist.jp/data/china/image_1912th/80074832.pdf","80074832")</f>
        <v>80074832</v>
      </c>
      <c r="F223" s="9" t="s">
        <v>699</v>
      </c>
      <c r="G223" s="9" t="s">
        <v>700</v>
      </c>
      <c r="H223" s="9" t="s">
        <v>701</v>
      </c>
      <c r="I223" s="10">
        <v>45503</v>
      </c>
    </row>
    <row r="224" spans="1:9" x14ac:dyDescent="0.15">
      <c r="A224" s="9">
        <v>223</v>
      </c>
      <c r="B224" s="9" t="s">
        <v>9</v>
      </c>
      <c r="C224" s="9">
        <v>1912</v>
      </c>
      <c r="D224" s="10">
        <v>45616</v>
      </c>
      <c r="E224" s="13" t="str">
        <f>+HYPERLINK("http://trademark.i-assist.jp/data/china/image_1912th/80079026.pdf","80079026")</f>
        <v>80079026</v>
      </c>
      <c r="F224" s="9" t="s">
        <v>702</v>
      </c>
      <c r="G224" s="9" t="s">
        <v>703</v>
      </c>
      <c r="H224" s="9" t="s">
        <v>704</v>
      </c>
      <c r="I224" s="10">
        <v>45503</v>
      </c>
    </row>
    <row r="225" spans="1:9" x14ac:dyDescent="0.15">
      <c r="A225" s="9">
        <v>224</v>
      </c>
      <c r="B225" s="9" t="s">
        <v>9</v>
      </c>
      <c r="C225" s="9">
        <v>1912</v>
      </c>
      <c r="D225" s="10">
        <v>45616</v>
      </c>
      <c r="E225" s="13" t="str">
        <f>+HYPERLINK("http://trademark.i-assist.jp/data/china/image_1912th/80083397.pdf","80083397")</f>
        <v>80083397</v>
      </c>
      <c r="F225" s="9" t="s">
        <v>705</v>
      </c>
      <c r="G225" s="12" t="s">
        <v>706</v>
      </c>
      <c r="H225" s="9" t="s">
        <v>707</v>
      </c>
      <c r="I225" s="10">
        <v>45503</v>
      </c>
    </row>
    <row r="226" spans="1:9" x14ac:dyDescent="0.15">
      <c r="A226" s="9">
        <v>225</v>
      </c>
      <c r="B226" s="9" t="s">
        <v>9</v>
      </c>
      <c r="C226" s="9">
        <v>1912</v>
      </c>
      <c r="D226" s="10">
        <v>45616</v>
      </c>
      <c r="E226" s="13" t="str">
        <f>+HYPERLINK("http://trademark.i-assist.jp/data/china/image_1912th/80084464.pdf","80084464")</f>
        <v>80084464</v>
      </c>
      <c r="F226" s="12" t="s">
        <v>708</v>
      </c>
      <c r="G226" s="9" t="s">
        <v>709</v>
      </c>
      <c r="H226" s="9" t="s">
        <v>710</v>
      </c>
      <c r="I226" s="10">
        <v>45503</v>
      </c>
    </row>
    <row r="227" spans="1:9" x14ac:dyDescent="0.15">
      <c r="A227" s="9">
        <v>226</v>
      </c>
      <c r="B227" s="9" t="s">
        <v>9</v>
      </c>
      <c r="C227" s="9">
        <v>1912</v>
      </c>
      <c r="D227" s="10">
        <v>45616</v>
      </c>
      <c r="E227" s="13" t="str">
        <f>+HYPERLINK("http://trademark.i-assist.jp/data/china/image_1912th/80084565.pdf","80084565")</f>
        <v>80084565</v>
      </c>
      <c r="F227" s="9" t="s">
        <v>711</v>
      </c>
      <c r="G227" s="9" t="s">
        <v>712</v>
      </c>
      <c r="H227" s="9" t="s">
        <v>713</v>
      </c>
      <c r="I227" s="10">
        <v>45503</v>
      </c>
    </row>
    <row r="228" spans="1:9" x14ac:dyDescent="0.15">
      <c r="A228" s="9">
        <v>227</v>
      </c>
      <c r="B228" s="9" t="s">
        <v>9</v>
      </c>
      <c r="C228" s="9">
        <v>1912</v>
      </c>
      <c r="D228" s="10">
        <v>45616</v>
      </c>
      <c r="E228" s="13" t="str">
        <f>+HYPERLINK("http://trademark.i-assist.jp/data/china/image_1912th/80105171.pdf","80105171")</f>
        <v>80105171</v>
      </c>
      <c r="F228" s="12" t="s">
        <v>714</v>
      </c>
      <c r="G228" s="12" t="s">
        <v>77</v>
      </c>
      <c r="H228" s="9" t="s">
        <v>715</v>
      </c>
      <c r="I228" s="10">
        <v>45504</v>
      </c>
    </row>
    <row r="229" spans="1:9" x14ac:dyDescent="0.15">
      <c r="A229" s="9">
        <v>228</v>
      </c>
      <c r="B229" s="9" t="s">
        <v>9</v>
      </c>
      <c r="C229" s="9">
        <v>1912</v>
      </c>
      <c r="D229" s="10">
        <v>45616</v>
      </c>
      <c r="E229" s="13" t="str">
        <f>+HYPERLINK("http://trademark.i-assist.jp/data/china/image_1912th/80108309.pdf","80108309")</f>
        <v>80108309</v>
      </c>
      <c r="F229" s="12" t="s">
        <v>15</v>
      </c>
      <c r="G229" s="9" t="s">
        <v>716</v>
      </c>
      <c r="H229" s="9" t="s">
        <v>717</v>
      </c>
      <c r="I229" s="10">
        <v>45504</v>
      </c>
    </row>
    <row r="230" spans="1:9" x14ac:dyDescent="0.15">
      <c r="A230" s="9">
        <v>229</v>
      </c>
      <c r="B230" s="9" t="s">
        <v>9</v>
      </c>
      <c r="C230" s="9">
        <v>1912</v>
      </c>
      <c r="D230" s="10">
        <v>45616</v>
      </c>
      <c r="E230" s="13" t="str">
        <f>+HYPERLINK("http://trademark.i-assist.jp/data/china/image_1912th/80109084.pdf","80109084")</f>
        <v>80109084</v>
      </c>
      <c r="F230" s="9" t="s">
        <v>718</v>
      </c>
      <c r="G230" s="12" t="s">
        <v>77</v>
      </c>
      <c r="H230" s="9" t="s">
        <v>719</v>
      </c>
      <c r="I230" s="10">
        <v>45504</v>
      </c>
    </row>
    <row r="231" spans="1:9" x14ac:dyDescent="0.15">
      <c r="A231" s="9">
        <v>230</v>
      </c>
      <c r="B231" s="9" t="s">
        <v>9</v>
      </c>
      <c r="C231" s="9">
        <v>1912</v>
      </c>
      <c r="D231" s="10">
        <v>45616</v>
      </c>
      <c r="E231" s="13" t="str">
        <f>+HYPERLINK("http://trademark.i-assist.jp/data/china/image_1912th/80110065.pdf","80110065")</f>
        <v>80110065</v>
      </c>
      <c r="F231" s="9" t="s">
        <v>720</v>
      </c>
      <c r="G231" s="12" t="s">
        <v>721</v>
      </c>
      <c r="H231" s="9" t="s">
        <v>722</v>
      </c>
      <c r="I231" s="10">
        <v>45504</v>
      </c>
    </row>
    <row r="232" spans="1:9" x14ac:dyDescent="0.15">
      <c r="A232" s="9">
        <v>231</v>
      </c>
      <c r="B232" s="9" t="s">
        <v>9</v>
      </c>
      <c r="C232" s="9">
        <v>1912</v>
      </c>
      <c r="D232" s="10">
        <v>45616</v>
      </c>
      <c r="E232" s="13" t="str">
        <f>+HYPERLINK("http://trademark.i-assist.jp/data/china/image_1912th/80112231.pdf","80112231")</f>
        <v>80112231</v>
      </c>
      <c r="F232" s="9" t="s">
        <v>723</v>
      </c>
      <c r="G232" s="9" t="s">
        <v>724</v>
      </c>
      <c r="H232" s="9" t="s">
        <v>725</v>
      </c>
      <c r="I232" s="10">
        <v>45504</v>
      </c>
    </row>
    <row r="233" spans="1:9" x14ac:dyDescent="0.15">
      <c r="A233" s="9">
        <v>232</v>
      </c>
      <c r="B233" s="9" t="s">
        <v>9</v>
      </c>
      <c r="C233" s="9">
        <v>1912</v>
      </c>
      <c r="D233" s="10">
        <v>45616</v>
      </c>
      <c r="E233" s="13" t="str">
        <f>+HYPERLINK("http://trademark.i-assist.jp/data/china/image_1912th/80114097.pdf","80114097")</f>
        <v>80114097</v>
      </c>
      <c r="F233" s="9" t="s">
        <v>726</v>
      </c>
      <c r="G233" s="9" t="s">
        <v>727</v>
      </c>
      <c r="H233" s="9" t="s">
        <v>728</v>
      </c>
      <c r="I233" s="10">
        <v>45504</v>
      </c>
    </row>
    <row r="234" spans="1:9" x14ac:dyDescent="0.15">
      <c r="A234" s="9">
        <v>233</v>
      </c>
      <c r="B234" s="9" t="s">
        <v>9</v>
      </c>
      <c r="C234" s="9">
        <v>1912</v>
      </c>
      <c r="D234" s="10">
        <v>45616</v>
      </c>
      <c r="E234" s="13" t="str">
        <f>+HYPERLINK("http://trademark.i-assist.jp/data/china/image_1912th/80116051.pdf","80116051")</f>
        <v>80116051</v>
      </c>
      <c r="F234" s="9" t="s">
        <v>729</v>
      </c>
      <c r="G234" s="9" t="s">
        <v>730</v>
      </c>
      <c r="H234" s="9" t="s">
        <v>731</v>
      </c>
      <c r="I234" s="10">
        <v>45504</v>
      </c>
    </row>
    <row r="235" spans="1:9" x14ac:dyDescent="0.15">
      <c r="A235" s="9">
        <v>234</v>
      </c>
      <c r="B235" s="9" t="s">
        <v>9</v>
      </c>
      <c r="C235" s="9">
        <v>1912</v>
      </c>
      <c r="D235" s="10">
        <v>45616</v>
      </c>
      <c r="E235" s="13" t="str">
        <f>+HYPERLINK("http://trademark.i-assist.jp/data/china/image_1912th/80116308.pdf","80116308")</f>
        <v>80116308</v>
      </c>
      <c r="F235" s="9" t="s">
        <v>732</v>
      </c>
      <c r="G235" s="9" t="s">
        <v>733</v>
      </c>
      <c r="H235" s="9" t="s">
        <v>734</v>
      </c>
      <c r="I235" s="10">
        <v>45504</v>
      </c>
    </row>
    <row r="236" spans="1:9" x14ac:dyDescent="0.15">
      <c r="A236" s="9">
        <v>235</v>
      </c>
      <c r="B236" s="9" t="s">
        <v>9</v>
      </c>
      <c r="C236" s="9">
        <v>1912</v>
      </c>
      <c r="D236" s="10">
        <v>45616</v>
      </c>
      <c r="E236" s="13" t="str">
        <f>+HYPERLINK("http://trademark.i-assist.jp/data/china/image_1912th/80116946.pdf","80116946")</f>
        <v>80116946</v>
      </c>
      <c r="F236" s="9" t="s">
        <v>735</v>
      </c>
      <c r="G236" s="9" t="s">
        <v>736</v>
      </c>
      <c r="H236" s="9" t="s">
        <v>737</v>
      </c>
      <c r="I236" s="10">
        <v>45504</v>
      </c>
    </row>
    <row r="237" spans="1:9" x14ac:dyDescent="0.15">
      <c r="A237" s="9">
        <v>236</v>
      </c>
      <c r="B237" s="9" t="s">
        <v>9</v>
      </c>
      <c r="C237" s="9">
        <v>1912</v>
      </c>
      <c r="D237" s="10">
        <v>45616</v>
      </c>
      <c r="E237" s="13" t="str">
        <f>+HYPERLINK("http://trademark.i-assist.jp/data/china/image_1912th/80117801.pdf","80117801")</f>
        <v>80117801</v>
      </c>
      <c r="F237" s="9" t="s">
        <v>738</v>
      </c>
      <c r="G237" s="12" t="s">
        <v>78</v>
      </c>
      <c r="H237" s="9" t="s">
        <v>739</v>
      </c>
      <c r="I237" s="10">
        <v>45504</v>
      </c>
    </row>
    <row r="238" spans="1:9" x14ac:dyDescent="0.15">
      <c r="A238" s="9">
        <v>237</v>
      </c>
      <c r="B238" s="9" t="s">
        <v>9</v>
      </c>
      <c r="C238" s="9">
        <v>1912</v>
      </c>
      <c r="D238" s="10">
        <v>45616</v>
      </c>
      <c r="E238" s="13" t="str">
        <f>+HYPERLINK("http://trademark.i-assist.jp/data/china/image_1912th/80121212.pdf","80121212")</f>
        <v>80121212</v>
      </c>
      <c r="F238" s="9" t="s">
        <v>740</v>
      </c>
      <c r="G238" s="9" t="s">
        <v>54</v>
      </c>
      <c r="H238" s="9" t="s">
        <v>741</v>
      </c>
      <c r="I238" s="10">
        <v>45505</v>
      </c>
    </row>
    <row r="239" spans="1:9" x14ac:dyDescent="0.15">
      <c r="A239" s="9">
        <v>238</v>
      </c>
      <c r="B239" s="9" t="s">
        <v>9</v>
      </c>
      <c r="C239" s="9">
        <v>1912</v>
      </c>
      <c r="D239" s="10">
        <v>45616</v>
      </c>
      <c r="E239" s="13" t="str">
        <f>+HYPERLINK("http://trademark.i-assist.jp/data/china/image_1912th/80122327.pdf","80122327")</f>
        <v>80122327</v>
      </c>
      <c r="F239" s="9" t="s">
        <v>742</v>
      </c>
      <c r="G239" s="9" t="s">
        <v>743</v>
      </c>
      <c r="H239" s="9" t="s">
        <v>744</v>
      </c>
      <c r="I239" s="10">
        <v>45505</v>
      </c>
    </row>
    <row r="240" spans="1:9" x14ac:dyDescent="0.15">
      <c r="A240" s="9">
        <v>239</v>
      </c>
      <c r="B240" s="9" t="s">
        <v>9</v>
      </c>
      <c r="C240" s="9">
        <v>1912</v>
      </c>
      <c r="D240" s="10">
        <v>45616</v>
      </c>
      <c r="E240" s="13" t="str">
        <f>+HYPERLINK("http://trademark.i-assist.jp/data/china/image_1912th/80128080.pdf","80128080")</f>
        <v>80128080</v>
      </c>
      <c r="F240" s="9" t="s">
        <v>745</v>
      </c>
      <c r="G240" s="9" t="s">
        <v>746</v>
      </c>
      <c r="H240" s="9" t="s">
        <v>747</v>
      </c>
      <c r="I240" s="10">
        <v>45505</v>
      </c>
    </row>
    <row r="241" spans="1:9" x14ac:dyDescent="0.15">
      <c r="A241" s="9">
        <v>240</v>
      </c>
      <c r="B241" s="9" t="s">
        <v>9</v>
      </c>
      <c r="C241" s="9">
        <v>1912</v>
      </c>
      <c r="D241" s="10">
        <v>45616</v>
      </c>
      <c r="E241" s="13" t="str">
        <f>+HYPERLINK("http://trademark.i-assist.jp/data/china/image_1912th/80128115.pdf","80128115")</f>
        <v>80128115</v>
      </c>
      <c r="F241" s="9" t="s">
        <v>748</v>
      </c>
      <c r="G241" s="9" t="s">
        <v>749</v>
      </c>
      <c r="H241" s="9" t="s">
        <v>750</v>
      </c>
      <c r="I241" s="10">
        <v>45505</v>
      </c>
    </row>
    <row r="242" spans="1:9" x14ac:dyDescent="0.15">
      <c r="A242" s="9">
        <v>241</v>
      </c>
      <c r="B242" s="9" t="s">
        <v>9</v>
      </c>
      <c r="C242" s="9">
        <v>1912</v>
      </c>
      <c r="D242" s="10">
        <v>45616</v>
      </c>
      <c r="E242" s="13" t="str">
        <f>+HYPERLINK("http://trademark.i-assist.jp/data/china/image_1912th/80131052.pdf","80131052")</f>
        <v>80131052</v>
      </c>
      <c r="F242" s="12" t="s">
        <v>15</v>
      </c>
      <c r="G242" s="9" t="s">
        <v>751</v>
      </c>
      <c r="H242" s="9" t="s">
        <v>752</v>
      </c>
      <c r="I242" s="10">
        <v>45505</v>
      </c>
    </row>
    <row r="243" spans="1:9" x14ac:dyDescent="0.15">
      <c r="A243" s="9">
        <v>242</v>
      </c>
      <c r="B243" s="9" t="s">
        <v>9</v>
      </c>
      <c r="C243" s="9">
        <v>1912</v>
      </c>
      <c r="D243" s="10">
        <v>45616</v>
      </c>
      <c r="E243" s="13" t="str">
        <f>+HYPERLINK("http://trademark.i-assist.jp/data/china/image_1912th/80132554.pdf","80132554")</f>
        <v>80132554</v>
      </c>
      <c r="F243" s="9" t="s">
        <v>753</v>
      </c>
      <c r="G243" s="9" t="s">
        <v>754</v>
      </c>
      <c r="H243" s="12" t="s">
        <v>755</v>
      </c>
      <c r="I243" s="10">
        <v>45505</v>
      </c>
    </row>
    <row r="244" spans="1:9" x14ac:dyDescent="0.15">
      <c r="A244" s="9">
        <v>243</v>
      </c>
      <c r="B244" s="9" t="s">
        <v>9</v>
      </c>
      <c r="C244" s="9">
        <v>1912</v>
      </c>
      <c r="D244" s="10">
        <v>45616</v>
      </c>
      <c r="E244" s="13" t="str">
        <f>+HYPERLINK("http://trademark.i-assist.jp/data/china/image_1912th/80134049.pdf","80134049")</f>
        <v>80134049</v>
      </c>
      <c r="F244" s="12" t="s">
        <v>756</v>
      </c>
      <c r="G244" s="9" t="s">
        <v>757</v>
      </c>
      <c r="H244" s="9" t="s">
        <v>758</v>
      </c>
      <c r="I244" s="10">
        <v>45505</v>
      </c>
    </row>
    <row r="245" spans="1:9" x14ac:dyDescent="0.15">
      <c r="A245" s="9">
        <v>244</v>
      </c>
      <c r="B245" s="9" t="s">
        <v>9</v>
      </c>
      <c r="C245" s="9">
        <v>1912</v>
      </c>
      <c r="D245" s="10">
        <v>45616</v>
      </c>
      <c r="E245" s="13" t="str">
        <f>+HYPERLINK("http://trademark.i-assist.jp/data/china/image_1912th/80134133.pdf","80134133")</f>
        <v>80134133</v>
      </c>
      <c r="F245" s="9" t="s">
        <v>759</v>
      </c>
      <c r="G245" s="9" t="s">
        <v>760</v>
      </c>
      <c r="H245" s="9" t="s">
        <v>761</v>
      </c>
      <c r="I245" s="10">
        <v>45505</v>
      </c>
    </row>
    <row r="246" spans="1:9" x14ac:dyDescent="0.15">
      <c r="A246" s="9">
        <v>245</v>
      </c>
      <c r="B246" s="9" t="s">
        <v>9</v>
      </c>
      <c r="C246" s="9">
        <v>1912</v>
      </c>
      <c r="D246" s="10">
        <v>45616</v>
      </c>
      <c r="E246" s="13" t="str">
        <f>+HYPERLINK("http://trademark.i-assist.jp/data/china/image_1912th/80137029.pdf","80137029")</f>
        <v>80137029</v>
      </c>
      <c r="F246" s="9" t="s">
        <v>762</v>
      </c>
      <c r="G246" s="9" t="s">
        <v>763</v>
      </c>
      <c r="H246" s="9" t="s">
        <v>764</v>
      </c>
      <c r="I246" s="10">
        <v>45505</v>
      </c>
    </row>
    <row r="247" spans="1:9" x14ac:dyDescent="0.15">
      <c r="A247" s="9">
        <v>246</v>
      </c>
      <c r="B247" s="9" t="s">
        <v>9</v>
      </c>
      <c r="C247" s="9">
        <v>1912</v>
      </c>
      <c r="D247" s="10">
        <v>45616</v>
      </c>
      <c r="E247" s="13" t="str">
        <f>+HYPERLINK("http://trademark.i-assist.jp/data/china/image_1912th/80138821.pdf","80138821")</f>
        <v>80138821</v>
      </c>
      <c r="F247" s="9" t="s">
        <v>765</v>
      </c>
      <c r="G247" s="9" t="s">
        <v>766</v>
      </c>
      <c r="H247" s="9" t="s">
        <v>767</v>
      </c>
      <c r="I247" s="10">
        <v>45505</v>
      </c>
    </row>
    <row r="248" spans="1:9" x14ac:dyDescent="0.15">
      <c r="A248" s="9">
        <v>247</v>
      </c>
      <c r="B248" s="9" t="s">
        <v>9</v>
      </c>
      <c r="C248" s="9">
        <v>1912</v>
      </c>
      <c r="D248" s="10">
        <v>45616</v>
      </c>
      <c r="E248" s="13" t="str">
        <f>+HYPERLINK("http://trademark.i-assist.jp/data/china/image_1912th/80139131.pdf","80139131")</f>
        <v>80139131</v>
      </c>
      <c r="F248" s="12" t="s">
        <v>768</v>
      </c>
      <c r="G248" s="12" t="s">
        <v>769</v>
      </c>
      <c r="H248" s="9" t="s">
        <v>770</v>
      </c>
      <c r="I248" s="10">
        <v>45505</v>
      </c>
    </row>
    <row r="249" spans="1:9" x14ac:dyDescent="0.15">
      <c r="A249" s="9">
        <v>248</v>
      </c>
      <c r="B249" s="9" t="s">
        <v>9</v>
      </c>
      <c r="C249" s="9">
        <v>1912</v>
      </c>
      <c r="D249" s="10">
        <v>45616</v>
      </c>
      <c r="E249" s="13" t="str">
        <f>+HYPERLINK("http://trademark.i-assist.jp/data/china/image_1912th/80142193.pdf","80142193")</f>
        <v>80142193</v>
      </c>
      <c r="F249" s="9" t="s">
        <v>771</v>
      </c>
      <c r="G249" s="12" t="s">
        <v>772</v>
      </c>
      <c r="H249" s="9" t="s">
        <v>773</v>
      </c>
      <c r="I249" s="10">
        <v>45506</v>
      </c>
    </row>
    <row r="250" spans="1:9" x14ac:dyDescent="0.15">
      <c r="A250" s="9">
        <v>249</v>
      </c>
      <c r="B250" s="9" t="s">
        <v>9</v>
      </c>
      <c r="C250" s="9">
        <v>1912</v>
      </c>
      <c r="D250" s="10">
        <v>45616</v>
      </c>
      <c r="E250" s="13" t="str">
        <f>+HYPERLINK("http://trademark.i-assist.jp/data/china/image_1912th/80148581.pdf","80148581")</f>
        <v>80148581</v>
      </c>
      <c r="F250" s="12" t="s">
        <v>774</v>
      </c>
      <c r="G250" s="12" t="s">
        <v>775</v>
      </c>
      <c r="H250" s="9" t="s">
        <v>776</v>
      </c>
      <c r="I250" s="10">
        <v>45506</v>
      </c>
    </row>
    <row r="251" spans="1:9" x14ac:dyDescent="0.15">
      <c r="A251" s="9">
        <v>250</v>
      </c>
      <c r="B251" s="9" t="s">
        <v>9</v>
      </c>
      <c r="C251" s="9">
        <v>1912</v>
      </c>
      <c r="D251" s="10">
        <v>45616</v>
      </c>
      <c r="E251" s="13" t="str">
        <f>+HYPERLINK("http://trademark.i-assist.jp/data/china/image_1912th/80151448.pdf","80151448")</f>
        <v>80151448</v>
      </c>
      <c r="F251" s="9" t="s">
        <v>777</v>
      </c>
      <c r="G251" s="9" t="s">
        <v>778</v>
      </c>
      <c r="H251" s="9" t="s">
        <v>779</v>
      </c>
      <c r="I251" s="10">
        <v>45506</v>
      </c>
    </row>
    <row r="252" spans="1:9" x14ac:dyDescent="0.15">
      <c r="A252" s="9">
        <v>251</v>
      </c>
      <c r="B252" s="9" t="s">
        <v>9</v>
      </c>
      <c r="C252" s="9">
        <v>1912</v>
      </c>
      <c r="D252" s="10">
        <v>45616</v>
      </c>
      <c r="E252" s="13" t="str">
        <f>+HYPERLINK("http://trademark.i-assist.jp/data/china/image_1912th/80155833.pdf","80155833")</f>
        <v>80155833</v>
      </c>
      <c r="F252" s="9" t="s">
        <v>780</v>
      </c>
      <c r="G252" s="9" t="s">
        <v>781</v>
      </c>
      <c r="H252" s="9" t="s">
        <v>782</v>
      </c>
      <c r="I252" s="10">
        <v>45506</v>
      </c>
    </row>
    <row r="253" spans="1:9" x14ac:dyDescent="0.15">
      <c r="A253" s="9">
        <v>252</v>
      </c>
      <c r="B253" s="9" t="s">
        <v>9</v>
      </c>
      <c r="C253" s="9">
        <v>1912</v>
      </c>
      <c r="D253" s="10">
        <v>45616</v>
      </c>
      <c r="E253" s="13" t="str">
        <f>+HYPERLINK("http://trademark.i-assist.jp/data/china/image_1912th/80159394.pdf","80159394")</f>
        <v>80159394</v>
      </c>
      <c r="F253" s="9" t="s">
        <v>783</v>
      </c>
      <c r="G253" s="9" t="s">
        <v>784</v>
      </c>
      <c r="H253" s="9" t="s">
        <v>785</v>
      </c>
      <c r="I253" s="10">
        <v>45506</v>
      </c>
    </row>
    <row r="254" spans="1:9" x14ac:dyDescent="0.15">
      <c r="A254" s="9">
        <v>253</v>
      </c>
      <c r="B254" s="9" t="s">
        <v>9</v>
      </c>
      <c r="C254" s="9">
        <v>1912</v>
      </c>
      <c r="D254" s="10">
        <v>45616</v>
      </c>
      <c r="E254" s="13" t="str">
        <f>+HYPERLINK("http://trademark.i-assist.jp/data/china/image_1912th/80160210.pdf","80160210")</f>
        <v>80160210</v>
      </c>
      <c r="F254" s="9" t="s">
        <v>786</v>
      </c>
      <c r="G254" s="9" t="s">
        <v>787</v>
      </c>
      <c r="H254" s="9" t="s">
        <v>788</v>
      </c>
      <c r="I254" s="10">
        <v>45506</v>
      </c>
    </row>
    <row r="255" spans="1:9" x14ac:dyDescent="0.15">
      <c r="A255" s="9">
        <v>254</v>
      </c>
      <c r="B255" s="9" t="s">
        <v>9</v>
      </c>
      <c r="C255" s="9">
        <v>1912</v>
      </c>
      <c r="D255" s="10">
        <v>45616</v>
      </c>
      <c r="E255" s="13" t="str">
        <f>+HYPERLINK("http://trademark.i-assist.jp/data/china/image_1912th/80160556.pdf","80160556")</f>
        <v>80160556</v>
      </c>
      <c r="F255" s="9" t="s">
        <v>789</v>
      </c>
      <c r="G255" s="9" t="s">
        <v>790</v>
      </c>
      <c r="H255" s="12" t="s">
        <v>791</v>
      </c>
      <c r="I255" s="10">
        <v>45506</v>
      </c>
    </row>
    <row r="256" spans="1:9" x14ac:dyDescent="0.15">
      <c r="A256" s="9">
        <v>255</v>
      </c>
      <c r="B256" s="9" t="s">
        <v>9</v>
      </c>
      <c r="C256" s="9">
        <v>1912</v>
      </c>
      <c r="D256" s="10">
        <v>45616</v>
      </c>
      <c r="E256" s="13" t="str">
        <f>+HYPERLINK("http://trademark.i-assist.jp/data/china/image_1912th/80160901.pdf","80160901")</f>
        <v>80160901</v>
      </c>
      <c r="F256" s="9" t="s">
        <v>792</v>
      </c>
      <c r="G256" s="9" t="s">
        <v>793</v>
      </c>
      <c r="H256" s="9" t="s">
        <v>794</v>
      </c>
      <c r="I256" s="10">
        <v>45506</v>
      </c>
    </row>
    <row r="257" spans="1:9" x14ac:dyDescent="0.15">
      <c r="A257" s="9">
        <v>256</v>
      </c>
      <c r="B257" s="9" t="s">
        <v>9</v>
      </c>
      <c r="C257" s="9">
        <v>1912</v>
      </c>
      <c r="D257" s="10">
        <v>45616</v>
      </c>
      <c r="E257" s="13" t="str">
        <f>+HYPERLINK("http://trademark.i-assist.jp/data/china/image_1912th/80162761.pdf","80162761")</f>
        <v>80162761</v>
      </c>
      <c r="F257" s="9" t="s">
        <v>795</v>
      </c>
      <c r="G257" s="9" t="s">
        <v>796</v>
      </c>
      <c r="H257" s="12" t="s">
        <v>797</v>
      </c>
      <c r="I257" s="10">
        <v>45506</v>
      </c>
    </row>
    <row r="258" spans="1:9" x14ac:dyDescent="0.15">
      <c r="A258" s="9">
        <v>257</v>
      </c>
      <c r="B258" s="9" t="s">
        <v>9</v>
      </c>
      <c r="C258" s="9">
        <v>1912</v>
      </c>
      <c r="D258" s="10">
        <v>45616</v>
      </c>
      <c r="E258" s="13" t="str">
        <f>+HYPERLINK("http://trademark.i-assist.jp/data/china/image_1912th/80167806.pdf","80167806")</f>
        <v>80167806</v>
      </c>
      <c r="F258" s="9" t="s">
        <v>798</v>
      </c>
      <c r="G258" s="9" t="s">
        <v>799</v>
      </c>
      <c r="H258" s="9" t="s">
        <v>800</v>
      </c>
      <c r="I258" s="10">
        <v>45507</v>
      </c>
    </row>
    <row r="259" spans="1:9" x14ac:dyDescent="0.15">
      <c r="A259" s="9">
        <v>258</v>
      </c>
      <c r="B259" s="9" t="s">
        <v>9</v>
      </c>
      <c r="C259" s="9">
        <v>1912</v>
      </c>
      <c r="D259" s="10">
        <v>45616</v>
      </c>
      <c r="E259" s="13" t="str">
        <f>+HYPERLINK("http://trademark.i-assist.jp/data/china/image_1912th/80169116.pdf","80169116")</f>
        <v>80169116</v>
      </c>
      <c r="F259" s="9" t="s">
        <v>801</v>
      </c>
      <c r="G259" s="12" t="s">
        <v>802</v>
      </c>
      <c r="H259" s="9" t="s">
        <v>803</v>
      </c>
      <c r="I259" s="10">
        <v>45507</v>
      </c>
    </row>
    <row r="260" spans="1:9" x14ac:dyDescent="0.15">
      <c r="A260" s="9">
        <v>259</v>
      </c>
      <c r="B260" s="9" t="s">
        <v>9</v>
      </c>
      <c r="C260" s="9">
        <v>1912</v>
      </c>
      <c r="D260" s="10">
        <v>45616</v>
      </c>
      <c r="E260" s="13" t="str">
        <f>+HYPERLINK("http://trademark.i-assist.jp/data/china/image_1912th/80171002.pdf","80171002")</f>
        <v>80171002</v>
      </c>
      <c r="F260" s="9" t="s">
        <v>804</v>
      </c>
      <c r="G260" s="12" t="s">
        <v>805</v>
      </c>
      <c r="H260" s="9" t="s">
        <v>806</v>
      </c>
      <c r="I260" s="10">
        <v>45508</v>
      </c>
    </row>
    <row r="261" spans="1:9" x14ac:dyDescent="0.15">
      <c r="A261" s="9">
        <v>260</v>
      </c>
      <c r="B261" s="9" t="s">
        <v>9</v>
      </c>
      <c r="C261" s="9">
        <v>1912</v>
      </c>
      <c r="D261" s="10">
        <v>45616</v>
      </c>
      <c r="E261" s="13" t="str">
        <f>+HYPERLINK("http://trademark.i-assist.jp/data/china/image_1912th/80171781.pdf","80171781")</f>
        <v>80171781</v>
      </c>
      <c r="F261" s="9" t="s">
        <v>807</v>
      </c>
      <c r="G261" s="9" t="s">
        <v>808</v>
      </c>
      <c r="H261" s="9" t="s">
        <v>809</v>
      </c>
      <c r="I261" s="10">
        <v>45508</v>
      </c>
    </row>
    <row r="262" spans="1:9" x14ac:dyDescent="0.15">
      <c r="A262" s="9">
        <v>261</v>
      </c>
      <c r="B262" s="9" t="s">
        <v>9</v>
      </c>
      <c r="C262" s="9">
        <v>1912</v>
      </c>
      <c r="D262" s="10">
        <v>45616</v>
      </c>
      <c r="E262" s="13" t="str">
        <f>+HYPERLINK("http://trademark.i-assist.jp/data/china/image_1912th/80172298.pdf","80172298")</f>
        <v>80172298</v>
      </c>
      <c r="F262" s="12" t="s">
        <v>15</v>
      </c>
      <c r="G262" s="9" t="s">
        <v>810</v>
      </c>
      <c r="H262" s="9" t="s">
        <v>811</v>
      </c>
      <c r="I262" s="10">
        <v>45508</v>
      </c>
    </row>
    <row r="263" spans="1:9" x14ac:dyDescent="0.15">
      <c r="A263" s="9">
        <v>262</v>
      </c>
      <c r="B263" s="9" t="s">
        <v>9</v>
      </c>
      <c r="C263" s="9">
        <v>1912</v>
      </c>
      <c r="D263" s="10">
        <v>45616</v>
      </c>
      <c r="E263" s="13" t="str">
        <f>+HYPERLINK("http://trademark.i-assist.jp/data/china/image_1912th/80174119.pdf","80174119")</f>
        <v>80174119</v>
      </c>
      <c r="F263" s="9" t="s">
        <v>812</v>
      </c>
      <c r="G263" s="9" t="s">
        <v>813</v>
      </c>
      <c r="H263" s="9" t="s">
        <v>814</v>
      </c>
      <c r="I263" s="10">
        <v>45509</v>
      </c>
    </row>
    <row r="264" spans="1:9" x14ac:dyDescent="0.15">
      <c r="A264" s="9">
        <v>263</v>
      </c>
      <c r="B264" s="9" t="s">
        <v>9</v>
      </c>
      <c r="C264" s="9">
        <v>1912</v>
      </c>
      <c r="D264" s="10">
        <v>45616</v>
      </c>
      <c r="E264" s="13" t="str">
        <f>+HYPERLINK("http://trademark.i-assist.jp/data/china/image_1912th/80175551.pdf","80175551")</f>
        <v>80175551</v>
      </c>
      <c r="F264" s="11" t="s">
        <v>815</v>
      </c>
      <c r="G264" s="9" t="s">
        <v>81</v>
      </c>
      <c r="H264" s="12" t="s">
        <v>816</v>
      </c>
      <c r="I264" s="10">
        <v>45509</v>
      </c>
    </row>
    <row r="265" spans="1:9" x14ac:dyDescent="0.15">
      <c r="A265" s="9">
        <v>264</v>
      </c>
      <c r="B265" s="9" t="s">
        <v>9</v>
      </c>
      <c r="C265" s="9">
        <v>1912</v>
      </c>
      <c r="D265" s="10">
        <v>45616</v>
      </c>
      <c r="E265" s="13" t="str">
        <f>+HYPERLINK("http://trademark.i-assist.jp/data/china/image_1912th/80178019.pdf","80178019")</f>
        <v>80178019</v>
      </c>
      <c r="F265" s="9" t="s">
        <v>817</v>
      </c>
      <c r="G265" s="9" t="s">
        <v>818</v>
      </c>
      <c r="H265" s="9" t="s">
        <v>819</v>
      </c>
      <c r="I265" s="10">
        <v>45509</v>
      </c>
    </row>
    <row r="266" spans="1:9" x14ac:dyDescent="0.15">
      <c r="A266" s="9">
        <v>265</v>
      </c>
      <c r="B266" s="9" t="s">
        <v>9</v>
      </c>
      <c r="C266" s="9">
        <v>1912</v>
      </c>
      <c r="D266" s="10">
        <v>45616</v>
      </c>
      <c r="E266" s="13" t="str">
        <f>+HYPERLINK("http://trademark.i-assist.jp/data/china/image_1912th/80178226.pdf","80178226")</f>
        <v>80178226</v>
      </c>
      <c r="F266" s="12" t="s">
        <v>820</v>
      </c>
      <c r="G266" s="9" t="s">
        <v>821</v>
      </c>
      <c r="H266" s="9" t="s">
        <v>822</v>
      </c>
      <c r="I266" s="10">
        <v>45509</v>
      </c>
    </row>
    <row r="267" spans="1:9" x14ac:dyDescent="0.15">
      <c r="A267" s="9">
        <v>266</v>
      </c>
      <c r="B267" s="9" t="s">
        <v>9</v>
      </c>
      <c r="C267" s="9">
        <v>1912</v>
      </c>
      <c r="D267" s="10">
        <v>45616</v>
      </c>
      <c r="E267" s="13" t="str">
        <f>+HYPERLINK("http://trademark.i-assist.jp/data/china/image_1912th/80178916.pdf","80178916")</f>
        <v>80178916</v>
      </c>
      <c r="F267" s="11" t="s">
        <v>823</v>
      </c>
      <c r="G267" s="9" t="s">
        <v>824</v>
      </c>
      <c r="H267" s="9" t="s">
        <v>825</v>
      </c>
      <c r="I267" s="10">
        <v>45509</v>
      </c>
    </row>
    <row r="268" spans="1:9" x14ac:dyDescent="0.15">
      <c r="A268" s="9">
        <v>267</v>
      </c>
      <c r="B268" s="9" t="s">
        <v>9</v>
      </c>
      <c r="C268" s="9">
        <v>1912</v>
      </c>
      <c r="D268" s="10">
        <v>45616</v>
      </c>
      <c r="E268" s="13" t="str">
        <f>+HYPERLINK("http://trademark.i-assist.jp/data/china/image_1912th/80179177.pdf","80179177")</f>
        <v>80179177</v>
      </c>
      <c r="F268" s="12" t="s">
        <v>15</v>
      </c>
      <c r="G268" s="9" t="s">
        <v>826</v>
      </c>
      <c r="H268" s="9" t="s">
        <v>827</v>
      </c>
      <c r="I268" s="10">
        <v>45509</v>
      </c>
    </row>
    <row r="269" spans="1:9" x14ac:dyDescent="0.15">
      <c r="A269" s="9">
        <v>268</v>
      </c>
      <c r="B269" s="9" t="s">
        <v>9</v>
      </c>
      <c r="C269" s="9">
        <v>1912</v>
      </c>
      <c r="D269" s="10">
        <v>45616</v>
      </c>
      <c r="E269" s="13" t="str">
        <f>+HYPERLINK("http://trademark.i-assist.jp/data/china/image_1912th/80179225.pdf","80179225")</f>
        <v>80179225</v>
      </c>
      <c r="F269" s="9" t="s">
        <v>828</v>
      </c>
      <c r="G269" s="12" t="s">
        <v>829</v>
      </c>
      <c r="H269" s="9" t="s">
        <v>830</v>
      </c>
      <c r="I269" s="10">
        <v>45509</v>
      </c>
    </row>
    <row r="270" spans="1:9" x14ac:dyDescent="0.15">
      <c r="A270" s="9">
        <v>269</v>
      </c>
      <c r="B270" s="9" t="s">
        <v>9</v>
      </c>
      <c r="C270" s="9">
        <v>1912</v>
      </c>
      <c r="D270" s="10">
        <v>45616</v>
      </c>
      <c r="E270" s="13" t="str">
        <f>+HYPERLINK("http://trademark.i-assist.jp/data/china/image_1912th/80179548.pdf","80179548")</f>
        <v>80179548</v>
      </c>
      <c r="F270" s="9" t="s">
        <v>831</v>
      </c>
      <c r="G270" s="9" t="s">
        <v>832</v>
      </c>
      <c r="H270" s="9" t="s">
        <v>833</v>
      </c>
      <c r="I270" s="10">
        <v>45509</v>
      </c>
    </row>
    <row r="271" spans="1:9" x14ac:dyDescent="0.15">
      <c r="A271" s="9">
        <v>270</v>
      </c>
      <c r="B271" s="9" t="s">
        <v>9</v>
      </c>
      <c r="C271" s="9">
        <v>1912</v>
      </c>
      <c r="D271" s="10">
        <v>45616</v>
      </c>
      <c r="E271" s="13" t="str">
        <f>+HYPERLINK("http://trademark.i-assist.jp/data/china/image_1912th/80179978.pdf","80179978")</f>
        <v>80179978</v>
      </c>
      <c r="F271" s="9" t="s">
        <v>834</v>
      </c>
      <c r="G271" s="9" t="s">
        <v>835</v>
      </c>
      <c r="H271" s="9" t="s">
        <v>836</v>
      </c>
      <c r="I271" s="10">
        <v>45509</v>
      </c>
    </row>
    <row r="272" spans="1:9" x14ac:dyDescent="0.15">
      <c r="A272" s="9">
        <v>271</v>
      </c>
      <c r="B272" s="9" t="s">
        <v>9</v>
      </c>
      <c r="C272" s="9">
        <v>1912</v>
      </c>
      <c r="D272" s="10">
        <v>45616</v>
      </c>
      <c r="E272" s="13" t="str">
        <f>+HYPERLINK("http://trademark.i-assist.jp/data/china/image_1912th/80181780.pdf","80181780")</f>
        <v>80181780</v>
      </c>
      <c r="F272" s="9" t="s">
        <v>837</v>
      </c>
      <c r="G272" s="9" t="s">
        <v>838</v>
      </c>
      <c r="H272" s="9" t="s">
        <v>839</v>
      </c>
      <c r="I272" s="10">
        <v>45509</v>
      </c>
    </row>
    <row r="273" spans="1:9" x14ac:dyDescent="0.15">
      <c r="A273" s="9">
        <v>272</v>
      </c>
      <c r="B273" s="9" t="s">
        <v>9</v>
      </c>
      <c r="C273" s="9">
        <v>1912</v>
      </c>
      <c r="D273" s="10">
        <v>45616</v>
      </c>
      <c r="E273" s="13" t="str">
        <f>+HYPERLINK("http://trademark.i-assist.jp/data/china/image_1912th/80182284.pdf","80182284")</f>
        <v>80182284</v>
      </c>
      <c r="F273" s="12" t="s">
        <v>840</v>
      </c>
      <c r="G273" s="9" t="s">
        <v>841</v>
      </c>
      <c r="H273" s="9" t="s">
        <v>842</v>
      </c>
      <c r="I273" s="10">
        <v>45509</v>
      </c>
    </row>
    <row r="274" spans="1:9" x14ac:dyDescent="0.15">
      <c r="A274" s="9">
        <v>273</v>
      </c>
      <c r="B274" s="9" t="s">
        <v>9</v>
      </c>
      <c r="C274" s="9">
        <v>1912</v>
      </c>
      <c r="D274" s="10">
        <v>45616</v>
      </c>
      <c r="E274" s="13" t="str">
        <f>+HYPERLINK("http://trademark.i-assist.jp/data/china/image_1912th/80182435.pdf","80182435")</f>
        <v>80182435</v>
      </c>
      <c r="F274" s="9" t="s">
        <v>843</v>
      </c>
      <c r="G274" s="9" t="s">
        <v>844</v>
      </c>
      <c r="H274" s="9" t="s">
        <v>845</v>
      </c>
      <c r="I274" s="10">
        <v>45509</v>
      </c>
    </row>
    <row r="275" spans="1:9" x14ac:dyDescent="0.15">
      <c r="A275" s="9">
        <v>274</v>
      </c>
      <c r="B275" s="9" t="s">
        <v>9</v>
      </c>
      <c r="C275" s="9">
        <v>1912</v>
      </c>
      <c r="D275" s="10">
        <v>45616</v>
      </c>
      <c r="E275" s="13" t="str">
        <f>+HYPERLINK("http://trademark.i-assist.jp/data/china/image_1912th/80183977.pdf","80183977")</f>
        <v>80183977</v>
      </c>
      <c r="F275" s="9" t="s">
        <v>846</v>
      </c>
      <c r="G275" s="9" t="s">
        <v>847</v>
      </c>
      <c r="H275" s="9" t="s">
        <v>848</v>
      </c>
      <c r="I275" s="10">
        <v>45509</v>
      </c>
    </row>
    <row r="276" spans="1:9" x14ac:dyDescent="0.15">
      <c r="A276" s="9">
        <v>275</v>
      </c>
      <c r="B276" s="9" t="s">
        <v>9</v>
      </c>
      <c r="C276" s="9">
        <v>1912</v>
      </c>
      <c r="D276" s="10">
        <v>45616</v>
      </c>
      <c r="E276" s="13" t="str">
        <f>+HYPERLINK("http://trademark.i-assist.jp/data/china/image_1912th/80185592.pdf","80185592")</f>
        <v>80185592</v>
      </c>
      <c r="F276" s="9" t="s">
        <v>849</v>
      </c>
      <c r="G276" s="9" t="s">
        <v>850</v>
      </c>
      <c r="H276" s="9" t="s">
        <v>851</v>
      </c>
      <c r="I276" s="10">
        <v>45509</v>
      </c>
    </row>
    <row r="277" spans="1:9" x14ac:dyDescent="0.15">
      <c r="A277" s="9">
        <v>276</v>
      </c>
      <c r="B277" s="9" t="s">
        <v>9</v>
      </c>
      <c r="C277" s="9">
        <v>1912</v>
      </c>
      <c r="D277" s="10">
        <v>45616</v>
      </c>
      <c r="E277" s="13" t="str">
        <f>+HYPERLINK("http://trademark.i-assist.jp/data/china/image_1912th/80186411.pdf","80186411")</f>
        <v>80186411</v>
      </c>
      <c r="F277" s="9" t="s">
        <v>852</v>
      </c>
      <c r="G277" s="9" t="s">
        <v>853</v>
      </c>
      <c r="H277" s="9" t="s">
        <v>854</v>
      </c>
      <c r="I277" s="10">
        <v>45509</v>
      </c>
    </row>
    <row r="278" spans="1:9" x14ac:dyDescent="0.15">
      <c r="A278" s="9">
        <v>277</v>
      </c>
      <c r="B278" s="9" t="s">
        <v>9</v>
      </c>
      <c r="C278" s="9">
        <v>1912</v>
      </c>
      <c r="D278" s="10">
        <v>45616</v>
      </c>
      <c r="E278" s="13" t="str">
        <f>+HYPERLINK("http://trademark.i-assist.jp/data/china/image_1912th/80188455.pdf","80188455")</f>
        <v>80188455</v>
      </c>
      <c r="F278" s="12" t="s">
        <v>855</v>
      </c>
      <c r="G278" s="12" t="s">
        <v>856</v>
      </c>
      <c r="H278" s="9" t="s">
        <v>857</v>
      </c>
      <c r="I278" s="10">
        <v>45509</v>
      </c>
    </row>
    <row r="279" spans="1:9" x14ac:dyDescent="0.15">
      <c r="A279" s="9">
        <v>278</v>
      </c>
      <c r="B279" s="9" t="s">
        <v>9</v>
      </c>
      <c r="C279" s="9">
        <v>1912</v>
      </c>
      <c r="D279" s="10">
        <v>45616</v>
      </c>
      <c r="E279" s="13" t="str">
        <f>+HYPERLINK("http://trademark.i-assist.jp/data/china/image_1912th/80188461.pdf","80188461")</f>
        <v>80188461</v>
      </c>
      <c r="F279" s="9" t="s">
        <v>858</v>
      </c>
      <c r="G279" s="12" t="s">
        <v>829</v>
      </c>
      <c r="H279" s="9" t="s">
        <v>859</v>
      </c>
      <c r="I279" s="10">
        <v>45509</v>
      </c>
    </row>
    <row r="280" spans="1:9" x14ac:dyDescent="0.15">
      <c r="A280" s="9">
        <v>279</v>
      </c>
      <c r="B280" s="9" t="s">
        <v>9</v>
      </c>
      <c r="C280" s="9">
        <v>1912</v>
      </c>
      <c r="D280" s="10">
        <v>45616</v>
      </c>
      <c r="E280" s="13" t="str">
        <f>+HYPERLINK("http://trademark.i-assist.jp/data/china/image_1912th/80188475.pdf","80188475")</f>
        <v>80188475</v>
      </c>
      <c r="F280" s="9" t="s">
        <v>860</v>
      </c>
      <c r="G280" s="9" t="s">
        <v>841</v>
      </c>
      <c r="H280" s="9" t="s">
        <v>861</v>
      </c>
      <c r="I280" s="10">
        <v>45509</v>
      </c>
    </row>
    <row r="281" spans="1:9" x14ac:dyDescent="0.15">
      <c r="A281" s="9">
        <v>280</v>
      </c>
      <c r="B281" s="9" t="s">
        <v>9</v>
      </c>
      <c r="C281" s="9">
        <v>1912</v>
      </c>
      <c r="D281" s="10">
        <v>45616</v>
      </c>
      <c r="E281" s="13" t="str">
        <f>+HYPERLINK("http://trademark.i-assist.jp/data/china/image_1912th/80191542.pdf","80191542")</f>
        <v>80191542</v>
      </c>
      <c r="F281" s="9" t="s">
        <v>862</v>
      </c>
      <c r="G281" s="9" t="s">
        <v>863</v>
      </c>
      <c r="H281" s="9" t="s">
        <v>864</v>
      </c>
      <c r="I281" s="10">
        <v>45509</v>
      </c>
    </row>
    <row r="282" spans="1:9" x14ac:dyDescent="0.15">
      <c r="A282" s="9">
        <v>281</v>
      </c>
      <c r="B282" s="9" t="s">
        <v>9</v>
      </c>
      <c r="C282" s="9">
        <v>1912</v>
      </c>
      <c r="D282" s="10">
        <v>45616</v>
      </c>
      <c r="E282" s="13" t="str">
        <f>+HYPERLINK("http://trademark.i-assist.jp/data/china/image_1912th/80191849.pdf","80191849")</f>
        <v>80191849</v>
      </c>
      <c r="F282" s="12" t="s">
        <v>865</v>
      </c>
      <c r="G282" s="12" t="s">
        <v>866</v>
      </c>
      <c r="H282" s="9" t="s">
        <v>867</v>
      </c>
      <c r="I282" s="10">
        <v>45509</v>
      </c>
    </row>
    <row r="283" spans="1:9" x14ac:dyDescent="0.15">
      <c r="A283" s="9">
        <v>282</v>
      </c>
      <c r="B283" s="9" t="s">
        <v>9</v>
      </c>
      <c r="C283" s="9">
        <v>1912</v>
      </c>
      <c r="D283" s="10">
        <v>45616</v>
      </c>
      <c r="E283" s="13" t="str">
        <f>+HYPERLINK("http://trademark.i-assist.jp/data/china/image_1912th/80193284.pdf","80193284")</f>
        <v>80193284</v>
      </c>
      <c r="F283" s="9" t="s">
        <v>868</v>
      </c>
      <c r="G283" s="9" t="s">
        <v>869</v>
      </c>
      <c r="H283" s="9" t="s">
        <v>870</v>
      </c>
      <c r="I283" s="10">
        <v>45509</v>
      </c>
    </row>
    <row r="284" spans="1:9" x14ac:dyDescent="0.15">
      <c r="A284" s="9">
        <v>283</v>
      </c>
      <c r="B284" s="9" t="s">
        <v>9</v>
      </c>
      <c r="C284" s="9">
        <v>1912</v>
      </c>
      <c r="D284" s="10">
        <v>45616</v>
      </c>
      <c r="E284" s="13" t="str">
        <f>+HYPERLINK("http://trademark.i-assist.jp/data/china/image_1912th/80193459.pdf","80193459")</f>
        <v>80193459</v>
      </c>
      <c r="F284" s="9" t="s">
        <v>871</v>
      </c>
      <c r="G284" s="9" t="s">
        <v>824</v>
      </c>
      <c r="H284" s="9" t="s">
        <v>872</v>
      </c>
      <c r="I284" s="10">
        <v>45509</v>
      </c>
    </row>
    <row r="285" spans="1:9" x14ac:dyDescent="0.15">
      <c r="A285" s="9">
        <v>284</v>
      </c>
      <c r="B285" s="9" t="s">
        <v>9</v>
      </c>
      <c r="C285" s="9">
        <v>1912</v>
      </c>
      <c r="D285" s="10">
        <v>45616</v>
      </c>
      <c r="E285" s="13" t="str">
        <f>+HYPERLINK("http://trademark.i-assist.jp/data/china/image_1912th/80193707.pdf","80193707")</f>
        <v>80193707</v>
      </c>
      <c r="F285" s="9" t="s">
        <v>873</v>
      </c>
      <c r="G285" s="9" t="s">
        <v>874</v>
      </c>
      <c r="H285" s="9" t="s">
        <v>875</v>
      </c>
      <c r="I285" s="10">
        <v>45509</v>
      </c>
    </row>
    <row r="286" spans="1:9" x14ac:dyDescent="0.15">
      <c r="A286" s="9">
        <v>285</v>
      </c>
      <c r="B286" s="9" t="s">
        <v>9</v>
      </c>
      <c r="C286" s="9">
        <v>1912</v>
      </c>
      <c r="D286" s="10">
        <v>45616</v>
      </c>
      <c r="E286" s="13" t="str">
        <f>+HYPERLINK("http://trademark.i-assist.jp/data/china/image_1912th/80194014.pdf","80194014")</f>
        <v>80194014</v>
      </c>
      <c r="F286" s="9" t="s">
        <v>876</v>
      </c>
      <c r="G286" s="9" t="s">
        <v>877</v>
      </c>
      <c r="H286" s="9" t="s">
        <v>878</v>
      </c>
      <c r="I286" s="10">
        <v>45509</v>
      </c>
    </row>
    <row r="287" spans="1:9" x14ac:dyDescent="0.15">
      <c r="A287" s="9">
        <v>286</v>
      </c>
      <c r="B287" s="9" t="s">
        <v>9</v>
      </c>
      <c r="C287" s="9">
        <v>1912</v>
      </c>
      <c r="D287" s="10">
        <v>45616</v>
      </c>
      <c r="E287" s="13" t="str">
        <f>+HYPERLINK("http://trademark.i-assist.jp/data/china/image_1912th/80194749.pdf","80194749")</f>
        <v>80194749</v>
      </c>
      <c r="F287" s="9" t="s">
        <v>879</v>
      </c>
      <c r="G287" s="9" t="s">
        <v>844</v>
      </c>
      <c r="H287" s="12" t="s">
        <v>880</v>
      </c>
      <c r="I287" s="10">
        <v>45509</v>
      </c>
    </row>
    <row r="288" spans="1:9" x14ac:dyDescent="0.15">
      <c r="A288" s="9">
        <v>287</v>
      </c>
      <c r="B288" s="9" t="s">
        <v>9</v>
      </c>
      <c r="C288" s="9">
        <v>1912</v>
      </c>
      <c r="D288" s="10">
        <v>45616</v>
      </c>
      <c r="E288" s="13" t="str">
        <f>+HYPERLINK("http://trademark.i-assist.jp/data/china/image_1912th/80197353.pdf","80197353")</f>
        <v>80197353</v>
      </c>
      <c r="F288" s="9" t="s">
        <v>881</v>
      </c>
      <c r="G288" s="9" t="s">
        <v>882</v>
      </c>
      <c r="H288" s="9" t="s">
        <v>883</v>
      </c>
      <c r="I288" s="10">
        <v>45510</v>
      </c>
    </row>
    <row r="289" spans="1:9" x14ac:dyDescent="0.15">
      <c r="A289" s="9">
        <v>288</v>
      </c>
      <c r="B289" s="9" t="s">
        <v>9</v>
      </c>
      <c r="C289" s="9">
        <v>1912</v>
      </c>
      <c r="D289" s="10">
        <v>45616</v>
      </c>
      <c r="E289" s="13" t="str">
        <f>+HYPERLINK("http://trademark.i-assist.jp/data/china/image_1912th/80199010.pdf","80199010")</f>
        <v>80199010</v>
      </c>
      <c r="F289" s="9" t="s">
        <v>884</v>
      </c>
      <c r="G289" s="12" t="s">
        <v>885</v>
      </c>
      <c r="H289" s="9" t="s">
        <v>886</v>
      </c>
      <c r="I289" s="10">
        <v>45510</v>
      </c>
    </row>
    <row r="290" spans="1:9" x14ac:dyDescent="0.15">
      <c r="A290" s="9">
        <v>289</v>
      </c>
      <c r="B290" s="9" t="s">
        <v>9</v>
      </c>
      <c r="C290" s="9">
        <v>1912</v>
      </c>
      <c r="D290" s="10">
        <v>45616</v>
      </c>
      <c r="E290" s="13" t="str">
        <f>+HYPERLINK("http://trademark.i-assist.jp/data/china/image_1912th/80201827.pdf","80201827")</f>
        <v>80201827</v>
      </c>
      <c r="F290" s="9" t="s">
        <v>887</v>
      </c>
      <c r="G290" s="9" t="s">
        <v>888</v>
      </c>
      <c r="H290" s="9" t="s">
        <v>889</v>
      </c>
      <c r="I290" s="10">
        <v>45510</v>
      </c>
    </row>
    <row r="291" spans="1:9" x14ac:dyDescent="0.15">
      <c r="A291" s="9">
        <v>290</v>
      </c>
      <c r="B291" s="9" t="s">
        <v>9</v>
      </c>
      <c r="C291" s="9">
        <v>1912</v>
      </c>
      <c r="D291" s="10">
        <v>45616</v>
      </c>
      <c r="E291" s="13" t="str">
        <f>+HYPERLINK("http://trademark.i-assist.jp/data/china/image_1912th/80202459.pdf","80202459")</f>
        <v>80202459</v>
      </c>
      <c r="F291" s="9" t="s">
        <v>890</v>
      </c>
      <c r="G291" s="9" t="s">
        <v>891</v>
      </c>
      <c r="H291" s="9" t="s">
        <v>892</v>
      </c>
      <c r="I291" s="10">
        <v>45510</v>
      </c>
    </row>
    <row r="292" spans="1:9" x14ac:dyDescent="0.15">
      <c r="A292" s="9">
        <v>291</v>
      </c>
      <c r="B292" s="9" t="s">
        <v>9</v>
      </c>
      <c r="C292" s="9">
        <v>1912</v>
      </c>
      <c r="D292" s="10">
        <v>45616</v>
      </c>
      <c r="E292" s="13" t="str">
        <f>+HYPERLINK("http://trademark.i-assist.jp/data/china/image_1912th/80202891.pdf","80202891")</f>
        <v>80202891</v>
      </c>
      <c r="F292" s="9" t="s">
        <v>893</v>
      </c>
      <c r="G292" s="9" t="s">
        <v>894</v>
      </c>
      <c r="H292" s="9" t="s">
        <v>895</v>
      </c>
      <c r="I292" s="10">
        <v>45510</v>
      </c>
    </row>
    <row r="293" spans="1:9" x14ac:dyDescent="0.15">
      <c r="A293" s="9">
        <v>292</v>
      </c>
      <c r="B293" s="9" t="s">
        <v>9</v>
      </c>
      <c r="C293" s="9">
        <v>1912</v>
      </c>
      <c r="D293" s="10">
        <v>45616</v>
      </c>
      <c r="E293" s="13" t="str">
        <f>+HYPERLINK("http://trademark.i-assist.jp/data/china/image_1912th/80203023.pdf","80203023")</f>
        <v>80203023</v>
      </c>
      <c r="F293" s="9" t="s">
        <v>896</v>
      </c>
      <c r="G293" s="12" t="s">
        <v>897</v>
      </c>
      <c r="H293" s="9" t="s">
        <v>898</v>
      </c>
      <c r="I293" s="10">
        <v>45510</v>
      </c>
    </row>
    <row r="294" spans="1:9" x14ac:dyDescent="0.15">
      <c r="A294" s="9">
        <v>293</v>
      </c>
      <c r="B294" s="9" t="s">
        <v>9</v>
      </c>
      <c r="C294" s="9">
        <v>1912</v>
      </c>
      <c r="D294" s="10">
        <v>45616</v>
      </c>
      <c r="E294" s="13" t="str">
        <f>+HYPERLINK("http://trademark.i-assist.jp/data/china/image_1912th/80204187.pdf","80204187")</f>
        <v>80204187</v>
      </c>
      <c r="F294" s="9" t="s">
        <v>899</v>
      </c>
      <c r="G294" s="12" t="s">
        <v>900</v>
      </c>
      <c r="H294" s="9" t="s">
        <v>901</v>
      </c>
      <c r="I294" s="10">
        <v>45510</v>
      </c>
    </row>
    <row r="295" spans="1:9" x14ac:dyDescent="0.15">
      <c r="A295" s="9">
        <v>294</v>
      </c>
      <c r="B295" s="9" t="s">
        <v>9</v>
      </c>
      <c r="C295" s="9">
        <v>1912</v>
      </c>
      <c r="D295" s="10">
        <v>45616</v>
      </c>
      <c r="E295" s="13" t="str">
        <f>+HYPERLINK("http://trademark.i-assist.jp/data/china/image_1912th/80204286.pdf","80204286")</f>
        <v>80204286</v>
      </c>
      <c r="F295" s="12" t="s">
        <v>902</v>
      </c>
      <c r="G295" s="9" t="s">
        <v>903</v>
      </c>
      <c r="H295" s="9" t="s">
        <v>904</v>
      </c>
      <c r="I295" s="10">
        <v>45510</v>
      </c>
    </row>
    <row r="296" spans="1:9" x14ac:dyDescent="0.15">
      <c r="A296" s="9">
        <v>295</v>
      </c>
      <c r="B296" s="9" t="s">
        <v>9</v>
      </c>
      <c r="C296" s="9">
        <v>1912</v>
      </c>
      <c r="D296" s="10">
        <v>45616</v>
      </c>
      <c r="E296" s="13" t="str">
        <f>+HYPERLINK("http://trademark.i-assist.jp/data/china/image_1912th/80208351.pdf","80208351")</f>
        <v>80208351</v>
      </c>
      <c r="F296" s="9" t="s">
        <v>905</v>
      </c>
      <c r="G296" s="12" t="s">
        <v>906</v>
      </c>
      <c r="H296" s="9" t="s">
        <v>907</v>
      </c>
      <c r="I296" s="10">
        <v>45510</v>
      </c>
    </row>
    <row r="297" spans="1:9" x14ac:dyDescent="0.15">
      <c r="A297" s="9">
        <v>296</v>
      </c>
      <c r="B297" s="9" t="s">
        <v>9</v>
      </c>
      <c r="C297" s="9">
        <v>1912</v>
      </c>
      <c r="D297" s="10">
        <v>45616</v>
      </c>
      <c r="E297" s="13" t="str">
        <f>+HYPERLINK("http://trademark.i-assist.jp/data/china/image_1912th/80208588.pdf","80208588")</f>
        <v>80208588</v>
      </c>
      <c r="F297" s="12" t="s">
        <v>15</v>
      </c>
      <c r="G297" s="12" t="s">
        <v>908</v>
      </c>
      <c r="H297" s="9" t="s">
        <v>909</v>
      </c>
      <c r="I297" s="10">
        <v>45510</v>
      </c>
    </row>
    <row r="298" spans="1:9" x14ac:dyDescent="0.15">
      <c r="A298" s="9">
        <v>297</v>
      </c>
      <c r="B298" s="9" t="s">
        <v>9</v>
      </c>
      <c r="C298" s="9">
        <v>1912</v>
      </c>
      <c r="D298" s="10">
        <v>45616</v>
      </c>
      <c r="E298" s="13" t="str">
        <f>+HYPERLINK("http://trademark.i-assist.jp/data/china/image_1912th/80208947.pdf","80208947")</f>
        <v>80208947</v>
      </c>
      <c r="F298" s="9" t="s">
        <v>910</v>
      </c>
      <c r="G298" s="12" t="s">
        <v>911</v>
      </c>
      <c r="H298" s="9" t="s">
        <v>912</v>
      </c>
      <c r="I298" s="10">
        <v>45510</v>
      </c>
    </row>
    <row r="299" spans="1:9" x14ac:dyDescent="0.15">
      <c r="A299" s="9">
        <v>298</v>
      </c>
      <c r="B299" s="9" t="s">
        <v>9</v>
      </c>
      <c r="C299" s="9">
        <v>1912</v>
      </c>
      <c r="D299" s="10">
        <v>45616</v>
      </c>
      <c r="E299" s="13" t="str">
        <f>+HYPERLINK("http://trademark.i-assist.jp/data/china/image_1912th/80210306.pdf","80210306")</f>
        <v>80210306</v>
      </c>
      <c r="F299" s="12" t="s">
        <v>913</v>
      </c>
      <c r="G299" s="9" t="s">
        <v>914</v>
      </c>
      <c r="H299" s="12" t="s">
        <v>915</v>
      </c>
      <c r="I299" s="10">
        <v>45510</v>
      </c>
    </row>
    <row r="300" spans="1:9" x14ac:dyDescent="0.15">
      <c r="A300" s="9">
        <v>299</v>
      </c>
      <c r="B300" s="9" t="s">
        <v>9</v>
      </c>
      <c r="C300" s="9">
        <v>1912</v>
      </c>
      <c r="D300" s="10">
        <v>45616</v>
      </c>
      <c r="E300" s="13" t="str">
        <f>+HYPERLINK("http://trademark.i-assist.jp/data/china/image_1912th/80210683.pdf","80210683")</f>
        <v>80210683</v>
      </c>
      <c r="F300" s="9" t="s">
        <v>916</v>
      </c>
      <c r="G300" s="9" t="s">
        <v>917</v>
      </c>
      <c r="H300" s="9" t="s">
        <v>918</v>
      </c>
      <c r="I300" s="10">
        <v>45510</v>
      </c>
    </row>
    <row r="301" spans="1:9" x14ac:dyDescent="0.15">
      <c r="A301" s="9">
        <v>300</v>
      </c>
      <c r="B301" s="9" t="s">
        <v>9</v>
      </c>
      <c r="C301" s="9">
        <v>1912</v>
      </c>
      <c r="D301" s="10">
        <v>45616</v>
      </c>
      <c r="E301" s="13" t="str">
        <f>+HYPERLINK("http://trademark.i-assist.jp/data/china/image_1912th/80211218.pdf","80211218")</f>
        <v>80211218</v>
      </c>
      <c r="F301" s="9" t="s">
        <v>919</v>
      </c>
      <c r="G301" s="12" t="s">
        <v>920</v>
      </c>
      <c r="H301" s="9" t="s">
        <v>921</v>
      </c>
      <c r="I301" s="10">
        <v>45510</v>
      </c>
    </row>
    <row r="302" spans="1:9" x14ac:dyDescent="0.15">
      <c r="A302" s="9">
        <v>301</v>
      </c>
      <c r="B302" s="9" t="s">
        <v>9</v>
      </c>
      <c r="C302" s="9">
        <v>1912</v>
      </c>
      <c r="D302" s="10">
        <v>45616</v>
      </c>
      <c r="E302" s="13" t="str">
        <f>+HYPERLINK("http://trademark.i-assist.jp/data/china/image_1912th/80211227.pdf","80211227")</f>
        <v>80211227</v>
      </c>
      <c r="F302" s="9" t="s">
        <v>922</v>
      </c>
      <c r="G302" s="9" t="s">
        <v>923</v>
      </c>
      <c r="H302" s="9" t="s">
        <v>924</v>
      </c>
      <c r="I302" s="10">
        <v>45510</v>
      </c>
    </row>
    <row r="303" spans="1:9" x14ac:dyDescent="0.15">
      <c r="A303" s="9">
        <v>302</v>
      </c>
      <c r="B303" s="9" t="s">
        <v>9</v>
      </c>
      <c r="C303" s="9">
        <v>1912</v>
      </c>
      <c r="D303" s="10">
        <v>45616</v>
      </c>
      <c r="E303" s="13" t="str">
        <f>+HYPERLINK("http://trademark.i-assist.jp/data/china/image_1912th/80211579.pdf","80211579")</f>
        <v>80211579</v>
      </c>
      <c r="F303" s="9" t="s">
        <v>925</v>
      </c>
      <c r="G303" s="9" t="s">
        <v>926</v>
      </c>
      <c r="H303" s="9" t="s">
        <v>927</v>
      </c>
      <c r="I303" s="10">
        <v>45510</v>
      </c>
    </row>
    <row r="304" spans="1:9" x14ac:dyDescent="0.15">
      <c r="A304" s="9">
        <v>303</v>
      </c>
      <c r="B304" s="9" t="s">
        <v>9</v>
      </c>
      <c r="C304" s="9">
        <v>1912</v>
      </c>
      <c r="D304" s="10">
        <v>45616</v>
      </c>
      <c r="E304" s="13" t="str">
        <f>+HYPERLINK("http://trademark.i-assist.jp/data/china/image_1912th/80212787.pdf","80212787")</f>
        <v>80212787</v>
      </c>
      <c r="F304" s="12" t="s">
        <v>928</v>
      </c>
      <c r="G304" s="9" t="s">
        <v>929</v>
      </c>
      <c r="H304" s="9" t="s">
        <v>930</v>
      </c>
      <c r="I304" s="10">
        <v>45510</v>
      </c>
    </row>
    <row r="305" spans="1:9" x14ac:dyDescent="0.15">
      <c r="A305" s="9">
        <v>304</v>
      </c>
      <c r="B305" s="9" t="s">
        <v>9</v>
      </c>
      <c r="C305" s="9">
        <v>1912</v>
      </c>
      <c r="D305" s="10">
        <v>45616</v>
      </c>
      <c r="E305" s="13" t="str">
        <f>+HYPERLINK("http://trademark.i-assist.jp/data/china/image_1912th/80212913.pdf","80212913")</f>
        <v>80212913</v>
      </c>
      <c r="F305" s="9" t="s">
        <v>931</v>
      </c>
      <c r="G305" s="9" t="s">
        <v>932</v>
      </c>
      <c r="H305" s="9" t="s">
        <v>933</v>
      </c>
      <c r="I305" s="10">
        <v>45510</v>
      </c>
    </row>
    <row r="306" spans="1:9" x14ac:dyDescent="0.15">
      <c r="A306" s="9">
        <v>305</v>
      </c>
      <c r="B306" s="9" t="s">
        <v>9</v>
      </c>
      <c r="C306" s="9">
        <v>1912</v>
      </c>
      <c r="D306" s="10">
        <v>45616</v>
      </c>
      <c r="E306" s="13" t="str">
        <f>+HYPERLINK("http://trademark.i-assist.jp/data/china/image_1912th/80213566.pdf","80213566")</f>
        <v>80213566</v>
      </c>
      <c r="F306" s="9" t="s">
        <v>934</v>
      </c>
      <c r="G306" s="9" t="s">
        <v>935</v>
      </c>
      <c r="H306" s="9" t="s">
        <v>936</v>
      </c>
      <c r="I306" s="10">
        <v>45510</v>
      </c>
    </row>
    <row r="307" spans="1:9" x14ac:dyDescent="0.15">
      <c r="A307" s="9">
        <v>306</v>
      </c>
      <c r="B307" s="9" t="s">
        <v>9</v>
      </c>
      <c r="C307" s="9">
        <v>1912</v>
      </c>
      <c r="D307" s="10">
        <v>45616</v>
      </c>
      <c r="E307" s="13" t="str">
        <f>+HYPERLINK("http://trademark.i-assist.jp/data/china/image_1912th/80213879.pdf","80213879")</f>
        <v>80213879</v>
      </c>
      <c r="F307" s="9" t="s">
        <v>937</v>
      </c>
      <c r="G307" s="9" t="s">
        <v>938</v>
      </c>
      <c r="H307" s="9" t="s">
        <v>939</v>
      </c>
      <c r="I307" s="10">
        <v>45510</v>
      </c>
    </row>
    <row r="308" spans="1:9" x14ac:dyDescent="0.15">
      <c r="A308" s="9">
        <v>307</v>
      </c>
      <c r="B308" s="9" t="s">
        <v>9</v>
      </c>
      <c r="C308" s="9">
        <v>1912</v>
      </c>
      <c r="D308" s="10">
        <v>45616</v>
      </c>
      <c r="E308" s="13" t="str">
        <f>+HYPERLINK("http://trademark.i-assist.jp/data/china/image_1912th/80214040.pdf","80214040")</f>
        <v>80214040</v>
      </c>
      <c r="F308" s="12" t="s">
        <v>940</v>
      </c>
      <c r="G308" s="9" t="s">
        <v>941</v>
      </c>
      <c r="H308" s="9" t="s">
        <v>942</v>
      </c>
      <c r="I308" s="10">
        <v>45510</v>
      </c>
    </row>
    <row r="309" spans="1:9" x14ac:dyDescent="0.15">
      <c r="A309" s="9">
        <v>308</v>
      </c>
      <c r="B309" s="9" t="s">
        <v>9</v>
      </c>
      <c r="C309" s="9">
        <v>1912</v>
      </c>
      <c r="D309" s="10">
        <v>45616</v>
      </c>
      <c r="E309" s="13" t="str">
        <f>+HYPERLINK("http://trademark.i-assist.jp/data/china/image_1912th/80214087.pdf","80214087")</f>
        <v>80214087</v>
      </c>
      <c r="F309" s="9" t="s">
        <v>943</v>
      </c>
      <c r="G309" s="9" t="s">
        <v>932</v>
      </c>
      <c r="H309" s="9" t="s">
        <v>256</v>
      </c>
      <c r="I309" s="10">
        <v>45510</v>
      </c>
    </row>
    <row r="310" spans="1:9" x14ac:dyDescent="0.15">
      <c r="A310" s="9">
        <v>309</v>
      </c>
      <c r="B310" s="9" t="s">
        <v>9</v>
      </c>
      <c r="C310" s="9">
        <v>1912</v>
      </c>
      <c r="D310" s="10">
        <v>45616</v>
      </c>
      <c r="E310" s="13" t="str">
        <f>+HYPERLINK("http://trademark.i-assist.jp/data/china/image_1912th/80215648.pdf","80215648")</f>
        <v>80215648</v>
      </c>
      <c r="F310" s="9" t="s">
        <v>944</v>
      </c>
      <c r="G310" s="9" t="s">
        <v>945</v>
      </c>
      <c r="H310" s="9" t="s">
        <v>946</v>
      </c>
      <c r="I310" s="10">
        <v>45510</v>
      </c>
    </row>
    <row r="311" spans="1:9" x14ac:dyDescent="0.15">
      <c r="A311" s="9">
        <v>310</v>
      </c>
      <c r="B311" s="9" t="s">
        <v>9</v>
      </c>
      <c r="C311" s="9">
        <v>1912</v>
      </c>
      <c r="D311" s="10">
        <v>45616</v>
      </c>
      <c r="E311" s="13" t="str">
        <f>+HYPERLINK("http://trademark.i-assist.jp/data/china/image_1912th/80215654.pdf","80215654")</f>
        <v>80215654</v>
      </c>
      <c r="F311" s="9" t="s">
        <v>947</v>
      </c>
      <c r="G311" s="9" t="s">
        <v>941</v>
      </c>
      <c r="H311" s="9" t="s">
        <v>948</v>
      </c>
      <c r="I311" s="10">
        <v>45510</v>
      </c>
    </row>
    <row r="312" spans="1:9" x14ac:dyDescent="0.15">
      <c r="A312" s="9">
        <v>311</v>
      </c>
      <c r="B312" s="9" t="s">
        <v>9</v>
      </c>
      <c r="C312" s="9">
        <v>1912</v>
      </c>
      <c r="D312" s="10">
        <v>45616</v>
      </c>
      <c r="E312" s="13" t="str">
        <f>+HYPERLINK("http://trademark.i-assist.jp/data/china/image_1912th/80217289.pdf","80217289")</f>
        <v>80217289</v>
      </c>
      <c r="F312" s="9" t="s">
        <v>949</v>
      </c>
      <c r="G312" s="9" t="s">
        <v>950</v>
      </c>
      <c r="H312" s="9" t="s">
        <v>951</v>
      </c>
      <c r="I312" s="10">
        <v>45510</v>
      </c>
    </row>
    <row r="313" spans="1:9" x14ac:dyDescent="0.15">
      <c r="A313" s="9">
        <v>312</v>
      </c>
      <c r="B313" s="9" t="s">
        <v>9</v>
      </c>
      <c r="C313" s="9">
        <v>1912</v>
      </c>
      <c r="D313" s="10">
        <v>45616</v>
      </c>
      <c r="E313" s="13" t="str">
        <f>+HYPERLINK("http://trademark.i-assist.jp/data/china/image_1912th/80218747.pdf","80218747")</f>
        <v>80218747</v>
      </c>
      <c r="F313" s="9" t="s">
        <v>952</v>
      </c>
      <c r="G313" s="9" t="s">
        <v>953</v>
      </c>
      <c r="H313" s="12" t="s">
        <v>954</v>
      </c>
      <c r="I313" s="10">
        <v>45510</v>
      </c>
    </row>
    <row r="314" spans="1:9" x14ac:dyDescent="0.15">
      <c r="A314" s="9">
        <v>313</v>
      </c>
      <c r="B314" s="9" t="s">
        <v>9</v>
      </c>
      <c r="C314" s="9">
        <v>1912</v>
      </c>
      <c r="D314" s="10">
        <v>45616</v>
      </c>
      <c r="E314" s="13" t="str">
        <f>+HYPERLINK("http://trademark.i-assist.jp/data/china/image_1912th/80219172.pdf","80219172")</f>
        <v>80219172</v>
      </c>
      <c r="F314" s="9" t="s">
        <v>955</v>
      </c>
      <c r="G314" s="9" t="s">
        <v>956</v>
      </c>
      <c r="H314" s="12" t="s">
        <v>957</v>
      </c>
      <c r="I314" s="10">
        <v>45510</v>
      </c>
    </row>
    <row r="315" spans="1:9" x14ac:dyDescent="0.15">
      <c r="A315" s="9">
        <v>314</v>
      </c>
      <c r="B315" s="9" t="s">
        <v>9</v>
      </c>
      <c r="C315" s="9">
        <v>1912</v>
      </c>
      <c r="D315" s="10">
        <v>45616</v>
      </c>
      <c r="E315" s="13" t="str">
        <f>+HYPERLINK("http://trademark.i-assist.jp/data/china/image_1912th/80221483.pdf","80221483")</f>
        <v>80221483</v>
      </c>
      <c r="F315" s="9" t="s">
        <v>958</v>
      </c>
      <c r="G315" s="12" t="s">
        <v>959</v>
      </c>
      <c r="H315" s="9" t="s">
        <v>960</v>
      </c>
      <c r="I315" s="10">
        <v>45511</v>
      </c>
    </row>
    <row r="316" spans="1:9" x14ac:dyDescent="0.15">
      <c r="A316" s="9">
        <v>315</v>
      </c>
      <c r="B316" s="9" t="s">
        <v>9</v>
      </c>
      <c r="C316" s="9">
        <v>1912</v>
      </c>
      <c r="D316" s="10">
        <v>45616</v>
      </c>
      <c r="E316" s="13" t="str">
        <f>+HYPERLINK("http://trademark.i-assist.jp/data/china/image_1912th/80221917.pdf","80221917")</f>
        <v>80221917</v>
      </c>
      <c r="F316" s="9" t="s">
        <v>961</v>
      </c>
      <c r="G316" s="9" t="s">
        <v>962</v>
      </c>
      <c r="H316" s="9" t="s">
        <v>963</v>
      </c>
      <c r="I316" s="10">
        <v>45511</v>
      </c>
    </row>
    <row r="317" spans="1:9" x14ac:dyDescent="0.15">
      <c r="A317" s="9">
        <v>316</v>
      </c>
      <c r="B317" s="9" t="s">
        <v>9</v>
      </c>
      <c r="C317" s="9">
        <v>1912</v>
      </c>
      <c r="D317" s="10">
        <v>45616</v>
      </c>
      <c r="E317" s="13" t="str">
        <f>+HYPERLINK("http://trademark.i-assist.jp/data/china/image_1912th/80221977.pdf","80221977")</f>
        <v>80221977</v>
      </c>
      <c r="F317" s="9" t="s">
        <v>964</v>
      </c>
      <c r="G317" s="9" t="s">
        <v>965</v>
      </c>
      <c r="H317" s="9" t="s">
        <v>966</v>
      </c>
      <c r="I317" s="10">
        <v>45511</v>
      </c>
    </row>
    <row r="318" spans="1:9" x14ac:dyDescent="0.15">
      <c r="A318" s="9">
        <v>317</v>
      </c>
      <c r="B318" s="9" t="s">
        <v>9</v>
      </c>
      <c r="C318" s="9">
        <v>1912</v>
      </c>
      <c r="D318" s="10">
        <v>45616</v>
      </c>
      <c r="E318" s="13" t="str">
        <f>+HYPERLINK("http://trademark.i-assist.jp/data/china/image_1912th/80223053.pdf","80223053")</f>
        <v>80223053</v>
      </c>
      <c r="F318" s="9" t="s">
        <v>967</v>
      </c>
      <c r="G318" s="9" t="s">
        <v>968</v>
      </c>
      <c r="H318" s="9" t="s">
        <v>969</v>
      </c>
      <c r="I318" s="10">
        <v>45511</v>
      </c>
    </row>
    <row r="319" spans="1:9" x14ac:dyDescent="0.15">
      <c r="A319" s="9">
        <v>318</v>
      </c>
      <c r="B319" s="9" t="s">
        <v>9</v>
      </c>
      <c r="C319" s="9">
        <v>1912</v>
      </c>
      <c r="D319" s="10">
        <v>45616</v>
      </c>
      <c r="E319" s="13" t="str">
        <f>+HYPERLINK("http://trademark.i-assist.jp/data/china/image_1912th/80223150.pdf","80223150")</f>
        <v>80223150</v>
      </c>
      <c r="F319" s="12" t="s">
        <v>970</v>
      </c>
      <c r="G319" s="9" t="s">
        <v>971</v>
      </c>
      <c r="H319" s="9" t="s">
        <v>972</v>
      </c>
      <c r="I319" s="10">
        <v>45511</v>
      </c>
    </row>
    <row r="320" spans="1:9" x14ac:dyDescent="0.15">
      <c r="A320" s="9">
        <v>319</v>
      </c>
      <c r="B320" s="9" t="s">
        <v>9</v>
      </c>
      <c r="C320" s="9">
        <v>1912</v>
      </c>
      <c r="D320" s="10">
        <v>45616</v>
      </c>
      <c r="E320" s="13" t="str">
        <f>+HYPERLINK("http://trademark.i-assist.jp/data/china/image_1912th/80223398.pdf","80223398")</f>
        <v>80223398</v>
      </c>
      <c r="F320" s="9" t="s">
        <v>973</v>
      </c>
      <c r="G320" s="12" t="s">
        <v>46</v>
      </c>
      <c r="H320" s="9" t="s">
        <v>60</v>
      </c>
      <c r="I320" s="10">
        <v>45511</v>
      </c>
    </row>
    <row r="321" spans="1:9" x14ac:dyDescent="0.15">
      <c r="A321" s="9">
        <v>320</v>
      </c>
      <c r="B321" s="9" t="s">
        <v>9</v>
      </c>
      <c r="C321" s="9">
        <v>1912</v>
      </c>
      <c r="D321" s="10">
        <v>45616</v>
      </c>
      <c r="E321" s="13" t="str">
        <f>+HYPERLINK("http://trademark.i-assist.jp/data/china/image_1912th/80223402.pdf","80223402")</f>
        <v>80223402</v>
      </c>
      <c r="F321" s="9" t="s">
        <v>974</v>
      </c>
      <c r="G321" s="12" t="s">
        <v>46</v>
      </c>
      <c r="H321" s="9" t="s">
        <v>975</v>
      </c>
      <c r="I321" s="10">
        <v>45511</v>
      </c>
    </row>
    <row r="322" spans="1:9" x14ac:dyDescent="0.15">
      <c r="A322" s="9">
        <v>321</v>
      </c>
      <c r="B322" s="9" t="s">
        <v>9</v>
      </c>
      <c r="C322" s="9">
        <v>1912</v>
      </c>
      <c r="D322" s="10">
        <v>45616</v>
      </c>
      <c r="E322" s="13" t="str">
        <f>+HYPERLINK("http://trademark.i-assist.jp/data/china/image_1912th/80223698.pdf","80223698")</f>
        <v>80223698</v>
      </c>
      <c r="F322" s="9" t="s">
        <v>976</v>
      </c>
      <c r="G322" s="9" t="s">
        <v>977</v>
      </c>
      <c r="H322" s="9" t="s">
        <v>978</v>
      </c>
      <c r="I322" s="10">
        <v>45511</v>
      </c>
    </row>
    <row r="323" spans="1:9" x14ac:dyDescent="0.15">
      <c r="A323" s="9">
        <v>322</v>
      </c>
      <c r="B323" s="9" t="s">
        <v>9</v>
      </c>
      <c r="C323" s="9">
        <v>1912</v>
      </c>
      <c r="D323" s="10">
        <v>45616</v>
      </c>
      <c r="E323" s="13" t="str">
        <f>+HYPERLINK("http://trademark.i-assist.jp/data/china/image_1912th/80224825.pdf","80224825")</f>
        <v>80224825</v>
      </c>
      <c r="F323" s="12" t="s">
        <v>979</v>
      </c>
      <c r="G323" s="9" t="s">
        <v>980</v>
      </c>
      <c r="H323" s="9" t="s">
        <v>981</v>
      </c>
      <c r="I323" s="10">
        <v>45511</v>
      </c>
    </row>
    <row r="324" spans="1:9" x14ac:dyDescent="0.15">
      <c r="A324" s="9">
        <v>323</v>
      </c>
      <c r="B324" s="9" t="s">
        <v>9</v>
      </c>
      <c r="C324" s="9">
        <v>1912</v>
      </c>
      <c r="D324" s="10">
        <v>45616</v>
      </c>
      <c r="E324" s="13" t="str">
        <f>+HYPERLINK("http://trademark.i-assist.jp/data/china/image_1912th/80225959.pdf","80225959")</f>
        <v>80225959</v>
      </c>
      <c r="F324" s="9" t="s">
        <v>982</v>
      </c>
      <c r="G324" s="9" t="s">
        <v>983</v>
      </c>
      <c r="H324" s="9" t="s">
        <v>984</v>
      </c>
      <c r="I324" s="10">
        <v>45511</v>
      </c>
    </row>
    <row r="325" spans="1:9" x14ac:dyDescent="0.15">
      <c r="A325" s="9">
        <v>324</v>
      </c>
      <c r="B325" s="9" t="s">
        <v>9</v>
      </c>
      <c r="C325" s="9">
        <v>1912</v>
      </c>
      <c r="D325" s="10">
        <v>45616</v>
      </c>
      <c r="E325" s="13" t="str">
        <f>+HYPERLINK("http://trademark.i-assist.jp/data/china/image_1912th/80227476.pdf","80227476")</f>
        <v>80227476</v>
      </c>
      <c r="F325" s="9" t="s">
        <v>985</v>
      </c>
      <c r="G325" s="9" t="s">
        <v>986</v>
      </c>
      <c r="H325" s="9" t="s">
        <v>987</v>
      </c>
      <c r="I325" s="10">
        <v>45511</v>
      </c>
    </row>
    <row r="326" spans="1:9" x14ac:dyDescent="0.15">
      <c r="A326" s="9">
        <v>325</v>
      </c>
      <c r="B326" s="9" t="s">
        <v>9</v>
      </c>
      <c r="C326" s="9">
        <v>1912</v>
      </c>
      <c r="D326" s="10">
        <v>45616</v>
      </c>
      <c r="E326" s="13" t="str">
        <f>+HYPERLINK("http://trademark.i-assist.jp/data/china/image_1912th/80228343.pdf","80228343")</f>
        <v>80228343</v>
      </c>
      <c r="F326" s="9" t="s">
        <v>988</v>
      </c>
      <c r="G326" s="9" t="s">
        <v>989</v>
      </c>
      <c r="H326" s="9" t="s">
        <v>990</v>
      </c>
      <c r="I326" s="10">
        <v>45511</v>
      </c>
    </row>
    <row r="327" spans="1:9" x14ac:dyDescent="0.15">
      <c r="A327" s="9">
        <v>326</v>
      </c>
      <c r="B327" s="9" t="s">
        <v>9</v>
      </c>
      <c r="C327" s="9">
        <v>1912</v>
      </c>
      <c r="D327" s="10">
        <v>45616</v>
      </c>
      <c r="E327" s="13" t="str">
        <f>+HYPERLINK("http://trademark.i-assist.jp/data/china/image_1912th/80229728.pdf","80229728")</f>
        <v>80229728</v>
      </c>
      <c r="F327" s="12" t="s">
        <v>991</v>
      </c>
      <c r="G327" s="12" t="s">
        <v>992</v>
      </c>
      <c r="H327" s="9" t="s">
        <v>993</v>
      </c>
      <c r="I327" s="10">
        <v>45511</v>
      </c>
    </row>
    <row r="328" spans="1:9" x14ac:dyDescent="0.15">
      <c r="A328" s="9">
        <v>327</v>
      </c>
      <c r="B328" s="9" t="s">
        <v>9</v>
      </c>
      <c r="C328" s="9">
        <v>1912</v>
      </c>
      <c r="D328" s="10">
        <v>45616</v>
      </c>
      <c r="E328" s="13" t="str">
        <f>+HYPERLINK("http://trademark.i-assist.jp/data/china/image_1912th/80229749.pdf","80229749")</f>
        <v>80229749</v>
      </c>
      <c r="F328" s="9" t="s">
        <v>994</v>
      </c>
      <c r="G328" s="12" t="s">
        <v>995</v>
      </c>
      <c r="H328" s="9" t="s">
        <v>996</v>
      </c>
      <c r="I328" s="10">
        <v>45511</v>
      </c>
    </row>
    <row r="329" spans="1:9" x14ac:dyDescent="0.15">
      <c r="A329" s="9">
        <v>328</v>
      </c>
      <c r="B329" s="9" t="s">
        <v>9</v>
      </c>
      <c r="C329" s="9">
        <v>1912</v>
      </c>
      <c r="D329" s="10">
        <v>45616</v>
      </c>
      <c r="E329" s="13" t="str">
        <f>+HYPERLINK("http://trademark.i-assist.jp/data/china/image_1912th/80232488.pdf","80232488")</f>
        <v>80232488</v>
      </c>
      <c r="F329" s="9" t="s">
        <v>997</v>
      </c>
      <c r="G329" s="9" t="s">
        <v>998</v>
      </c>
      <c r="H329" s="9" t="s">
        <v>999</v>
      </c>
      <c r="I329" s="10">
        <v>45511</v>
      </c>
    </row>
    <row r="330" spans="1:9" x14ac:dyDescent="0.15">
      <c r="A330" s="9">
        <v>329</v>
      </c>
      <c r="B330" s="9" t="s">
        <v>9</v>
      </c>
      <c r="C330" s="9">
        <v>1912</v>
      </c>
      <c r="D330" s="10">
        <v>45616</v>
      </c>
      <c r="E330" s="13" t="str">
        <f>+HYPERLINK("http://trademark.i-assist.jp/data/china/image_1912th/80233053.pdf","80233053")</f>
        <v>80233053</v>
      </c>
      <c r="F330" s="12" t="s">
        <v>1000</v>
      </c>
      <c r="G330" s="9" t="s">
        <v>1001</v>
      </c>
      <c r="H330" s="9" t="s">
        <v>1002</v>
      </c>
      <c r="I330" s="10">
        <v>45511</v>
      </c>
    </row>
    <row r="331" spans="1:9" x14ac:dyDescent="0.15">
      <c r="A331" s="9">
        <v>330</v>
      </c>
      <c r="B331" s="9" t="s">
        <v>9</v>
      </c>
      <c r="C331" s="9">
        <v>1912</v>
      </c>
      <c r="D331" s="10">
        <v>45616</v>
      </c>
      <c r="E331" s="13" t="str">
        <f>+HYPERLINK("http://trademark.i-assist.jp/data/china/image_1912th/80234188.pdf","80234188")</f>
        <v>80234188</v>
      </c>
      <c r="F331" s="12" t="s">
        <v>1003</v>
      </c>
      <c r="G331" s="9" t="s">
        <v>34</v>
      </c>
      <c r="H331" s="9" t="s">
        <v>1004</v>
      </c>
      <c r="I331" s="10">
        <v>45511</v>
      </c>
    </row>
    <row r="332" spans="1:9" x14ac:dyDescent="0.15">
      <c r="A332" s="9">
        <v>331</v>
      </c>
      <c r="B332" s="9" t="s">
        <v>9</v>
      </c>
      <c r="C332" s="9">
        <v>1912</v>
      </c>
      <c r="D332" s="10">
        <v>45616</v>
      </c>
      <c r="E332" s="13" t="str">
        <f>+HYPERLINK("http://trademark.i-assist.jp/data/china/image_1912th/80234670.pdf","80234670")</f>
        <v>80234670</v>
      </c>
      <c r="F332" s="9" t="s">
        <v>1005</v>
      </c>
      <c r="G332" s="9" t="s">
        <v>968</v>
      </c>
      <c r="H332" s="9" t="s">
        <v>1006</v>
      </c>
      <c r="I332" s="10">
        <v>45511</v>
      </c>
    </row>
    <row r="333" spans="1:9" x14ac:dyDescent="0.15">
      <c r="A333" s="9">
        <v>332</v>
      </c>
      <c r="B333" s="9" t="s">
        <v>9</v>
      </c>
      <c r="C333" s="9">
        <v>1912</v>
      </c>
      <c r="D333" s="10">
        <v>45616</v>
      </c>
      <c r="E333" s="13" t="str">
        <f>+HYPERLINK("http://trademark.i-assist.jp/data/china/image_1912th/80234927.pdf","80234927")</f>
        <v>80234927</v>
      </c>
      <c r="F333" s="9" t="s">
        <v>1007</v>
      </c>
      <c r="G333" s="9" t="s">
        <v>1008</v>
      </c>
      <c r="H333" s="12" t="s">
        <v>1009</v>
      </c>
      <c r="I333" s="10">
        <v>45511</v>
      </c>
    </row>
    <row r="334" spans="1:9" x14ac:dyDescent="0.15">
      <c r="A334" s="9">
        <v>333</v>
      </c>
      <c r="B334" s="9" t="s">
        <v>9</v>
      </c>
      <c r="C334" s="9">
        <v>1912</v>
      </c>
      <c r="D334" s="10">
        <v>45616</v>
      </c>
      <c r="E334" s="13" t="str">
        <f>+HYPERLINK("http://trademark.i-assist.jp/data/china/image_1912th/80235475.pdf","80235475")</f>
        <v>80235475</v>
      </c>
      <c r="F334" s="9" t="s">
        <v>1010</v>
      </c>
      <c r="G334" s="9" t="s">
        <v>1011</v>
      </c>
      <c r="H334" s="9" t="s">
        <v>1012</v>
      </c>
      <c r="I334" s="10">
        <v>45511</v>
      </c>
    </row>
    <row r="335" spans="1:9" x14ac:dyDescent="0.15">
      <c r="A335" s="9">
        <v>334</v>
      </c>
      <c r="B335" s="9" t="s">
        <v>9</v>
      </c>
      <c r="C335" s="9">
        <v>1912</v>
      </c>
      <c r="D335" s="10">
        <v>45616</v>
      </c>
      <c r="E335" s="13" t="str">
        <f>+HYPERLINK("http://trademark.i-assist.jp/data/china/image_1912th/80236278.pdf","80236278")</f>
        <v>80236278</v>
      </c>
      <c r="F335" s="12" t="s">
        <v>1013</v>
      </c>
      <c r="G335" s="9" t="s">
        <v>1014</v>
      </c>
      <c r="H335" s="9" t="s">
        <v>1015</v>
      </c>
      <c r="I335" s="10">
        <v>45511</v>
      </c>
    </row>
    <row r="336" spans="1:9" x14ac:dyDescent="0.15">
      <c r="A336" s="9">
        <v>335</v>
      </c>
      <c r="B336" s="9" t="s">
        <v>9</v>
      </c>
      <c r="C336" s="9">
        <v>1912</v>
      </c>
      <c r="D336" s="10">
        <v>45616</v>
      </c>
      <c r="E336" s="13" t="str">
        <f>+HYPERLINK("http://trademark.i-assist.jp/data/china/image_1912th/80236515.pdf","80236515")</f>
        <v>80236515</v>
      </c>
      <c r="F336" s="9" t="s">
        <v>1016</v>
      </c>
      <c r="G336" s="12" t="s">
        <v>1017</v>
      </c>
      <c r="H336" s="9" t="s">
        <v>1018</v>
      </c>
      <c r="I336" s="10">
        <v>45511</v>
      </c>
    </row>
    <row r="337" spans="1:9" x14ac:dyDescent="0.15">
      <c r="A337" s="9">
        <v>336</v>
      </c>
      <c r="B337" s="9" t="s">
        <v>9</v>
      </c>
      <c r="C337" s="9">
        <v>1912</v>
      </c>
      <c r="D337" s="10">
        <v>45616</v>
      </c>
      <c r="E337" s="13" t="str">
        <f>+HYPERLINK("http://trademark.i-assist.jp/data/china/image_1912th/80237120.pdf","80237120")</f>
        <v>80237120</v>
      </c>
      <c r="F337" s="11" t="s">
        <v>1019</v>
      </c>
      <c r="G337" s="9" t="s">
        <v>1020</v>
      </c>
      <c r="H337" s="9" t="s">
        <v>1021</v>
      </c>
      <c r="I337" s="10">
        <v>45511</v>
      </c>
    </row>
    <row r="338" spans="1:9" x14ac:dyDescent="0.15">
      <c r="A338" s="9">
        <v>337</v>
      </c>
      <c r="B338" s="9" t="s">
        <v>9</v>
      </c>
      <c r="C338" s="9">
        <v>1912</v>
      </c>
      <c r="D338" s="10">
        <v>45616</v>
      </c>
      <c r="E338" s="13" t="str">
        <f>+HYPERLINK("http://trademark.i-assist.jp/data/china/image_1912th/80237349.pdf","80237349")</f>
        <v>80237349</v>
      </c>
      <c r="F338" s="12" t="s">
        <v>1022</v>
      </c>
      <c r="G338" s="9" t="s">
        <v>1023</v>
      </c>
      <c r="H338" s="9" t="s">
        <v>1024</v>
      </c>
      <c r="I338" s="10">
        <v>45511</v>
      </c>
    </row>
    <row r="339" spans="1:9" x14ac:dyDescent="0.15">
      <c r="A339" s="9">
        <v>338</v>
      </c>
      <c r="B339" s="9" t="s">
        <v>9</v>
      </c>
      <c r="C339" s="9">
        <v>1912</v>
      </c>
      <c r="D339" s="10">
        <v>45616</v>
      </c>
      <c r="E339" s="13" t="str">
        <f>+HYPERLINK("http://trademark.i-assist.jp/data/china/image_1912th/80237947.pdf","80237947")</f>
        <v>80237947</v>
      </c>
      <c r="F339" s="9" t="s">
        <v>1025</v>
      </c>
      <c r="G339" s="12" t="s">
        <v>1026</v>
      </c>
      <c r="H339" s="12" t="s">
        <v>1027</v>
      </c>
      <c r="I339" s="10">
        <v>45511</v>
      </c>
    </row>
    <row r="340" spans="1:9" x14ac:dyDescent="0.15">
      <c r="A340" s="9">
        <v>339</v>
      </c>
      <c r="B340" s="9" t="s">
        <v>9</v>
      </c>
      <c r="C340" s="9">
        <v>1912</v>
      </c>
      <c r="D340" s="10">
        <v>45616</v>
      </c>
      <c r="E340" s="13" t="str">
        <f>+HYPERLINK("http://trademark.i-assist.jp/data/china/image_1912th/80237959.pdf","80237959")</f>
        <v>80237959</v>
      </c>
      <c r="F340" s="9" t="s">
        <v>1028</v>
      </c>
      <c r="G340" s="12" t="s">
        <v>1026</v>
      </c>
      <c r="H340" s="9" t="s">
        <v>1029</v>
      </c>
      <c r="I340" s="10">
        <v>45511</v>
      </c>
    </row>
    <row r="341" spans="1:9" x14ac:dyDescent="0.15">
      <c r="A341" s="9">
        <v>340</v>
      </c>
      <c r="B341" s="9" t="s">
        <v>9</v>
      </c>
      <c r="C341" s="9">
        <v>1912</v>
      </c>
      <c r="D341" s="10">
        <v>45616</v>
      </c>
      <c r="E341" s="13" t="str">
        <f>+HYPERLINK("http://trademark.i-assist.jp/data/china/image_1912th/80238063.pdf","80238063")</f>
        <v>80238063</v>
      </c>
      <c r="F341" s="9" t="s">
        <v>1030</v>
      </c>
      <c r="G341" s="12" t="s">
        <v>1031</v>
      </c>
      <c r="H341" s="12" t="s">
        <v>1032</v>
      </c>
      <c r="I341" s="10">
        <v>45511</v>
      </c>
    </row>
    <row r="342" spans="1:9" x14ac:dyDescent="0.15">
      <c r="A342" s="9">
        <v>341</v>
      </c>
      <c r="B342" s="9" t="s">
        <v>9</v>
      </c>
      <c r="C342" s="9">
        <v>1912</v>
      </c>
      <c r="D342" s="10">
        <v>45616</v>
      </c>
      <c r="E342" s="13" t="str">
        <f>+HYPERLINK("http://trademark.i-assist.jp/data/china/image_1912th/80238187.pdf","80238187")</f>
        <v>80238187</v>
      </c>
      <c r="F342" s="12" t="s">
        <v>1033</v>
      </c>
      <c r="G342" s="12" t="s">
        <v>1034</v>
      </c>
      <c r="H342" s="9" t="s">
        <v>1035</v>
      </c>
      <c r="I342" s="10">
        <v>45511</v>
      </c>
    </row>
    <row r="343" spans="1:9" x14ac:dyDescent="0.15">
      <c r="A343" s="9">
        <v>342</v>
      </c>
      <c r="B343" s="9" t="s">
        <v>9</v>
      </c>
      <c r="C343" s="9">
        <v>1912</v>
      </c>
      <c r="D343" s="10">
        <v>45616</v>
      </c>
      <c r="E343" s="13" t="str">
        <f>+HYPERLINK("http://trademark.i-assist.jp/data/china/image_1912th/80238212.pdf","80238212")</f>
        <v>80238212</v>
      </c>
      <c r="F343" s="9" t="s">
        <v>1036</v>
      </c>
      <c r="G343" s="9" t="s">
        <v>1037</v>
      </c>
      <c r="H343" s="9" t="s">
        <v>1038</v>
      </c>
      <c r="I343" s="10">
        <v>45511</v>
      </c>
    </row>
    <row r="344" spans="1:9" x14ac:dyDescent="0.15">
      <c r="A344" s="9">
        <v>343</v>
      </c>
      <c r="B344" s="9" t="s">
        <v>9</v>
      </c>
      <c r="C344" s="9">
        <v>1912</v>
      </c>
      <c r="D344" s="10">
        <v>45616</v>
      </c>
      <c r="E344" s="13" t="str">
        <f>+HYPERLINK("http://trademark.i-assist.jp/data/china/image_1912th/80238397.pdf","80238397")</f>
        <v>80238397</v>
      </c>
      <c r="F344" s="9" t="s">
        <v>1039</v>
      </c>
      <c r="G344" s="9" t="s">
        <v>968</v>
      </c>
      <c r="H344" s="9" t="s">
        <v>1040</v>
      </c>
      <c r="I344" s="10">
        <v>45511</v>
      </c>
    </row>
    <row r="345" spans="1:9" x14ac:dyDescent="0.15">
      <c r="A345" s="9">
        <v>344</v>
      </c>
      <c r="B345" s="9" t="s">
        <v>9</v>
      </c>
      <c r="C345" s="9">
        <v>1912</v>
      </c>
      <c r="D345" s="10">
        <v>45616</v>
      </c>
      <c r="E345" s="13" t="str">
        <f>+HYPERLINK("http://trademark.i-assist.jp/data/china/image_1912th/80238561.pdf","80238561")</f>
        <v>80238561</v>
      </c>
      <c r="F345" s="9" t="s">
        <v>1041</v>
      </c>
      <c r="G345" s="12" t="s">
        <v>1042</v>
      </c>
      <c r="H345" s="9" t="s">
        <v>1043</v>
      </c>
      <c r="I345" s="10">
        <v>45511</v>
      </c>
    </row>
    <row r="346" spans="1:9" x14ac:dyDescent="0.15">
      <c r="A346" s="9">
        <v>345</v>
      </c>
      <c r="B346" s="9" t="s">
        <v>9</v>
      </c>
      <c r="C346" s="9">
        <v>1912</v>
      </c>
      <c r="D346" s="10">
        <v>45616</v>
      </c>
      <c r="E346" s="13" t="str">
        <f>+HYPERLINK("http://trademark.i-assist.jp/data/china/image_1912th/80240607.pdf","80240607")</f>
        <v>80240607</v>
      </c>
      <c r="F346" s="9" t="s">
        <v>1044</v>
      </c>
      <c r="G346" s="12" t="s">
        <v>1045</v>
      </c>
      <c r="H346" s="9" t="s">
        <v>1046</v>
      </c>
      <c r="I346" s="10">
        <v>45511</v>
      </c>
    </row>
    <row r="347" spans="1:9" x14ac:dyDescent="0.15">
      <c r="A347" s="9">
        <v>346</v>
      </c>
      <c r="B347" s="9" t="s">
        <v>9</v>
      </c>
      <c r="C347" s="9">
        <v>1912</v>
      </c>
      <c r="D347" s="10">
        <v>45616</v>
      </c>
      <c r="E347" s="13" t="str">
        <f>+HYPERLINK("http://trademark.i-assist.jp/data/china/image_1912th/80240775.pdf","80240775")</f>
        <v>80240775</v>
      </c>
      <c r="F347" s="9" t="s">
        <v>1047</v>
      </c>
      <c r="G347" s="12" t="s">
        <v>1048</v>
      </c>
      <c r="H347" s="9" t="s">
        <v>1049</v>
      </c>
      <c r="I347" s="10">
        <v>45511</v>
      </c>
    </row>
    <row r="348" spans="1:9" x14ac:dyDescent="0.15">
      <c r="A348" s="9">
        <v>347</v>
      </c>
      <c r="B348" s="9" t="s">
        <v>9</v>
      </c>
      <c r="C348" s="9">
        <v>1912</v>
      </c>
      <c r="D348" s="10">
        <v>45616</v>
      </c>
      <c r="E348" s="13" t="str">
        <f>+HYPERLINK("http://trademark.i-assist.jp/data/china/image_1912th/80241538.pdf","80241538")</f>
        <v>80241538</v>
      </c>
      <c r="F348" s="9" t="s">
        <v>1050</v>
      </c>
      <c r="G348" s="9" t="s">
        <v>977</v>
      </c>
      <c r="H348" s="12" t="s">
        <v>1051</v>
      </c>
      <c r="I348" s="10">
        <v>45511</v>
      </c>
    </row>
    <row r="349" spans="1:9" x14ac:dyDescent="0.15">
      <c r="A349" s="9">
        <v>348</v>
      </c>
      <c r="B349" s="9" t="s">
        <v>9</v>
      </c>
      <c r="C349" s="9">
        <v>1912</v>
      </c>
      <c r="D349" s="10">
        <v>45616</v>
      </c>
      <c r="E349" s="13" t="str">
        <f>+HYPERLINK("http://trademark.i-assist.jp/data/china/image_1912th/80242469.pdf","80242469")</f>
        <v>80242469</v>
      </c>
      <c r="F349" s="9" t="s">
        <v>1052</v>
      </c>
      <c r="G349" s="12" t="s">
        <v>556</v>
      </c>
      <c r="H349" s="9" t="s">
        <v>1053</v>
      </c>
      <c r="I349" s="10">
        <v>45511</v>
      </c>
    </row>
    <row r="350" spans="1:9" x14ac:dyDescent="0.15">
      <c r="A350" s="9">
        <v>349</v>
      </c>
      <c r="B350" s="9" t="s">
        <v>9</v>
      </c>
      <c r="C350" s="9">
        <v>1912</v>
      </c>
      <c r="D350" s="10">
        <v>45616</v>
      </c>
      <c r="E350" s="13" t="str">
        <f>+HYPERLINK("http://trademark.i-assist.jp/data/china/image_1912th/80242878.pdf","80242878")</f>
        <v>80242878</v>
      </c>
      <c r="F350" s="9" t="s">
        <v>1054</v>
      </c>
      <c r="G350" s="12" t="s">
        <v>1055</v>
      </c>
      <c r="H350" s="9" t="s">
        <v>1056</v>
      </c>
      <c r="I350" s="10">
        <v>45511</v>
      </c>
    </row>
    <row r="351" spans="1:9" x14ac:dyDescent="0.15">
      <c r="A351" s="9">
        <v>350</v>
      </c>
      <c r="B351" s="9" t="s">
        <v>9</v>
      </c>
      <c r="C351" s="9">
        <v>1912</v>
      </c>
      <c r="D351" s="10">
        <v>45616</v>
      </c>
      <c r="E351" s="13" t="str">
        <f>+HYPERLINK("http://trademark.i-assist.jp/data/china/image_1912th/80244080.pdf","80244080")</f>
        <v>80244080</v>
      </c>
      <c r="F351" s="9" t="s">
        <v>1057</v>
      </c>
      <c r="G351" s="9" t="s">
        <v>1058</v>
      </c>
      <c r="H351" s="9" t="s">
        <v>1059</v>
      </c>
      <c r="I351" s="10">
        <v>45512</v>
      </c>
    </row>
    <row r="352" spans="1:9" x14ac:dyDescent="0.15">
      <c r="A352" s="9">
        <v>351</v>
      </c>
      <c r="B352" s="9" t="s">
        <v>9</v>
      </c>
      <c r="C352" s="9">
        <v>1912</v>
      </c>
      <c r="D352" s="10">
        <v>45616</v>
      </c>
      <c r="E352" s="13" t="str">
        <f>+HYPERLINK("http://trademark.i-assist.jp/data/china/image_1912th/80244083.pdf","80244083")</f>
        <v>80244083</v>
      </c>
      <c r="F352" s="9" t="s">
        <v>1060</v>
      </c>
      <c r="G352" s="12" t="s">
        <v>1061</v>
      </c>
      <c r="H352" s="9" t="s">
        <v>1062</v>
      </c>
      <c r="I352" s="10">
        <v>45512</v>
      </c>
    </row>
    <row r="353" spans="1:9" x14ac:dyDescent="0.15">
      <c r="A353" s="9">
        <v>352</v>
      </c>
      <c r="B353" s="9" t="s">
        <v>9</v>
      </c>
      <c r="C353" s="9">
        <v>1912</v>
      </c>
      <c r="D353" s="10">
        <v>45616</v>
      </c>
      <c r="E353" s="13" t="str">
        <f>+HYPERLINK("http://trademark.i-assist.jp/data/china/image_1912th/80244092.pdf","80244092")</f>
        <v>80244092</v>
      </c>
      <c r="F353" s="12" t="s">
        <v>1063</v>
      </c>
      <c r="G353" s="9" t="s">
        <v>1064</v>
      </c>
      <c r="H353" s="9" t="s">
        <v>1065</v>
      </c>
      <c r="I353" s="10">
        <v>45512</v>
      </c>
    </row>
    <row r="354" spans="1:9" x14ac:dyDescent="0.15">
      <c r="A354" s="9">
        <v>353</v>
      </c>
      <c r="B354" s="9" t="s">
        <v>9</v>
      </c>
      <c r="C354" s="9">
        <v>1912</v>
      </c>
      <c r="D354" s="10">
        <v>45616</v>
      </c>
      <c r="E354" s="13" t="str">
        <f>+HYPERLINK("http://trademark.i-assist.jp/data/china/image_1912th/80246107.pdf","80246107")</f>
        <v>80246107</v>
      </c>
      <c r="F354" s="12" t="s">
        <v>1066</v>
      </c>
      <c r="G354" s="12" t="s">
        <v>1067</v>
      </c>
      <c r="H354" s="9" t="s">
        <v>1068</v>
      </c>
      <c r="I354" s="10">
        <v>45512</v>
      </c>
    </row>
    <row r="355" spans="1:9" x14ac:dyDescent="0.15">
      <c r="A355" s="9">
        <v>354</v>
      </c>
      <c r="B355" s="9" t="s">
        <v>9</v>
      </c>
      <c r="C355" s="9">
        <v>1912</v>
      </c>
      <c r="D355" s="10">
        <v>45616</v>
      </c>
      <c r="E355" s="13" t="str">
        <f>+HYPERLINK("http://trademark.i-assist.jp/data/china/image_1912th/80248006.pdf","80248006")</f>
        <v>80248006</v>
      </c>
      <c r="F355" s="9" t="s">
        <v>1069</v>
      </c>
      <c r="G355" s="12" t="s">
        <v>660</v>
      </c>
      <c r="H355" s="9" t="s">
        <v>1070</v>
      </c>
      <c r="I355" s="10">
        <v>45512</v>
      </c>
    </row>
    <row r="356" spans="1:9" x14ac:dyDescent="0.15">
      <c r="A356" s="9">
        <v>355</v>
      </c>
      <c r="B356" s="9" t="s">
        <v>9</v>
      </c>
      <c r="C356" s="9">
        <v>1912</v>
      </c>
      <c r="D356" s="10">
        <v>45616</v>
      </c>
      <c r="E356" s="13" t="str">
        <f>+HYPERLINK("http://trademark.i-assist.jp/data/china/image_1912th/80248068.pdf","80248068")</f>
        <v>80248068</v>
      </c>
      <c r="F356" s="9" t="s">
        <v>1071</v>
      </c>
      <c r="G356" s="12" t="s">
        <v>16</v>
      </c>
      <c r="H356" s="9" t="s">
        <v>933</v>
      </c>
      <c r="I356" s="10">
        <v>45512</v>
      </c>
    </row>
    <row r="357" spans="1:9" x14ac:dyDescent="0.15">
      <c r="A357" s="9">
        <v>356</v>
      </c>
      <c r="B357" s="9" t="s">
        <v>9</v>
      </c>
      <c r="C357" s="9">
        <v>1912</v>
      </c>
      <c r="D357" s="10">
        <v>45616</v>
      </c>
      <c r="E357" s="13" t="str">
        <f>+HYPERLINK("http://trademark.i-assist.jp/data/china/image_1912th/80249176.pdf","80249176")</f>
        <v>80249176</v>
      </c>
      <c r="F357" s="9" t="s">
        <v>1072</v>
      </c>
      <c r="G357" s="12" t="s">
        <v>1073</v>
      </c>
      <c r="H357" s="9" t="s">
        <v>1074</v>
      </c>
      <c r="I357" s="10">
        <v>45512</v>
      </c>
    </row>
    <row r="358" spans="1:9" x14ac:dyDescent="0.15">
      <c r="A358" s="9">
        <v>357</v>
      </c>
      <c r="B358" s="9" t="s">
        <v>9</v>
      </c>
      <c r="C358" s="9">
        <v>1912</v>
      </c>
      <c r="D358" s="10">
        <v>45616</v>
      </c>
      <c r="E358" s="13" t="str">
        <f>+HYPERLINK("http://trademark.i-assist.jp/data/china/image_1912th/80252554.pdf","80252554")</f>
        <v>80252554</v>
      </c>
      <c r="F358" s="12" t="s">
        <v>1075</v>
      </c>
      <c r="G358" s="12" t="s">
        <v>1076</v>
      </c>
      <c r="H358" s="9" t="s">
        <v>1077</v>
      </c>
      <c r="I358" s="10">
        <v>45512</v>
      </c>
    </row>
    <row r="359" spans="1:9" x14ac:dyDescent="0.15">
      <c r="A359" s="9">
        <v>358</v>
      </c>
      <c r="B359" s="9" t="s">
        <v>9</v>
      </c>
      <c r="C359" s="9">
        <v>1912</v>
      </c>
      <c r="D359" s="10">
        <v>45616</v>
      </c>
      <c r="E359" s="13" t="str">
        <f>+HYPERLINK("http://trademark.i-assist.jp/data/china/image_1912th/80255456.pdf","80255456")</f>
        <v>80255456</v>
      </c>
      <c r="F359" s="12" t="s">
        <v>1078</v>
      </c>
      <c r="G359" s="9" t="s">
        <v>1079</v>
      </c>
      <c r="H359" s="9" t="s">
        <v>1080</v>
      </c>
      <c r="I359" s="10">
        <v>45512</v>
      </c>
    </row>
    <row r="360" spans="1:9" x14ac:dyDescent="0.15">
      <c r="A360" s="9">
        <v>359</v>
      </c>
      <c r="B360" s="9" t="s">
        <v>9</v>
      </c>
      <c r="C360" s="9">
        <v>1912</v>
      </c>
      <c r="D360" s="10">
        <v>45616</v>
      </c>
      <c r="E360" s="13" t="str">
        <f>+HYPERLINK("http://trademark.i-assist.jp/data/china/image_1912th/80259760.pdf","80259760")</f>
        <v>80259760</v>
      </c>
      <c r="F360" s="9" t="s">
        <v>1081</v>
      </c>
      <c r="G360" s="9" t="s">
        <v>1082</v>
      </c>
      <c r="H360" s="9" t="s">
        <v>1083</v>
      </c>
      <c r="I360" s="10">
        <v>45512</v>
      </c>
    </row>
    <row r="361" spans="1:9" x14ac:dyDescent="0.15">
      <c r="A361" s="9">
        <v>360</v>
      </c>
      <c r="B361" s="9" t="s">
        <v>9</v>
      </c>
      <c r="C361" s="9">
        <v>1912</v>
      </c>
      <c r="D361" s="10">
        <v>45616</v>
      </c>
      <c r="E361" s="13" t="str">
        <f>+HYPERLINK("http://trademark.i-assist.jp/data/china/image_1912th/80259816.pdf","80259816")</f>
        <v>80259816</v>
      </c>
      <c r="F361" s="9" t="s">
        <v>1072</v>
      </c>
      <c r="G361" s="12" t="s">
        <v>1073</v>
      </c>
      <c r="H361" s="9" t="s">
        <v>1084</v>
      </c>
      <c r="I361" s="10">
        <v>45512</v>
      </c>
    </row>
    <row r="362" spans="1:9" x14ac:dyDescent="0.15">
      <c r="A362" s="9">
        <v>361</v>
      </c>
      <c r="B362" s="9" t="s">
        <v>9</v>
      </c>
      <c r="C362" s="9">
        <v>1912</v>
      </c>
      <c r="D362" s="10">
        <v>45616</v>
      </c>
      <c r="E362" s="13" t="str">
        <f>+HYPERLINK("http://trademark.i-assist.jp/data/china/image_1912th/80260306.pdf","80260306")</f>
        <v>80260306</v>
      </c>
      <c r="F362" s="9" t="s">
        <v>1085</v>
      </c>
      <c r="G362" s="9" t="s">
        <v>1086</v>
      </c>
      <c r="H362" s="9" t="s">
        <v>1087</v>
      </c>
      <c r="I362" s="10">
        <v>45512</v>
      </c>
    </row>
    <row r="363" spans="1:9" x14ac:dyDescent="0.15">
      <c r="A363" s="9">
        <v>362</v>
      </c>
      <c r="B363" s="9" t="s">
        <v>9</v>
      </c>
      <c r="C363" s="9">
        <v>1912</v>
      </c>
      <c r="D363" s="10">
        <v>45616</v>
      </c>
      <c r="E363" s="13" t="str">
        <f>+HYPERLINK("http://trademark.i-assist.jp/data/china/image_1912th/80260380.pdf","80260380")</f>
        <v>80260380</v>
      </c>
      <c r="F363" s="9" t="s">
        <v>1088</v>
      </c>
      <c r="G363" s="9" t="s">
        <v>69</v>
      </c>
      <c r="H363" s="9" t="s">
        <v>1089</v>
      </c>
      <c r="I363" s="10">
        <v>45512</v>
      </c>
    </row>
    <row r="364" spans="1:9" x14ac:dyDescent="0.15">
      <c r="A364" s="9">
        <v>363</v>
      </c>
      <c r="B364" s="9" t="s">
        <v>9</v>
      </c>
      <c r="C364" s="9">
        <v>1912</v>
      </c>
      <c r="D364" s="10">
        <v>45616</v>
      </c>
      <c r="E364" s="13" t="str">
        <f>+HYPERLINK("http://trademark.i-assist.jp/data/china/image_1912th/80263946.pdf","80263946")</f>
        <v>80263946</v>
      </c>
      <c r="F364" s="9" t="s">
        <v>1090</v>
      </c>
      <c r="G364" s="9" t="s">
        <v>1091</v>
      </c>
      <c r="H364" s="9" t="s">
        <v>1092</v>
      </c>
      <c r="I364" s="10">
        <v>45512</v>
      </c>
    </row>
    <row r="365" spans="1:9" x14ac:dyDescent="0.15">
      <c r="A365" s="9">
        <v>364</v>
      </c>
      <c r="B365" s="9" t="s">
        <v>9</v>
      </c>
      <c r="C365" s="9">
        <v>1912</v>
      </c>
      <c r="D365" s="10">
        <v>45616</v>
      </c>
      <c r="E365" s="13" t="str">
        <f>+HYPERLINK("http://trademark.i-assist.jp/data/china/image_1912th/80264023.pdf","80264023")</f>
        <v>80264023</v>
      </c>
      <c r="F365" s="9" t="s">
        <v>1093</v>
      </c>
      <c r="G365" s="12" t="s">
        <v>1094</v>
      </c>
      <c r="H365" s="9" t="s">
        <v>1095</v>
      </c>
      <c r="I365" s="10">
        <v>45512</v>
      </c>
    </row>
    <row r="366" spans="1:9" x14ac:dyDescent="0.15">
      <c r="A366" s="9">
        <v>365</v>
      </c>
      <c r="B366" s="9" t="s">
        <v>9</v>
      </c>
      <c r="C366" s="9">
        <v>1912</v>
      </c>
      <c r="D366" s="10">
        <v>45616</v>
      </c>
      <c r="E366" s="13" t="str">
        <f>+HYPERLINK("http://trademark.i-assist.jp/data/china/image_1912th/80265087.pdf","80265087")</f>
        <v>80265087</v>
      </c>
      <c r="F366" s="12" t="s">
        <v>1096</v>
      </c>
      <c r="G366" s="12" t="s">
        <v>660</v>
      </c>
      <c r="H366" s="9" t="s">
        <v>1097</v>
      </c>
      <c r="I366" s="10">
        <v>45512</v>
      </c>
    </row>
    <row r="367" spans="1:9" x14ac:dyDescent="0.15">
      <c r="A367" s="9">
        <v>366</v>
      </c>
      <c r="B367" s="9" t="s">
        <v>9</v>
      </c>
      <c r="C367" s="9">
        <v>1912</v>
      </c>
      <c r="D367" s="10">
        <v>45616</v>
      </c>
      <c r="E367" s="13" t="str">
        <f>+HYPERLINK("http://trademark.i-assist.jp/data/china/image_1912th/80265278.pdf","80265278")</f>
        <v>80265278</v>
      </c>
      <c r="F367" s="12" t="s">
        <v>15</v>
      </c>
      <c r="G367" s="9" t="s">
        <v>1098</v>
      </c>
      <c r="H367" s="9" t="s">
        <v>1099</v>
      </c>
      <c r="I367" s="10">
        <v>45512</v>
      </c>
    </row>
    <row r="368" spans="1:9" x14ac:dyDescent="0.15">
      <c r="A368" s="9">
        <v>367</v>
      </c>
      <c r="B368" s="9" t="s">
        <v>9</v>
      </c>
      <c r="C368" s="9">
        <v>1912</v>
      </c>
      <c r="D368" s="10">
        <v>45616</v>
      </c>
      <c r="E368" s="13" t="str">
        <f>+HYPERLINK("http://trademark.i-assist.jp/data/china/image_1912th/80268058.pdf","80268058")</f>
        <v>80268058</v>
      </c>
      <c r="F368" s="9" t="s">
        <v>1100</v>
      </c>
      <c r="G368" s="12" t="s">
        <v>1101</v>
      </c>
      <c r="H368" s="9" t="s">
        <v>1102</v>
      </c>
      <c r="I368" s="10">
        <v>45513</v>
      </c>
    </row>
    <row r="369" spans="1:9" x14ac:dyDescent="0.15">
      <c r="A369" s="9">
        <v>368</v>
      </c>
      <c r="B369" s="9" t="s">
        <v>9</v>
      </c>
      <c r="C369" s="9">
        <v>1912</v>
      </c>
      <c r="D369" s="10">
        <v>45616</v>
      </c>
      <c r="E369" s="13" t="str">
        <f>+HYPERLINK("http://trademark.i-assist.jp/data/china/image_1912th/80268236.pdf","80268236")</f>
        <v>80268236</v>
      </c>
      <c r="F369" s="9" t="s">
        <v>1103</v>
      </c>
      <c r="G369" s="9" t="s">
        <v>1104</v>
      </c>
      <c r="H369" s="9" t="s">
        <v>1105</v>
      </c>
      <c r="I369" s="10">
        <v>45513</v>
      </c>
    </row>
    <row r="370" spans="1:9" x14ac:dyDescent="0.15">
      <c r="A370" s="9">
        <v>369</v>
      </c>
      <c r="B370" s="9" t="s">
        <v>9</v>
      </c>
      <c r="C370" s="9">
        <v>1912</v>
      </c>
      <c r="D370" s="10">
        <v>45616</v>
      </c>
      <c r="E370" s="13" t="str">
        <f>+HYPERLINK("http://trademark.i-assist.jp/data/china/image_1912th/80273100.pdf","80273100")</f>
        <v>80273100</v>
      </c>
      <c r="F370" s="9" t="s">
        <v>1106</v>
      </c>
      <c r="G370" s="12" t="s">
        <v>1101</v>
      </c>
      <c r="H370" s="9" t="s">
        <v>1107</v>
      </c>
      <c r="I370" s="10">
        <v>45513</v>
      </c>
    </row>
    <row r="371" spans="1:9" x14ac:dyDescent="0.15">
      <c r="A371" s="9">
        <v>370</v>
      </c>
      <c r="B371" s="9" t="s">
        <v>9</v>
      </c>
      <c r="C371" s="9">
        <v>1912</v>
      </c>
      <c r="D371" s="10">
        <v>45616</v>
      </c>
      <c r="E371" s="13" t="str">
        <f>+HYPERLINK("http://trademark.i-assist.jp/data/china/image_1912th/80274323.pdf","80274323")</f>
        <v>80274323</v>
      </c>
      <c r="F371" s="9" t="s">
        <v>1108</v>
      </c>
      <c r="G371" s="9" t="s">
        <v>1109</v>
      </c>
      <c r="H371" s="9" t="s">
        <v>1110</v>
      </c>
      <c r="I371" s="10">
        <v>45513</v>
      </c>
    </row>
    <row r="372" spans="1:9" x14ac:dyDescent="0.15">
      <c r="A372" s="9">
        <v>371</v>
      </c>
      <c r="B372" s="9" t="s">
        <v>9</v>
      </c>
      <c r="C372" s="9">
        <v>1912</v>
      </c>
      <c r="D372" s="10">
        <v>45616</v>
      </c>
      <c r="E372" s="13" t="str">
        <f>+HYPERLINK("http://trademark.i-assist.jp/data/china/image_1912th/80274440.pdf","80274440")</f>
        <v>80274440</v>
      </c>
      <c r="F372" s="9" t="s">
        <v>1111</v>
      </c>
      <c r="G372" s="12" t="s">
        <v>1112</v>
      </c>
      <c r="H372" s="9" t="s">
        <v>1113</v>
      </c>
      <c r="I372" s="10">
        <v>45513</v>
      </c>
    </row>
    <row r="373" spans="1:9" x14ac:dyDescent="0.15">
      <c r="A373" s="9">
        <v>372</v>
      </c>
      <c r="B373" s="9" t="s">
        <v>9</v>
      </c>
      <c r="C373" s="9">
        <v>1912</v>
      </c>
      <c r="D373" s="10">
        <v>45616</v>
      </c>
      <c r="E373" s="13" t="str">
        <f>+HYPERLINK("http://trademark.i-assist.jp/data/china/image_1912th/80274443.pdf","80274443")</f>
        <v>80274443</v>
      </c>
      <c r="F373" s="9" t="s">
        <v>1114</v>
      </c>
      <c r="G373" s="9" t="s">
        <v>1115</v>
      </c>
      <c r="H373" s="9" t="s">
        <v>1116</v>
      </c>
      <c r="I373" s="10">
        <v>45513</v>
      </c>
    </row>
    <row r="374" spans="1:9" x14ac:dyDescent="0.15">
      <c r="A374" s="9">
        <v>373</v>
      </c>
      <c r="B374" s="9" t="s">
        <v>9</v>
      </c>
      <c r="C374" s="9">
        <v>1912</v>
      </c>
      <c r="D374" s="10">
        <v>45616</v>
      </c>
      <c r="E374" s="13" t="str">
        <f>+HYPERLINK("http://trademark.i-assist.jp/data/china/image_1912th/80276672.pdf","80276672")</f>
        <v>80276672</v>
      </c>
      <c r="F374" s="9" t="s">
        <v>1117</v>
      </c>
      <c r="G374" s="12" t="s">
        <v>1118</v>
      </c>
      <c r="H374" s="9" t="s">
        <v>1119</v>
      </c>
      <c r="I374" s="10">
        <v>45513</v>
      </c>
    </row>
    <row r="375" spans="1:9" x14ac:dyDescent="0.15">
      <c r="A375" s="9">
        <v>374</v>
      </c>
      <c r="B375" s="9" t="s">
        <v>9</v>
      </c>
      <c r="C375" s="9">
        <v>1912</v>
      </c>
      <c r="D375" s="10">
        <v>45616</v>
      </c>
      <c r="E375" s="13" t="str">
        <f>+HYPERLINK("http://trademark.i-assist.jp/data/china/image_1912th/80278016.pdf","80278016")</f>
        <v>80278016</v>
      </c>
      <c r="F375" s="12" t="s">
        <v>1120</v>
      </c>
      <c r="G375" s="12" t="s">
        <v>1121</v>
      </c>
      <c r="H375" s="9" t="s">
        <v>1122</v>
      </c>
      <c r="I375" s="10">
        <v>45513</v>
      </c>
    </row>
    <row r="376" spans="1:9" x14ac:dyDescent="0.15">
      <c r="A376" s="9">
        <v>375</v>
      </c>
      <c r="B376" s="9" t="s">
        <v>9</v>
      </c>
      <c r="C376" s="9">
        <v>1912</v>
      </c>
      <c r="D376" s="10">
        <v>45616</v>
      </c>
      <c r="E376" s="13" t="str">
        <f>+HYPERLINK("http://trademark.i-assist.jp/data/china/image_1912th/80279175.pdf","80279175")</f>
        <v>80279175</v>
      </c>
      <c r="F376" s="12" t="s">
        <v>15</v>
      </c>
      <c r="G376" s="9" t="s">
        <v>1123</v>
      </c>
      <c r="H376" s="9" t="s">
        <v>1124</v>
      </c>
      <c r="I376" s="10">
        <v>45513</v>
      </c>
    </row>
    <row r="377" spans="1:9" x14ac:dyDescent="0.15">
      <c r="A377" s="9">
        <v>376</v>
      </c>
      <c r="B377" s="9" t="s">
        <v>9</v>
      </c>
      <c r="C377" s="9">
        <v>1912</v>
      </c>
      <c r="D377" s="10">
        <v>45616</v>
      </c>
      <c r="E377" s="13" t="str">
        <f>+HYPERLINK("http://trademark.i-assist.jp/data/china/image_1912th/80282854.pdf","80282854")</f>
        <v>80282854</v>
      </c>
      <c r="F377" s="9" t="s">
        <v>1125</v>
      </c>
      <c r="G377" s="9" t="s">
        <v>1126</v>
      </c>
      <c r="H377" s="9" t="s">
        <v>1127</v>
      </c>
      <c r="I377" s="10">
        <v>45513</v>
      </c>
    </row>
    <row r="378" spans="1:9" x14ac:dyDescent="0.15">
      <c r="A378" s="9">
        <v>377</v>
      </c>
      <c r="B378" s="9" t="s">
        <v>9</v>
      </c>
      <c r="C378" s="9">
        <v>1912</v>
      </c>
      <c r="D378" s="10">
        <v>45616</v>
      </c>
      <c r="E378" s="13" t="str">
        <f>+HYPERLINK("http://trademark.i-assist.jp/data/china/image_1912th/80282952.pdf","80282952")</f>
        <v>80282952</v>
      </c>
      <c r="F378" s="12" t="s">
        <v>1128</v>
      </c>
      <c r="G378" s="12" t="s">
        <v>1129</v>
      </c>
      <c r="H378" s="12" t="s">
        <v>1130</v>
      </c>
      <c r="I378" s="10">
        <v>45513</v>
      </c>
    </row>
    <row r="379" spans="1:9" x14ac:dyDescent="0.15">
      <c r="A379" s="9">
        <v>378</v>
      </c>
      <c r="B379" s="9" t="s">
        <v>9</v>
      </c>
      <c r="C379" s="9">
        <v>1912</v>
      </c>
      <c r="D379" s="10">
        <v>45616</v>
      </c>
      <c r="E379" s="13" t="str">
        <f>+HYPERLINK("http://trademark.i-assist.jp/data/china/image_1912th/80283810.pdf","80283810")</f>
        <v>80283810</v>
      </c>
      <c r="F379" s="12" t="s">
        <v>1131</v>
      </c>
      <c r="G379" s="12" t="s">
        <v>1132</v>
      </c>
      <c r="H379" s="9" t="s">
        <v>1133</v>
      </c>
      <c r="I379" s="10">
        <v>45513</v>
      </c>
    </row>
    <row r="380" spans="1:9" x14ac:dyDescent="0.15">
      <c r="A380" s="9">
        <v>379</v>
      </c>
      <c r="B380" s="9" t="s">
        <v>9</v>
      </c>
      <c r="C380" s="9">
        <v>1912</v>
      </c>
      <c r="D380" s="10">
        <v>45616</v>
      </c>
      <c r="E380" s="13" t="str">
        <f>+HYPERLINK("http://trademark.i-assist.jp/data/china/image_1912th/80286353.pdf","80286353")</f>
        <v>80286353</v>
      </c>
      <c r="F380" s="9" t="s">
        <v>1134</v>
      </c>
      <c r="G380" s="9" t="s">
        <v>1135</v>
      </c>
      <c r="H380" s="9" t="s">
        <v>1136</v>
      </c>
      <c r="I380" s="10">
        <v>45513</v>
      </c>
    </row>
    <row r="381" spans="1:9" x14ac:dyDescent="0.15">
      <c r="A381" s="9">
        <v>380</v>
      </c>
      <c r="B381" s="9" t="s">
        <v>9</v>
      </c>
      <c r="C381" s="9">
        <v>1912</v>
      </c>
      <c r="D381" s="10">
        <v>45616</v>
      </c>
      <c r="E381" s="13" t="str">
        <f>+HYPERLINK("http://trademark.i-assist.jp/data/china/image_1912th/80287000.pdf","80287000")</f>
        <v>80287000</v>
      </c>
      <c r="F381" s="9" t="s">
        <v>1137</v>
      </c>
      <c r="G381" s="9" t="s">
        <v>1138</v>
      </c>
      <c r="H381" s="9" t="s">
        <v>1139</v>
      </c>
      <c r="I381" s="10">
        <v>45513</v>
      </c>
    </row>
    <row r="382" spans="1:9" x14ac:dyDescent="0.15">
      <c r="A382" s="9">
        <v>381</v>
      </c>
      <c r="B382" s="9" t="s">
        <v>9</v>
      </c>
      <c r="C382" s="9">
        <v>1912</v>
      </c>
      <c r="D382" s="10">
        <v>45616</v>
      </c>
      <c r="E382" s="13" t="str">
        <f>+HYPERLINK("http://trademark.i-assist.jp/data/china/image_1912th/80287265.pdf","80287265")</f>
        <v>80287265</v>
      </c>
      <c r="F382" s="12" t="s">
        <v>1140</v>
      </c>
      <c r="G382" s="9" t="s">
        <v>1141</v>
      </c>
      <c r="H382" s="9" t="s">
        <v>1142</v>
      </c>
      <c r="I382" s="10">
        <v>45513</v>
      </c>
    </row>
    <row r="383" spans="1:9" x14ac:dyDescent="0.15">
      <c r="A383" s="9">
        <v>382</v>
      </c>
      <c r="B383" s="9" t="s">
        <v>9</v>
      </c>
      <c r="C383" s="9">
        <v>1912</v>
      </c>
      <c r="D383" s="10">
        <v>45616</v>
      </c>
      <c r="E383" s="13" t="str">
        <f>+HYPERLINK("http://trademark.i-assist.jp/data/china/image_1912th/80287339.pdf","80287339")</f>
        <v>80287339</v>
      </c>
      <c r="F383" s="9" t="s">
        <v>1143</v>
      </c>
      <c r="G383" s="9" t="s">
        <v>1144</v>
      </c>
      <c r="H383" s="12" t="s">
        <v>1145</v>
      </c>
      <c r="I383" s="10">
        <v>45513</v>
      </c>
    </row>
    <row r="384" spans="1:9" x14ac:dyDescent="0.15">
      <c r="A384" s="9">
        <v>383</v>
      </c>
      <c r="B384" s="9" t="s">
        <v>9</v>
      </c>
      <c r="C384" s="9">
        <v>1912</v>
      </c>
      <c r="D384" s="10">
        <v>45616</v>
      </c>
      <c r="E384" s="13" t="str">
        <f>+HYPERLINK("http://trademark.i-assist.jp/data/china/image_1912th/80287888.pdf","80287888")</f>
        <v>80287888</v>
      </c>
      <c r="F384" s="9" t="s">
        <v>1146</v>
      </c>
      <c r="G384" s="9" t="s">
        <v>1147</v>
      </c>
      <c r="H384" s="9" t="s">
        <v>1148</v>
      </c>
      <c r="I384" s="10">
        <v>45513</v>
      </c>
    </row>
    <row r="385" spans="1:9" x14ac:dyDescent="0.15">
      <c r="A385" s="9">
        <v>384</v>
      </c>
      <c r="B385" s="9" t="s">
        <v>9</v>
      </c>
      <c r="C385" s="9">
        <v>1912</v>
      </c>
      <c r="D385" s="10">
        <v>45616</v>
      </c>
      <c r="E385" s="13" t="str">
        <f>+HYPERLINK("http://trademark.i-assist.jp/data/china/image_1912th/80289096.pdf","80289096")</f>
        <v>80289096</v>
      </c>
      <c r="F385" s="9" t="s">
        <v>1149</v>
      </c>
      <c r="G385" s="9" t="s">
        <v>20</v>
      </c>
      <c r="H385" s="9" t="s">
        <v>1150</v>
      </c>
      <c r="I385" s="10">
        <v>45513</v>
      </c>
    </row>
    <row r="386" spans="1:9" x14ac:dyDescent="0.15">
      <c r="A386" s="9">
        <v>385</v>
      </c>
      <c r="B386" s="9" t="s">
        <v>9</v>
      </c>
      <c r="C386" s="9">
        <v>1912</v>
      </c>
      <c r="D386" s="10">
        <v>45616</v>
      </c>
      <c r="E386" s="13" t="str">
        <f>+HYPERLINK("http://trademark.i-assist.jp/data/china/image_1912th/80289820.pdf","80289820")</f>
        <v>80289820</v>
      </c>
      <c r="F386" s="9" t="s">
        <v>1151</v>
      </c>
      <c r="G386" s="9" t="s">
        <v>1152</v>
      </c>
      <c r="H386" s="9" t="s">
        <v>1153</v>
      </c>
      <c r="I386" s="10">
        <v>45513</v>
      </c>
    </row>
    <row r="387" spans="1:9" x14ac:dyDescent="0.15">
      <c r="A387" s="9">
        <v>386</v>
      </c>
      <c r="B387" s="9" t="s">
        <v>9</v>
      </c>
      <c r="C387" s="9">
        <v>1912</v>
      </c>
      <c r="D387" s="10">
        <v>45616</v>
      </c>
      <c r="E387" s="13" t="str">
        <f>+HYPERLINK("http://trademark.i-assist.jp/data/china/image_1912th/80290273.pdf","80290273")</f>
        <v>80290273</v>
      </c>
      <c r="F387" s="9" t="s">
        <v>1154</v>
      </c>
      <c r="G387" s="9" t="s">
        <v>1155</v>
      </c>
      <c r="H387" s="9" t="s">
        <v>1156</v>
      </c>
      <c r="I387" s="10">
        <v>45513</v>
      </c>
    </row>
    <row r="388" spans="1:9" x14ac:dyDescent="0.15">
      <c r="A388" s="9">
        <v>387</v>
      </c>
      <c r="B388" s="9" t="s">
        <v>9</v>
      </c>
      <c r="C388" s="9">
        <v>1912</v>
      </c>
      <c r="D388" s="10">
        <v>45616</v>
      </c>
      <c r="E388" s="13" t="str">
        <f>+HYPERLINK("http://trademark.i-assist.jp/data/china/image_1912th/80290775.pdf","80290775")</f>
        <v>80290775</v>
      </c>
      <c r="F388" s="9" t="s">
        <v>1157</v>
      </c>
      <c r="G388" s="9" t="s">
        <v>1158</v>
      </c>
      <c r="H388" s="9" t="s">
        <v>1159</v>
      </c>
      <c r="I388" s="10">
        <v>45514</v>
      </c>
    </row>
    <row r="389" spans="1:9" x14ac:dyDescent="0.15">
      <c r="A389" s="9">
        <v>388</v>
      </c>
      <c r="B389" s="9" t="s">
        <v>9</v>
      </c>
      <c r="C389" s="9">
        <v>1912</v>
      </c>
      <c r="D389" s="10">
        <v>45616</v>
      </c>
      <c r="E389" s="13" t="str">
        <f>+HYPERLINK("http://trademark.i-assist.jp/data/china/image_1912th/80291037.pdf","80291037")</f>
        <v>80291037</v>
      </c>
      <c r="F389" s="9" t="s">
        <v>1160</v>
      </c>
      <c r="G389" s="9" t="s">
        <v>1161</v>
      </c>
      <c r="H389" s="9" t="s">
        <v>1162</v>
      </c>
      <c r="I389" s="10">
        <v>45514</v>
      </c>
    </row>
    <row r="390" spans="1:9" x14ac:dyDescent="0.15">
      <c r="A390" s="9">
        <v>389</v>
      </c>
      <c r="B390" s="9" t="s">
        <v>9</v>
      </c>
      <c r="C390" s="9">
        <v>1912</v>
      </c>
      <c r="D390" s="10">
        <v>45616</v>
      </c>
      <c r="E390" s="13" t="str">
        <f>+HYPERLINK("http://trademark.i-assist.jp/data/china/image_1912th/80292732.pdf","80292732")</f>
        <v>80292732</v>
      </c>
      <c r="F390" s="9" t="s">
        <v>1163</v>
      </c>
      <c r="G390" s="9" t="s">
        <v>1164</v>
      </c>
      <c r="H390" s="9" t="s">
        <v>1165</v>
      </c>
      <c r="I390" s="10">
        <v>45514</v>
      </c>
    </row>
    <row r="391" spans="1:9" x14ac:dyDescent="0.15">
      <c r="A391" s="9">
        <v>390</v>
      </c>
      <c r="B391" s="9" t="s">
        <v>9</v>
      </c>
      <c r="C391" s="9">
        <v>1912</v>
      </c>
      <c r="D391" s="10">
        <v>45616</v>
      </c>
      <c r="E391" s="13" t="str">
        <f>+HYPERLINK("http://trademark.i-assist.jp/data/china/image_1912th/80292883.pdf","80292883")</f>
        <v>80292883</v>
      </c>
      <c r="F391" s="12" t="s">
        <v>1166</v>
      </c>
      <c r="G391" s="12" t="s">
        <v>1167</v>
      </c>
      <c r="H391" s="9" t="s">
        <v>1168</v>
      </c>
      <c r="I391" s="10">
        <v>45514</v>
      </c>
    </row>
    <row r="392" spans="1:9" x14ac:dyDescent="0.15">
      <c r="A392" s="9">
        <v>391</v>
      </c>
      <c r="B392" s="9" t="s">
        <v>9</v>
      </c>
      <c r="C392" s="9">
        <v>1912</v>
      </c>
      <c r="D392" s="10">
        <v>45616</v>
      </c>
      <c r="E392" s="13" t="str">
        <f>+HYPERLINK("http://trademark.i-assist.jp/data/china/image_1912th/80294431.pdf","80294431")</f>
        <v>80294431</v>
      </c>
      <c r="F392" s="9" t="s">
        <v>1169</v>
      </c>
      <c r="G392" s="9" t="s">
        <v>44</v>
      </c>
      <c r="H392" s="9" t="s">
        <v>1170</v>
      </c>
      <c r="I392" s="10">
        <v>45514</v>
      </c>
    </row>
    <row r="393" spans="1:9" x14ac:dyDescent="0.15">
      <c r="A393" s="9">
        <v>392</v>
      </c>
      <c r="B393" s="9" t="s">
        <v>9</v>
      </c>
      <c r="C393" s="9">
        <v>1912</v>
      </c>
      <c r="D393" s="10">
        <v>45616</v>
      </c>
      <c r="E393" s="13" t="str">
        <f>+HYPERLINK("http://trademark.i-assist.jp/data/china/image_1912th/80294435.pdf","80294435")</f>
        <v>80294435</v>
      </c>
      <c r="F393" s="9" t="s">
        <v>1171</v>
      </c>
      <c r="G393" s="12" t="s">
        <v>1172</v>
      </c>
      <c r="H393" s="9" t="s">
        <v>1173</v>
      </c>
      <c r="I393" s="10">
        <v>45514</v>
      </c>
    </row>
    <row r="394" spans="1:9" x14ac:dyDescent="0.15">
      <c r="A394" s="9">
        <v>393</v>
      </c>
      <c r="B394" s="9" t="s">
        <v>9</v>
      </c>
      <c r="C394" s="9">
        <v>1912</v>
      </c>
      <c r="D394" s="10">
        <v>45616</v>
      </c>
      <c r="E394" s="13" t="str">
        <f>+HYPERLINK("http://trademark.i-assist.jp/data/china/image_1912th/80295374.pdf","80295374")</f>
        <v>80295374</v>
      </c>
      <c r="F394" s="12" t="s">
        <v>1174</v>
      </c>
      <c r="G394" s="9" t="s">
        <v>1175</v>
      </c>
      <c r="H394" s="9" t="s">
        <v>1176</v>
      </c>
      <c r="I394" s="10">
        <v>45514</v>
      </c>
    </row>
    <row r="395" spans="1:9" x14ac:dyDescent="0.15">
      <c r="A395" s="9">
        <v>394</v>
      </c>
      <c r="B395" s="9" t="s">
        <v>9</v>
      </c>
      <c r="C395" s="9">
        <v>1912</v>
      </c>
      <c r="D395" s="10">
        <v>45616</v>
      </c>
      <c r="E395" s="13" t="str">
        <f>+HYPERLINK("http://trademark.i-assist.jp/data/china/image_1912th/80295565.pdf","80295565")</f>
        <v>80295565</v>
      </c>
      <c r="F395" s="9" t="s">
        <v>1177</v>
      </c>
      <c r="G395" s="9" t="s">
        <v>1178</v>
      </c>
      <c r="H395" s="9" t="s">
        <v>1179</v>
      </c>
      <c r="I395" s="10">
        <v>45514</v>
      </c>
    </row>
    <row r="396" spans="1:9" x14ac:dyDescent="0.15">
      <c r="A396" s="9">
        <v>395</v>
      </c>
      <c r="B396" s="9" t="s">
        <v>9</v>
      </c>
      <c r="C396" s="9">
        <v>1912</v>
      </c>
      <c r="D396" s="10">
        <v>45616</v>
      </c>
      <c r="E396" s="13" t="str">
        <f>+HYPERLINK("http://trademark.i-assist.jp/data/china/image_1912th/80296011A.pdf","80296011A")</f>
        <v>80296011A</v>
      </c>
      <c r="F396" s="9" t="s">
        <v>1180</v>
      </c>
      <c r="G396" s="9" t="s">
        <v>1181</v>
      </c>
      <c r="H396" s="9" t="s">
        <v>1182</v>
      </c>
      <c r="I396" s="10">
        <v>45514</v>
      </c>
    </row>
    <row r="397" spans="1:9" x14ac:dyDescent="0.15">
      <c r="A397" s="9">
        <v>396</v>
      </c>
      <c r="B397" s="9" t="s">
        <v>9</v>
      </c>
      <c r="C397" s="9">
        <v>1912</v>
      </c>
      <c r="D397" s="10">
        <v>45616</v>
      </c>
      <c r="E397" s="13" t="str">
        <f>+HYPERLINK("http://trademark.i-assist.jp/data/china/image_1912th/80298214.pdf","80298214")</f>
        <v>80298214</v>
      </c>
      <c r="F397" s="9" t="s">
        <v>1183</v>
      </c>
      <c r="G397" s="12" t="s">
        <v>1184</v>
      </c>
      <c r="H397" s="9" t="s">
        <v>1185</v>
      </c>
      <c r="I397" s="10">
        <v>45515</v>
      </c>
    </row>
    <row r="398" spans="1:9" x14ac:dyDescent="0.15">
      <c r="A398" s="9">
        <v>397</v>
      </c>
      <c r="B398" s="9" t="s">
        <v>9</v>
      </c>
      <c r="C398" s="9">
        <v>1912</v>
      </c>
      <c r="D398" s="10">
        <v>45616</v>
      </c>
      <c r="E398" s="13" t="str">
        <f>+HYPERLINK("http://trademark.i-assist.jp/data/china/image_1912th/80299180.pdf","80299180")</f>
        <v>80299180</v>
      </c>
      <c r="F398" s="9" t="s">
        <v>1186</v>
      </c>
      <c r="G398" s="9" t="s">
        <v>1187</v>
      </c>
      <c r="H398" s="9" t="s">
        <v>1188</v>
      </c>
      <c r="I398" s="10">
        <v>45515</v>
      </c>
    </row>
    <row r="399" spans="1:9" x14ac:dyDescent="0.15">
      <c r="A399" s="9">
        <v>398</v>
      </c>
      <c r="B399" s="9" t="s">
        <v>9</v>
      </c>
      <c r="C399" s="9">
        <v>1912</v>
      </c>
      <c r="D399" s="10">
        <v>45616</v>
      </c>
      <c r="E399" s="13" t="str">
        <f>+HYPERLINK("http://trademark.i-assist.jp/data/china/image_1912th/80301830.pdf","80301830")</f>
        <v>80301830</v>
      </c>
      <c r="F399" s="11" t="s">
        <v>1189</v>
      </c>
      <c r="G399" s="12" t="s">
        <v>1190</v>
      </c>
      <c r="H399" s="9" t="s">
        <v>1191</v>
      </c>
      <c r="I399" s="10">
        <v>45516</v>
      </c>
    </row>
    <row r="400" spans="1:9" x14ac:dyDescent="0.15">
      <c r="A400" s="9">
        <v>399</v>
      </c>
      <c r="B400" s="9" t="s">
        <v>9</v>
      </c>
      <c r="C400" s="9">
        <v>1912</v>
      </c>
      <c r="D400" s="10">
        <v>45616</v>
      </c>
      <c r="E400" s="13" t="str">
        <f>+HYPERLINK("http://trademark.i-assist.jp/data/china/image_1912th/80301854.pdf","80301854")</f>
        <v>80301854</v>
      </c>
      <c r="F400" s="12" t="s">
        <v>1192</v>
      </c>
      <c r="G400" s="12" t="s">
        <v>1193</v>
      </c>
      <c r="H400" s="9" t="s">
        <v>1194</v>
      </c>
      <c r="I400" s="10">
        <v>45516</v>
      </c>
    </row>
    <row r="401" spans="1:9" x14ac:dyDescent="0.15">
      <c r="A401" s="9">
        <v>400</v>
      </c>
      <c r="B401" s="9" t="s">
        <v>9</v>
      </c>
      <c r="C401" s="9">
        <v>1912</v>
      </c>
      <c r="D401" s="10">
        <v>45616</v>
      </c>
      <c r="E401" s="13" t="str">
        <f>+HYPERLINK("http://trademark.i-assist.jp/data/china/image_1912th/80304895.pdf","80304895")</f>
        <v>80304895</v>
      </c>
      <c r="F401" s="9" t="s">
        <v>1195</v>
      </c>
      <c r="G401" s="12" t="s">
        <v>1196</v>
      </c>
      <c r="H401" s="9" t="s">
        <v>1197</v>
      </c>
      <c r="I401" s="10">
        <v>45516</v>
      </c>
    </row>
    <row r="402" spans="1:9" x14ac:dyDescent="0.15">
      <c r="A402" s="9">
        <v>401</v>
      </c>
      <c r="B402" s="9" t="s">
        <v>9</v>
      </c>
      <c r="C402" s="9">
        <v>1912</v>
      </c>
      <c r="D402" s="10">
        <v>45616</v>
      </c>
      <c r="E402" s="13" t="str">
        <f>+HYPERLINK("http://trademark.i-assist.jp/data/china/image_1912th/80305900.pdf","80305900")</f>
        <v>80305900</v>
      </c>
      <c r="F402" s="12" t="s">
        <v>1198</v>
      </c>
      <c r="G402" s="9" t="s">
        <v>1199</v>
      </c>
      <c r="H402" s="9" t="s">
        <v>1200</v>
      </c>
      <c r="I402" s="10">
        <v>45516</v>
      </c>
    </row>
    <row r="403" spans="1:9" x14ac:dyDescent="0.15">
      <c r="A403" s="9">
        <v>402</v>
      </c>
      <c r="B403" s="9" t="s">
        <v>9</v>
      </c>
      <c r="C403" s="9">
        <v>1912</v>
      </c>
      <c r="D403" s="10">
        <v>45616</v>
      </c>
      <c r="E403" s="13" t="str">
        <f>+HYPERLINK("http://trademark.i-assist.jp/data/china/image_1912th/80306121.pdf","80306121")</f>
        <v>80306121</v>
      </c>
      <c r="F403" s="9" t="s">
        <v>1201</v>
      </c>
      <c r="G403" s="9" t="s">
        <v>1202</v>
      </c>
      <c r="H403" s="9" t="s">
        <v>1203</v>
      </c>
      <c r="I403" s="10">
        <v>45516</v>
      </c>
    </row>
    <row r="404" spans="1:9" x14ac:dyDescent="0.15">
      <c r="A404" s="9">
        <v>403</v>
      </c>
      <c r="B404" s="9" t="s">
        <v>9</v>
      </c>
      <c r="C404" s="9">
        <v>1912</v>
      </c>
      <c r="D404" s="10">
        <v>45616</v>
      </c>
      <c r="E404" s="13" t="str">
        <f>+HYPERLINK("http://trademark.i-assist.jp/data/china/image_1912th/80306327.pdf","80306327")</f>
        <v>80306327</v>
      </c>
      <c r="F404" s="9" t="s">
        <v>1204</v>
      </c>
      <c r="G404" s="9" t="s">
        <v>1205</v>
      </c>
      <c r="H404" s="12" t="s">
        <v>1206</v>
      </c>
      <c r="I404" s="10">
        <v>45516</v>
      </c>
    </row>
    <row r="405" spans="1:9" x14ac:dyDescent="0.15">
      <c r="A405" s="9">
        <v>404</v>
      </c>
      <c r="B405" s="9" t="s">
        <v>9</v>
      </c>
      <c r="C405" s="9">
        <v>1912</v>
      </c>
      <c r="D405" s="10">
        <v>45616</v>
      </c>
      <c r="E405" s="13" t="str">
        <f>+HYPERLINK("http://trademark.i-assist.jp/data/china/image_1912th/80306812.pdf","80306812")</f>
        <v>80306812</v>
      </c>
      <c r="F405" s="9" t="s">
        <v>1207</v>
      </c>
      <c r="G405" s="9" t="s">
        <v>1208</v>
      </c>
      <c r="H405" s="12" t="s">
        <v>1209</v>
      </c>
      <c r="I405" s="10">
        <v>45516</v>
      </c>
    </row>
    <row r="406" spans="1:9" x14ac:dyDescent="0.15">
      <c r="A406" s="9">
        <v>405</v>
      </c>
      <c r="B406" s="9" t="s">
        <v>9</v>
      </c>
      <c r="C406" s="9">
        <v>1912</v>
      </c>
      <c r="D406" s="10">
        <v>45616</v>
      </c>
      <c r="E406" s="13" t="str">
        <f>+HYPERLINK("http://trademark.i-assist.jp/data/china/image_1912th/80306821.pdf","80306821")</f>
        <v>80306821</v>
      </c>
      <c r="F406" s="12" t="s">
        <v>1210</v>
      </c>
      <c r="G406" s="9" t="s">
        <v>1211</v>
      </c>
      <c r="H406" s="9" t="s">
        <v>60</v>
      </c>
      <c r="I406" s="10">
        <v>45516</v>
      </c>
    </row>
    <row r="407" spans="1:9" x14ac:dyDescent="0.15">
      <c r="A407" s="9">
        <v>406</v>
      </c>
      <c r="B407" s="9" t="s">
        <v>9</v>
      </c>
      <c r="C407" s="9">
        <v>1912</v>
      </c>
      <c r="D407" s="10">
        <v>45616</v>
      </c>
      <c r="E407" s="13" t="str">
        <f>+HYPERLINK("http://trademark.i-assist.jp/data/china/image_1912th/80306911.pdf","80306911")</f>
        <v>80306911</v>
      </c>
      <c r="F407" s="9" t="s">
        <v>1212</v>
      </c>
      <c r="G407" s="12" t="s">
        <v>675</v>
      </c>
      <c r="H407" s="9" t="s">
        <v>1213</v>
      </c>
      <c r="I407" s="10">
        <v>45516</v>
      </c>
    </row>
    <row r="408" spans="1:9" x14ac:dyDescent="0.15">
      <c r="A408" s="9">
        <v>407</v>
      </c>
      <c r="B408" s="9" t="s">
        <v>9</v>
      </c>
      <c r="C408" s="9">
        <v>1912</v>
      </c>
      <c r="D408" s="10">
        <v>45616</v>
      </c>
      <c r="E408" s="13" t="str">
        <f>+HYPERLINK("http://trademark.i-assist.jp/data/china/image_1912th/80307290.pdf","80307290")</f>
        <v>80307290</v>
      </c>
      <c r="F408" s="12" t="s">
        <v>15</v>
      </c>
      <c r="G408" s="9" t="s">
        <v>1214</v>
      </c>
      <c r="H408" s="12" t="s">
        <v>1215</v>
      </c>
      <c r="I408" s="10">
        <v>45516</v>
      </c>
    </row>
    <row r="409" spans="1:9" x14ac:dyDescent="0.15">
      <c r="A409" s="9">
        <v>408</v>
      </c>
      <c r="B409" s="9" t="s">
        <v>9</v>
      </c>
      <c r="C409" s="9">
        <v>1912</v>
      </c>
      <c r="D409" s="10">
        <v>45616</v>
      </c>
      <c r="E409" s="13" t="str">
        <f>+HYPERLINK("http://trademark.i-assist.jp/data/china/image_1912th/80307363.pdf","80307363")</f>
        <v>80307363</v>
      </c>
      <c r="F409" s="9" t="s">
        <v>1216</v>
      </c>
      <c r="G409" s="12" t="s">
        <v>1217</v>
      </c>
      <c r="H409" s="9" t="s">
        <v>1218</v>
      </c>
      <c r="I409" s="10">
        <v>45516</v>
      </c>
    </row>
    <row r="410" spans="1:9" x14ac:dyDescent="0.15">
      <c r="A410" s="9">
        <v>409</v>
      </c>
      <c r="B410" s="9" t="s">
        <v>9</v>
      </c>
      <c r="C410" s="9">
        <v>1912</v>
      </c>
      <c r="D410" s="10">
        <v>45616</v>
      </c>
      <c r="E410" s="13" t="str">
        <f>+HYPERLINK("http://trademark.i-assist.jp/data/china/image_1912th/80307770.pdf","80307770")</f>
        <v>80307770</v>
      </c>
      <c r="F410" s="12" t="s">
        <v>15</v>
      </c>
      <c r="G410" s="12" t="s">
        <v>1219</v>
      </c>
      <c r="H410" s="9" t="s">
        <v>1220</v>
      </c>
      <c r="I410" s="10">
        <v>45516</v>
      </c>
    </row>
    <row r="411" spans="1:9" x14ac:dyDescent="0.15">
      <c r="A411" s="9">
        <v>410</v>
      </c>
      <c r="B411" s="9" t="s">
        <v>9</v>
      </c>
      <c r="C411" s="9">
        <v>1912</v>
      </c>
      <c r="D411" s="10">
        <v>45616</v>
      </c>
      <c r="E411" s="13" t="str">
        <f>+HYPERLINK("http://trademark.i-assist.jp/data/china/image_1912th/80307876.pdf","80307876")</f>
        <v>80307876</v>
      </c>
      <c r="F411" s="9" t="s">
        <v>1221</v>
      </c>
      <c r="G411" s="9" t="s">
        <v>1222</v>
      </c>
      <c r="H411" s="12" t="s">
        <v>1223</v>
      </c>
      <c r="I411" s="10">
        <v>45516</v>
      </c>
    </row>
    <row r="412" spans="1:9" x14ac:dyDescent="0.15">
      <c r="A412" s="9">
        <v>411</v>
      </c>
      <c r="B412" s="9" t="s">
        <v>9</v>
      </c>
      <c r="C412" s="9">
        <v>1912</v>
      </c>
      <c r="D412" s="10">
        <v>45616</v>
      </c>
      <c r="E412" s="13" t="str">
        <f>+HYPERLINK("http://trademark.i-assist.jp/data/china/image_1912th/80308357.pdf","80308357")</f>
        <v>80308357</v>
      </c>
      <c r="F412" s="12" t="s">
        <v>1224</v>
      </c>
      <c r="G412" s="9" t="s">
        <v>1225</v>
      </c>
      <c r="H412" s="9" t="s">
        <v>1226</v>
      </c>
      <c r="I412" s="10">
        <v>45516</v>
      </c>
    </row>
    <row r="413" spans="1:9" x14ac:dyDescent="0.15">
      <c r="A413" s="9">
        <v>412</v>
      </c>
      <c r="B413" s="9" t="s">
        <v>9</v>
      </c>
      <c r="C413" s="9">
        <v>1912</v>
      </c>
      <c r="D413" s="10">
        <v>45616</v>
      </c>
      <c r="E413" s="13" t="str">
        <f>+HYPERLINK("http://trademark.i-assist.jp/data/china/image_1912th/80310106.pdf","80310106")</f>
        <v>80310106</v>
      </c>
      <c r="F413" s="9" t="s">
        <v>1227</v>
      </c>
      <c r="G413" s="9" t="s">
        <v>1228</v>
      </c>
      <c r="H413" s="9" t="s">
        <v>1229</v>
      </c>
      <c r="I413" s="10">
        <v>45516</v>
      </c>
    </row>
    <row r="414" spans="1:9" x14ac:dyDescent="0.15">
      <c r="A414" s="9">
        <v>413</v>
      </c>
      <c r="B414" s="9" t="s">
        <v>9</v>
      </c>
      <c r="C414" s="9">
        <v>1912</v>
      </c>
      <c r="D414" s="10">
        <v>45616</v>
      </c>
      <c r="E414" s="13" t="str">
        <f>+HYPERLINK("http://trademark.i-assist.jp/data/china/image_1912th/80310236.pdf","80310236")</f>
        <v>80310236</v>
      </c>
      <c r="F414" s="9" t="s">
        <v>1230</v>
      </c>
      <c r="G414" s="12" t="s">
        <v>675</v>
      </c>
      <c r="H414" s="9" t="s">
        <v>1231</v>
      </c>
      <c r="I414" s="10">
        <v>45516</v>
      </c>
    </row>
    <row r="415" spans="1:9" x14ac:dyDescent="0.15">
      <c r="A415" s="9">
        <v>414</v>
      </c>
      <c r="B415" s="9" t="s">
        <v>9</v>
      </c>
      <c r="C415" s="9">
        <v>1912</v>
      </c>
      <c r="D415" s="10">
        <v>45616</v>
      </c>
      <c r="E415" s="13" t="str">
        <f>+HYPERLINK("http://trademark.i-assist.jp/data/china/image_1912th/80310905.pdf","80310905")</f>
        <v>80310905</v>
      </c>
      <c r="F415" s="9" t="s">
        <v>1232</v>
      </c>
      <c r="G415" s="9" t="s">
        <v>1202</v>
      </c>
      <c r="H415" s="9" t="s">
        <v>1233</v>
      </c>
      <c r="I415" s="10">
        <v>45516</v>
      </c>
    </row>
    <row r="416" spans="1:9" x14ac:dyDescent="0.15">
      <c r="A416" s="9">
        <v>415</v>
      </c>
      <c r="B416" s="9" t="s">
        <v>9</v>
      </c>
      <c r="C416" s="9">
        <v>1912</v>
      </c>
      <c r="D416" s="10">
        <v>45616</v>
      </c>
      <c r="E416" s="13" t="str">
        <f>+HYPERLINK("http://trademark.i-assist.jp/data/china/image_1912th/80310963.pdf","80310963")</f>
        <v>80310963</v>
      </c>
      <c r="F416" s="9" t="s">
        <v>1234</v>
      </c>
      <c r="G416" s="12" t="s">
        <v>1235</v>
      </c>
      <c r="H416" s="12" t="s">
        <v>1236</v>
      </c>
      <c r="I416" s="10">
        <v>45516</v>
      </c>
    </row>
    <row r="417" spans="1:9" x14ac:dyDescent="0.15">
      <c r="A417" s="9">
        <v>416</v>
      </c>
      <c r="B417" s="9" t="s">
        <v>9</v>
      </c>
      <c r="C417" s="9">
        <v>1912</v>
      </c>
      <c r="D417" s="10">
        <v>45616</v>
      </c>
      <c r="E417" s="13" t="str">
        <f>+HYPERLINK("http://trademark.i-assist.jp/data/china/image_1912th/80311321.pdf","80311321")</f>
        <v>80311321</v>
      </c>
      <c r="F417" s="9" t="s">
        <v>1237</v>
      </c>
      <c r="G417" s="9" t="s">
        <v>1238</v>
      </c>
      <c r="H417" s="9" t="s">
        <v>1239</v>
      </c>
      <c r="I417" s="10">
        <v>45516</v>
      </c>
    </row>
    <row r="418" spans="1:9" x14ac:dyDescent="0.15">
      <c r="A418" s="9">
        <v>417</v>
      </c>
      <c r="B418" s="9" t="s">
        <v>9</v>
      </c>
      <c r="C418" s="9">
        <v>1912</v>
      </c>
      <c r="D418" s="10">
        <v>45616</v>
      </c>
      <c r="E418" s="13" t="str">
        <f>+HYPERLINK("http://trademark.i-assist.jp/data/china/image_1912th/80311459.pdf","80311459")</f>
        <v>80311459</v>
      </c>
      <c r="F418" s="9" t="s">
        <v>1240</v>
      </c>
      <c r="G418" s="9" t="s">
        <v>1241</v>
      </c>
      <c r="H418" s="12" t="s">
        <v>1242</v>
      </c>
      <c r="I418" s="10">
        <v>45516</v>
      </c>
    </row>
    <row r="419" spans="1:9" x14ac:dyDescent="0.15">
      <c r="A419" s="9">
        <v>418</v>
      </c>
      <c r="B419" s="9" t="s">
        <v>9</v>
      </c>
      <c r="C419" s="9">
        <v>1912</v>
      </c>
      <c r="D419" s="10">
        <v>45616</v>
      </c>
      <c r="E419" s="13" t="str">
        <f>+HYPERLINK("http://trademark.i-assist.jp/data/china/image_1912th/80312515.pdf","80312515")</f>
        <v>80312515</v>
      </c>
      <c r="F419" s="9" t="s">
        <v>1243</v>
      </c>
      <c r="G419" s="12" t="s">
        <v>1244</v>
      </c>
      <c r="H419" s="12" t="s">
        <v>1245</v>
      </c>
      <c r="I419" s="10">
        <v>45516</v>
      </c>
    </row>
    <row r="420" spans="1:9" x14ac:dyDescent="0.15">
      <c r="A420" s="9">
        <v>419</v>
      </c>
      <c r="B420" s="9" t="s">
        <v>9</v>
      </c>
      <c r="C420" s="9">
        <v>1912</v>
      </c>
      <c r="D420" s="10">
        <v>45616</v>
      </c>
      <c r="E420" s="13" t="str">
        <f>+HYPERLINK("http://trademark.i-assist.jp/data/china/image_1912th/80313688.pdf","80313688")</f>
        <v>80313688</v>
      </c>
      <c r="F420" s="9" t="s">
        <v>1246</v>
      </c>
      <c r="G420" s="9" t="s">
        <v>1247</v>
      </c>
      <c r="H420" s="9" t="s">
        <v>1248</v>
      </c>
      <c r="I420" s="10">
        <v>45516</v>
      </c>
    </row>
    <row r="421" spans="1:9" x14ac:dyDescent="0.15">
      <c r="A421" s="9">
        <v>420</v>
      </c>
      <c r="B421" s="9" t="s">
        <v>9</v>
      </c>
      <c r="C421" s="9">
        <v>1912</v>
      </c>
      <c r="D421" s="10">
        <v>45616</v>
      </c>
      <c r="E421" s="13" t="str">
        <f>+HYPERLINK("http://trademark.i-assist.jp/data/china/image_1912th/80315550.pdf","80315550")</f>
        <v>80315550</v>
      </c>
      <c r="F421" s="12" t="s">
        <v>1249</v>
      </c>
      <c r="G421" s="9" t="s">
        <v>1250</v>
      </c>
      <c r="H421" s="9" t="s">
        <v>1251</v>
      </c>
      <c r="I421" s="10">
        <v>45516</v>
      </c>
    </row>
    <row r="422" spans="1:9" x14ac:dyDescent="0.15">
      <c r="A422" s="9">
        <v>421</v>
      </c>
      <c r="B422" s="9" t="s">
        <v>9</v>
      </c>
      <c r="C422" s="9">
        <v>1912</v>
      </c>
      <c r="D422" s="10">
        <v>45616</v>
      </c>
      <c r="E422" s="13" t="str">
        <f>+HYPERLINK("http://trademark.i-assist.jp/data/china/image_1912th/80315915.pdf","80315915")</f>
        <v>80315915</v>
      </c>
      <c r="F422" s="9" t="s">
        <v>1252</v>
      </c>
      <c r="G422" s="9" t="s">
        <v>1253</v>
      </c>
      <c r="H422" s="9" t="s">
        <v>1254</v>
      </c>
      <c r="I422" s="10">
        <v>45516</v>
      </c>
    </row>
    <row r="423" spans="1:9" x14ac:dyDescent="0.15">
      <c r="A423" s="9">
        <v>422</v>
      </c>
      <c r="B423" s="9" t="s">
        <v>9</v>
      </c>
      <c r="C423" s="9">
        <v>1912</v>
      </c>
      <c r="D423" s="10">
        <v>45616</v>
      </c>
      <c r="E423" s="13" t="str">
        <f>+HYPERLINK("http://trademark.i-assist.jp/data/china/image_1912th/80316156.pdf","80316156")</f>
        <v>80316156</v>
      </c>
      <c r="F423" s="9" t="s">
        <v>1255</v>
      </c>
      <c r="G423" s="9" t="s">
        <v>1241</v>
      </c>
      <c r="H423" s="9" t="s">
        <v>1256</v>
      </c>
      <c r="I423" s="10">
        <v>45516</v>
      </c>
    </row>
    <row r="424" spans="1:9" x14ac:dyDescent="0.15">
      <c r="A424" s="9">
        <v>423</v>
      </c>
      <c r="B424" s="9" t="s">
        <v>9</v>
      </c>
      <c r="C424" s="9">
        <v>1912</v>
      </c>
      <c r="D424" s="10">
        <v>45616</v>
      </c>
      <c r="E424" s="13" t="str">
        <f>+HYPERLINK("http://trademark.i-assist.jp/data/china/image_1912th/80316215.pdf","80316215")</f>
        <v>80316215</v>
      </c>
      <c r="F424" s="9" t="s">
        <v>1257</v>
      </c>
      <c r="G424" s="12" t="s">
        <v>1258</v>
      </c>
      <c r="H424" s="9" t="s">
        <v>1259</v>
      </c>
      <c r="I424" s="10">
        <v>45516</v>
      </c>
    </row>
    <row r="425" spans="1:9" x14ac:dyDescent="0.15">
      <c r="A425" s="9">
        <v>424</v>
      </c>
      <c r="B425" s="9" t="s">
        <v>9</v>
      </c>
      <c r="C425" s="9">
        <v>1912</v>
      </c>
      <c r="D425" s="10">
        <v>45616</v>
      </c>
      <c r="E425" s="13" t="str">
        <f>+HYPERLINK("http://trademark.i-assist.jp/data/china/image_1912th/80320435.pdf","80320435")</f>
        <v>80320435</v>
      </c>
      <c r="F425" s="12" t="s">
        <v>1260</v>
      </c>
      <c r="G425" s="12" t="s">
        <v>1261</v>
      </c>
      <c r="H425" s="9" t="s">
        <v>1262</v>
      </c>
      <c r="I425" s="10">
        <v>45516</v>
      </c>
    </row>
    <row r="426" spans="1:9" x14ac:dyDescent="0.15">
      <c r="A426" s="9">
        <v>425</v>
      </c>
      <c r="B426" s="9" t="s">
        <v>9</v>
      </c>
      <c r="C426" s="9">
        <v>1912</v>
      </c>
      <c r="D426" s="10">
        <v>45616</v>
      </c>
      <c r="E426" s="13" t="str">
        <f>+HYPERLINK("http://trademark.i-assist.jp/data/china/image_1912th/80320988.pdf","80320988")</f>
        <v>80320988</v>
      </c>
      <c r="F426" s="9" t="s">
        <v>1263</v>
      </c>
      <c r="G426" s="12" t="s">
        <v>1264</v>
      </c>
      <c r="H426" s="9" t="s">
        <v>1265</v>
      </c>
      <c r="I426" s="10">
        <v>45516</v>
      </c>
    </row>
    <row r="427" spans="1:9" x14ac:dyDescent="0.15">
      <c r="A427" s="9">
        <v>426</v>
      </c>
      <c r="B427" s="9" t="s">
        <v>9</v>
      </c>
      <c r="C427" s="9">
        <v>1912</v>
      </c>
      <c r="D427" s="10">
        <v>45616</v>
      </c>
      <c r="E427" s="13" t="str">
        <f>+HYPERLINK("http://trademark.i-assist.jp/data/china/image_1912th/80321168.pdf","80321168")</f>
        <v>80321168</v>
      </c>
      <c r="F427" s="9" t="s">
        <v>1266</v>
      </c>
      <c r="G427" s="9" t="s">
        <v>1241</v>
      </c>
      <c r="H427" s="9" t="s">
        <v>1267</v>
      </c>
      <c r="I427" s="10">
        <v>45516</v>
      </c>
    </row>
    <row r="428" spans="1:9" x14ac:dyDescent="0.15">
      <c r="A428" s="9">
        <v>427</v>
      </c>
      <c r="B428" s="9" t="s">
        <v>9</v>
      </c>
      <c r="C428" s="9">
        <v>1912</v>
      </c>
      <c r="D428" s="10">
        <v>45616</v>
      </c>
      <c r="E428" s="13" t="str">
        <f>+HYPERLINK("http://trademark.i-assist.jp/data/china/image_1912th/80321221.pdf","80321221")</f>
        <v>80321221</v>
      </c>
      <c r="F428" s="9" t="s">
        <v>1268</v>
      </c>
      <c r="G428" s="12" t="s">
        <v>1269</v>
      </c>
      <c r="H428" s="9" t="s">
        <v>1270</v>
      </c>
      <c r="I428" s="10">
        <v>45516</v>
      </c>
    </row>
    <row r="429" spans="1:9" x14ac:dyDescent="0.15">
      <c r="A429" s="9">
        <v>428</v>
      </c>
      <c r="B429" s="9" t="s">
        <v>9</v>
      </c>
      <c r="C429" s="9">
        <v>1912</v>
      </c>
      <c r="D429" s="10">
        <v>45616</v>
      </c>
      <c r="E429" s="13" t="str">
        <f>+HYPERLINK("http://trademark.i-assist.jp/data/china/image_1912th/80321744.pdf","80321744")</f>
        <v>80321744</v>
      </c>
      <c r="F429" s="9" t="s">
        <v>1271</v>
      </c>
      <c r="G429" s="12" t="s">
        <v>1272</v>
      </c>
      <c r="H429" s="12" t="s">
        <v>1273</v>
      </c>
      <c r="I429" s="10">
        <v>45516</v>
      </c>
    </row>
    <row r="430" spans="1:9" x14ac:dyDescent="0.15">
      <c r="A430" s="9">
        <v>429</v>
      </c>
      <c r="B430" s="9" t="s">
        <v>9</v>
      </c>
      <c r="C430" s="9">
        <v>1912</v>
      </c>
      <c r="D430" s="10">
        <v>45616</v>
      </c>
      <c r="E430" s="13" t="str">
        <f>+HYPERLINK("http://trademark.i-assist.jp/data/china/image_1912th/80322613.pdf","80322613")</f>
        <v>80322613</v>
      </c>
      <c r="F430" s="9" t="s">
        <v>1274</v>
      </c>
      <c r="G430" s="12" t="s">
        <v>675</v>
      </c>
      <c r="H430" s="9" t="s">
        <v>1275</v>
      </c>
      <c r="I430" s="10">
        <v>45516</v>
      </c>
    </row>
    <row r="431" spans="1:9" x14ac:dyDescent="0.15">
      <c r="A431" s="9">
        <v>430</v>
      </c>
      <c r="B431" s="9" t="s">
        <v>9</v>
      </c>
      <c r="C431" s="9">
        <v>1912</v>
      </c>
      <c r="D431" s="10">
        <v>45616</v>
      </c>
      <c r="E431" s="13" t="str">
        <f>+HYPERLINK("http://trademark.i-assist.jp/data/china/image_1912th/80322677.pdf","80322677")</f>
        <v>80322677</v>
      </c>
      <c r="F431" s="12" t="s">
        <v>1276</v>
      </c>
      <c r="G431" s="9" t="s">
        <v>1277</v>
      </c>
      <c r="H431" s="9" t="s">
        <v>1278</v>
      </c>
      <c r="I431" s="10">
        <v>45516</v>
      </c>
    </row>
    <row r="432" spans="1:9" x14ac:dyDescent="0.15">
      <c r="A432" s="9">
        <v>431</v>
      </c>
      <c r="B432" s="9" t="s">
        <v>9</v>
      </c>
      <c r="C432" s="9">
        <v>1912</v>
      </c>
      <c r="D432" s="10">
        <v>45616</v>
      </c>
      <c r="E432" s="13" t="str">
        <f>+HYPERLINK("http://trademark.i-assist.jp/data/china/image_1912th/80323409.pdf","80323409")</f>
        <v>80323409</v>
      </c>
      <c r="F432" s="9" t="s">
        <v>1279</v>
      </c>
      <c r="G432" s="12" t="s">
        <v>47</v>
      </c>
      <c r="H432" s="9" t="s">
        <v>1280</v>
      </c>
      <c r="I432" s="10">
        <v>45517</v>
      </c>
    </row>
    <row r="433" spans="1:9" x14ac:dyDescent="0.15">
      <c r="A433" s="9">
        <v>432</v>
      </c>
      <c r="B433" s="9" t="s">
        <v>9</v>
      </c>
      <c r="C433" s="9">
        <v>1912</v>
      </c>
      <c r="D433" s="10">
        <v>45616</v>
      </c>
      <c r="E433" s="13" t="str">
        <f>+HYPERLINK("http://trademark.i-assist.jp/data/china/image_1912th/80323578.pdf","80323578")</f>
        <v>80323578</v>
      </c>
      <c r="F433" s="9" t="s">
        <v>1281</v>
      </c>
      <c r="G433" s="9" t="s">
        <v>1282</v>
      </c>
      <c r="H433" s="9" t="s">
        <v>1283</v>
      </c>
      <c r="I433" s="10">
        <v>45517</v>
      </c>
    </row>
    <row r="434" spans="1:9" x14ac:dyDescent="0.15">
      <c r="A434" s="9">
        <v>433</v>
      </c>
      <c r="B434" s="9" t="s">
        <v>9</v>
      </c>
      <c r="C434" s="9">
        <v>1912</v>
      </c>
      <c r="D434" s="10">
        <v>45616</v>
      </c>
      <c r="E434" s="13" t="str">
        <f>+HYPERLINK("http://trademark.i-assist.jp/data/china/image_1912th/80324101.pdf","80324101")</f>
        <v>80324101</v>
      </c>
      <c r="F434" s="9" t="s">
        <v>1284</v>
      </c>
      <c r="G434" s="9" t="s">
        <v>1285</v>
      </c>
      <c r="H434" s="9" t="s">
        <v>1286</v>
      </c>
      <c r="I434" s="10">
        <v>45517</v>
      </c>
    </row>
    <row r="435" spans="1:9" x14ac:dyDescent="0.15">
      <c r="A435" s="9">
        <v>434</v>
      </c>
      <c r="B435" s="9" t="s">
        <v>9</v>
      </c>
      <c r="C435" s="9">
        <v>1912</v>
      </c>
      <c r="D435" s="10">
        <v>45616</v>
      </c>
      <c r="E435" s="13" t="str">
        <f>+HYPERLINK("http://trademark.i-assist.jp/data/china/image_1912th/80325149.pdf","80325149")</f>
        <v>80325149</v>
      </c>
      <c r="F435" s="11" t="s">
        <v>1287</v>
      </c>
      <c r="G435" s="9" t="s">
        <v>1288</v>
      </c>
      <c r="H435" s="9" t="s">
        <v>1289</v>
      </c>
      <c r="I435" s="10">
        <v>45517</v>
      </c>
    </row>
    <row r="436" spans="1:9" x14ac:dyDescent="0.15">
      <c r="A436" s="9">
        <v>435</v>
      </c>
      <c r="B436" s="9" t="s">
        <v>9</v>
      </c>
      <c r="C436" s="9">
        <v>1912</v>
      </c>
      <c r="D436" s="10">
        <v>45616</v>
      </c>
      <c r="E436" s="13" t="str">
        <f>+HYPERLINK("http://trademark.i-assist.jp/data/china/image_1912th/80325866.pdf","80325866")</f>
        <v>80325866</v>
      </c>
      <c r="F436" s="12" t="s">
        <v>1290</v>
      </c>
      <c r="G436" s="9" t="s">
        <v>1291</v>
      </c>
      <c r="H436" s="9" t="s">
        <v>1292</v>
      </c>
      <c r="I436" s="10">
        <v>45517</v>
      </c>
    </row>
    <row r="437" spans="1:9" x14ac:dyDescent="0.15">
      <c r="A437" s="9">
        <v>436</v>
      </c>
      <c r="B437" s="9" t="s">
        <v>9</v>
      </c>
      <c r="C437" s="9">
        <v>1912</v>
      </c>
      <c r="D437" s="10">
        <v>45616</v>
      </c>
      <c r="E437" s="13" t="str">
        <f>+HYPERLINK("http://trademark.i-assist.jp/data/china/image_1912th/80326087.pdf","80326087")</f>
        <v>80326087</v>
      </c>
      <c r="F437" s="9" t="s">
        <v>1293</v>
      </c>
      <c r="G437" s="9" t="s">
        <v>1294</v>
      </c>
      <c r="H437" s="9" t="s">
        <v>1295</v>
      </c>
      <c r="I437" s="10">
        <v>45517</v>
      </c>
    </row>
    <row r="438" spans="1:9" x14ac:dyDescent="0.15">
      <c r="A438" s="9">
        <v>437</v>
      </c>
      <c r="B438" s="9" t="s">
        <v>9</v>
      </c>
      <c r="C438" s="9">
        <v>1912</v>
      </c>
      <c r="D438" s="10">
        <v>45616</v>
      </c>
      <c r="E438" s="13" t="str">
        <f>+HYPERLINK("http://trademark.i-assist.jp/data/china/image_1912th/80326215.pdf","80326215")</f>
        <v>80326215</v>
      </c>
      <c r="F438" s="12" t="s">
        <v>1296</v>
      </c>
      <c r="G438" s="9" t="s">
        <v>1297</v>
      </c>
      <c r="H438" s="9" t="s">
        <v>1298</v>
      </c>
      <c r="I438" s="10">
        <v>45517</v>
      </c>
    </row>
    <row r="439" spans="1:9" x14ac:dyDescent="0.15">
      <c r="A439" s="9">
        <v>438</v>
      </c>
      <c r="B439" s="9" t="s">
        <v>9</v>
      </c>
      <c r="C439" s="9">
        <v>1912</v>
      </c>
      <c r="D439" s="10">
        <v>45616</v>
      </c>
      <c r="E439" s="13" t="str">
        <f>+HYPERLINK("http://trademark.i-assist.jp/data/china/image_1912th/80326696.pdf","80326696")</f>
        <v>80326696</v>
      </c>
      <c r="F439" s="9" t="s">
        <v>1299</v>
      </c>
      <c r="G439" s="12" t="s">
        <v>1300</v>
      </c>
      <c r="H439" s="9" t="s">
        <v>1301</v>
      </c>
      <c r="I439" s="10">
        <v>45517</v>
      </c>
    </row>
    <row r="440" spans="1:9" x14ac:dyDescent="0.15">
      <c r="A440" s="9">
        <v>439</v>
      </c>
      <c r="B440" s="9" t="s">
        <v>9</v>
      </c>
      <c r="C440" s="9">
        <v>1912</v>
      </c>
      <c r="D440" s="10">
        <v>45616</v>
      </c>
      <c r="E440" s="13" t="str">
        <f>+HYPERLINK("http://trademark.i-assist.jp/data/china/image_1912th/80326923.pdf","80326923")</f>
        <v>80326923</v>
      </c>
      <c r="F440" s="9" t="s">
        <v>1302</v>
      </c>
      <c r="G440" s="9" t="s">
        <v>1303</v>
      </c>
      <c r="H440" s="12" t="s">
        <v>1304</v>
      </c>
      <c r="I440" s="10">
        <v>45517</v>
      </c>
    </row>
    <row r="441" spans="1:9" x14ac:dyDescent="0.15">
      <c r="A441" s="9">
        <v>440</v>
      </c>
      <c r="B441" s="9" t="s">
        <v>9</v>
      </c>
      <c r="C441" s="9">
        <v>1912</v>
      </c>
      <c r="D441" s="10">
        <v>45616</v>
      </c>
      <c r="E441" s="13" t="str">
        <f>+HYPERLINK("http://trademark.i-assist.jp/data/china/image_1912th/80327032.pdf","80327032")</f>
        <v>80327032</v>
      </c>
      <c r="F441" s="12" t="s">
        <v>15</v>
      </c>
      <c r="G441" s="9" t="s">
        <v>1305</v>
      </c>
      <c r="H441" s="9" t="s">
        <v>1306</v>
      </c>
      <c r="I441" s="10">
        <v>45517</v>
      </c>
    </row>
    <row r="442" spans="1:9" x14ac:dyDescent="0.15">
      <c r="A442" s="9">
        <v>441</v>
      </c>
      <c r="B442" s="9" t="s">
        <v>9</v>
      </c>
      <c r="C442" s="9">
        <v>1912</v>
      </c>
      <c r="D442" s="10">
        <v>45616</v>
      </c>
      <c r="E442" s="13" t="str">
        <f>+HYPERLINK("http://trademark.i-assist.jp/data/china/image_1912th/80328263.pdf","80328263")</f>
        <v>80328263</v>
      </c>
      <c r="F442" s="9" t="s">
        <v>1307</v>
      </c>
      <c r="G442" s="9" t="s">
        <v>59</v>
      </c>
      <c r="H442" s="9" t="s">
        <v>1308</v>
      </c>
      <c r="I442" s="10">
        <v>45517</v>
      </c>
    </row>
    <row r="443" spans="1:9" x14ac:dyDescent="0.15">
      <c r="A443" s="9">
        <v>442</v>
      </c>
      <c r="B443" s="9" t="s">
        <v>9</v>
      </c>
      <c r="C443" s="9">
        <v>1912</v>
      </c>
      <c r="D443" s="10">
        <v>45616</v>
      </c>
      <c r="E443" s="13" t="str">
        <f>+HYPERLINK("http://trademark.i-assist.jp/data/china/image_1912th/80328343.pdf","80328343")</f>
        <v>80328343</v>
      </c>
      <c r="F443" s="9" t="s">
        <v>30</v>
      </c>
      <c r="G443" s="9" t="s">
        <v>31</v>
      </c>
      <c r="H443" s="9" t="s">
        <v>1309</v>
      </c>
      <c r="I443" s="10">
        <v>45517</v>
      </c>
    </row>
    <row r="444" spans="1:9" x14ac:dyDescent="0.15">
      <c r="A444" s="9">
        <v>443</v>
      </c>
      <c r="B444" s="9" t="s">
        <v>9</v>
      </c>
      <c r="C444" s="9">
        <v>1912</v>
      </c>
      <c r="D444" s="10">
        <v>45616</v>
      </c>
      <c r="E444" s="13" t="str">
        <f>+HYPERLINK("http://trademark.i-assist.jp/data/china/image_1912th/80328885.pdf","80328885")</f>
        <v>80328885</v>
      </c>
      <c r="F444" s="9" t="s">
        <v>1310</v>
      </c>
      <c r="G444" s="9" t="s">
        <v>1311</v>
      </c>
      <c r="H444" s="9" t="s">
        <v>1312</v>
      </c>
      <c r="I444" s="10">
        <v>45517</v>
      </c>
    </row>
    <row r="445" spans="1:9" x14ac:dyDescent="0.15">
      <c r="A445" s="9">
        <v>444</v>
      </c>
      <c r="B445" s="9" t="s">
        <v>9</v>
      </c>
      <c r="C445" s="9">
        <v>1912</v>
      </c>
      <c r="D445" s="10">
        <v>45616</v>
      </c>
      <c r="E445" s="13" t="str">
        <f>+HYPERLINK("http://trademark.i-assist.jp/data/china/image_1912th/80329068.pdf","80329068")</f>
        <v>80329068</v>
      </c>
      <c r="F445" s="9" t="s">
        <v>1313</v>
      </c>
      <c r="G445" s="9" t="s">
        <v>1314</v>
      </c>
      <c r="H445" s="9" t="s">
        <v>1315</v>
      </c>
      <c r="I445" s="10">
        <v>45517</v>
      </c>
    </row>
    <row r="446" spans="1:9" x14ac:dyDescent="0.15">
      <c r="A446" s="9">
        <v>445</v>
      </c>
      <c r="B446" s="9" t="s">
        <v>9</v>
      </c>
      <c r="C446" s="9">
        <v>1912</v>
      </c>
      <c r="D446" s="10">
        <v>45616</v>
      </c>
      <c r="E446" s="13" t="str">
        <f>+HYPERLINK("http://trademark.i-assist.jp/data/china/image_1912th/80329254.pdf","80329254")</f>
        <v>80329254</v>
      </c>
      <c r="F446" s="9" t="s">
        <v>1316</v>
      </c>
      <c r="G446" s="9" t="s">
        <v>59</v>
      </c>
      <c r="H446" s="9" t="s">
        <v>1317</v>
      </c>
      <c r="I446" s="10">
        <v>45517</v>
      </c>
    </row>
    <row r="447" spans="1:9" x14ac:dyDescent="0.15">
      <c r="A447" s="9">
        <v>446</v>
      </c>
      <c r="B447" s="9" t="s">
        <v>9</v>
      </c>
      <c r="C447" s="9">
        <v>1912</v>
      </c>
      <c r="D447" s="10">
        <v>45616</v>
      </c>
      <c r="E447" s="13" t="str">
        <f>+HYPERLINK("http://trademark.i-assist.jp/data/china/image_1912th/80329794.pdf","80329794")</f>
        <v>80329794</v>
      </c>
      <c r="F447" s="9" t="s">
        <v>1318</v>
      </c>
      <c r="G447" s="9" t="s">
        <v>1319</v>
      </c>
      <c r="H447" s="9" t="s">
        <v>1320</v>
      </c>
      <c r="I447" s="10">
        <v>45517</v>
      </c>
    </row>
    <row r="448" spans="1:9" x14ac:dyDescent="0.15">
      <c r="A448" s="9">
        <v>447</v>
      </c>
      <c r="B448" s="9" t="s">
        <v>9</v>
      </c>
      <c r="C448" s="9">
        <v>1912</v>
      </c>
      <c r="D448" s="10">
        <v>45616</v>
      </c>
      <c r="E448" s="13" t="str">
        <f>+HYPERLINK("http://trademark.i-assist.jp/data/china/image_1912th/80330469.pdf","80330469")</f>
        <v>80330469</v>
      </c>
      <c r="F448" s="9" t="s">
        <v>1321</v>
      </c>
      <c r="G448" s="12" t="s">
        <v>1322</v>
      </c>
      <c r="H448" s="9" t="s">
        <v>1323</v>
      </c>
      <c r="I448" s="10">
        <v>45517</v>
      </c>
    </row>
    <row r="449" spans="1:9" x14ac:dyDescent="0.15">
      <c r="A449" s="9">
        <v>448</v>
      </c>
      <c r="B449" s="9" t="s">
        <v>9</v>
      </c>
      <c r="C449" s="9">
        <v>1912</v>
      </c>
      <c r="D449" s="10">
        <v>45616</v>
      </c>
      <c r="E449" s="13" t="str">
        <f>+HYPERLINK("http://trademark.i-assist.jp/data/china/image_1912th/80330478.pdf","80330478")</f>
        <v>80330478</v>
      </c>
      <c r="F449" s="12" t="s">
        <v>1324</v>
      </c>
      <c r="G449" s="9" t="s">
        <v>1325</v>
      </c>
      <c r="H449" s="12" t="s">
        <v>1326</v>
      </c>
      <c r="I449" s="10">
        <v>45517</v>
      </c>
    </row>
    <row r="450" spans="1:9" x14ac:dyDescent="0.15">
      <c r="A450" s="9">
        <v>449</v>
      </c>
      <c r="B450" s="9" t="s">
        <v>9</v>
      </c>
      <c r="C450" s="9">
        <v>1912</v>
      </c>
      <c r="D450" s="10">
        <v>45616</v>
      </c>
      <c r="E450" s="13" t="str">
        <f>+HYPERLINK("http://trademark.i-assist.jp/data/china/image_1912th/80330505.pdf","80330505")</f>
        <v>80330505</v>
      </c>
      <c r="F450" s="9" t="s">
        <v>1327</v>
      </c>
      <c r="G450" s="9" t="s">
        <v>1328</v>
      </c>
      <c r="H450" s="9" t="s">
        <v>1329</v>
      </c>
      <c r="I450" s="10">
        <v>45517</v>
      </c>
    </row>
    <row r="451" spans="1:9" x14ac:dyDescent="0.15">
      <c r="A451" s="9">
        <v>450</v>
      </c>
      <c r="B451" s="9" t="s">
        <v>9</v>
      </c>
      <c r="C451" s="9">
        <v>1912</v>
      </c>
      <c r="D451" s="10">
        <v>45616</v>
      </c>
      <c r="E451" s="13" t="str">
        <f>+HYPERLINK("http://trademark.i-assist.jp/data/china/image_1912th/80330623.pdf","80330623")</f>
        <v>80330623</v>
      </c>
      <c r="F451" s="9" t="s">
        <v>1330</v>
      </c>
      <c r="G451" s="9" t="s">
        <v>1331</v>
      </c>
      <c r="H451" s="9" t="s">
        <v>1332</v>
      </c>
      <c r="I451" s="10">
        <v>45517</v>
      </c>
    </row>
    <row r="452" spans="1:9" x14ac:dyDescent="0.15">
      <c r="A452" s="9">
        <v>451</v>
      </c>
      <c r="B452" s="9" t="s">
        <v>9</v>
      </c>
      <c r="C452" s="9">
        <v>1912</v>
      </c>
      <c r="D452" s="10">
        <v>45616</v>
      </c>
      <c r="E452" s="13" t="str">
        <f>+HYPERLINK("http://trademark.i-assist.jp/data/china/image_1912th/80331814.pdf","80331814")</f>
        <v>80331814</v>
      </c>
      <c r="F452" s="9" t="s">
        <v>1333</v>
      </c>
      <c r="G452" s="11" t="s">
        <v>1334</v>
      </c>
      <c r="H452" s="9" t="s">
        <v>1335</v>
      </c>
      <c r="I452" s="10">
        <v>45517</v>
      </c>
    </row>
    <row r="453" spans="1:9" x14ac:dyDescent="0.15">
      <c r="A453" s="9">
        <v>452</v>
      </c>
      <c r="B453" s="9" t="s">
        <v>9</v>
      </c>
      <c r="C453" s="9">
        <v>1912</v>
      </c>
      <c r="D453" s="10">
        <v>45616</v>
      </c>
      <c r="E453" s="13" t="str">
        <f>+HYPERLINK("http://trademark.i-assist.jp/data/china/image_1912th/80332268.pdf","80332268")</f>
        <v>80332268</v>
      </c>
      <c r="F453" s="9" t="s">
        <v>1336</v>
      </c>
      <c r="G453" s="9" t="s">
        <v>59</v>
      </c>
      <c r="H453" s="12" t="s">
        <v>1337</v>
      </c>
      <c r="I453" s="10">
        <v>45517</v>
      </c>
    </row>
    <row r="454" spans="1:9" x14ac:dyDescent="0.15">
      <c r="A454" s="9">
        <v>453</v>
      </c>
      <c r="B454" s="9" t="s">
        <v>9</v>
      </c>
      <c r="C454" s="9">
        <v>1912</v>
      </c>
      <c r="D454" s="10">
        <v>45616</v>
      </c>
      <c r="E454" s="13" t="str">
        <f>+HYPERLINK("http://trademark.i-assist.jp/data/china/image_1912th/80333531.pdf","80333531")</f>
        <v>80333531</v>
      </c>
      <c r="F454" s="9" t="s">
        <v>1338</v>
      </c>
      <c r="G454" s="12" t="s">
        <v>47</v>
      </c>
      <c r="H454" s="9" t="s">
        <v>1339</v>
      </c>
      <c r="I454" s="10">
        <v>45517</v>
      </c>
    </row>
    <row r="455" spans="1:9" x14ac:dyDescent="0.15">
      <c r="A455" s="9">
        <v>454</v>
      </c>
      <c r="B455" s="9" t="s">
        <v>9</v>
      </c>
      <c r="C455" s="9">
        <v>1912</v>
      </c>
      <c r="D455" s="10">
        <v>45616</v>
      </c>
      <c r="E455" s="13" t="str">
        <f>+HYPERLINK("http://trademark.i-assist.jp/data/china/image_1912th/80333626.pdf","80333626")</f>
        <v>80333626</v>
      </c>
      <c r="F455" s="12" t="s">
        <v>1340</v>
      </c>
      <c r="G455" s="9" t="s">
        <v>68</v>
      </c>
      <c r="H455" s="12" t="s">
        <v>1341</v>
      </c>
      <c r="I455" s="10">
        <v>45517</v>
      </c>
    </row>
    <row r="456" spans="1:9" x14ac:dyDescent="0.15">
      <c r="A456" s="9">
        <v>455</v>
      </c>
      <c r="B456" s="9" t="s">
        <v>9</v>
      </c>
      <c r="C456" s="9">
        <v>1912</v>
      </c>
      <c r="D456" s="10">
        <v>45616</v>
      </c>
      <c r="E456" s="13" t="str">
        <f>+HYPERLINK("http://trademark.i-assist.jp/data/china/image_1912th/80335404.pdf","80335404")</f>
        <v>80335404</v>
      </c>
      <c r="F456" s="9" t="s">
        <v>1342</v>
      </c>
      <c r="G456" s="12" t="s">
        <v>1343</v>
      </c>
      <c r="H456" s="9" t="s">
        <v>1344</v>
      </c>
      <c r="I456" s="10">
        <v>45517</v>
      </c>
    </row>
    <row r="457" spans="1:9" x14ac:dyDescent="0.15">
      <c r="A457" s="9">
        <v>456</v>
      </c>
      <c r="B457" s="9" t="s">
        <v>9</v>
      </c>
      <c r="C457" s="9">
        <v>1912</v>
      </c>
      <c r="D457" s="10">
        <v>45616</v>
      </c>
      <c r="E457" s="13" t="str">
        <f>+HYPERLINK("http://trademark.i-assist.jp/data/china/image_1912th/80335784.pdf","80335784")</f>
        <v>80335784</v>
      </c>
      <c r="F457" s="9" t="s">
        <v>1345</v>
      </c>
      <c r="G457" s="9" t="s">
        <v>1346</v>
      </c>
      <c r="H457" s="9" t="s">
        <v>10</v>
      </c>
      <c r="I457" s="10">
        <v>45517</v>
      </c>
    </row>
    <row r="458" spans="1:9" x14ac:dyDescent="0.15">
      <c r="A458" s="9">
        <v>457</v>
      </c>
      <c r="B458" s="9" t="s">
        <v>9</v>
      </c>
      <c r="C458" s="9">
        <v>1912</v>
      </c>
      <c r="D458" s="10">
        <v>45616</v>
      </c>
      <c r="E458" s="13" t="str">
        <f>+HYPERLINK("http://trademark.i-assist.jp/data/china/image_1912th/80335979.pdf","80335979")</f>
        <v>80335979</v>
      </c>
      <c r="F458" s="9" t="s">
        <v>1347</v>
      </c>
      <c r="G458" s="9" t="s">
        <v>1348</v>
      </c>
      <c r="H458" s="9" t="s">
        <v>1349</v>
      </c>
      <c r="I458" s="10">
        <v>45517</v>
      </c>
    </row>
    <row r="459" spans="1:9" x14ac:dyDescent="0.15">
      <c r="A459" s="9">
        <v>458</v>
      </c>
      <c r="B459" s="9" t="s">
        <v>9</v>
      </c>
      <c r="C459" s="9">
        <v>1912</v>
      </c>
      <c r="D459" s="10">
        <v>45616</v>
      </c>
      <c r="E459" s="13" t="str">
        <f>+HYPERLINK("http://trademark.i-assist.jp/data/china/image_1912th/80336043.pdf","80336043")</f>
        <v>80336043</v>
      </c>
      <c r="F459" s="9" t="s">
        <v>1350</v>
      </c>
      <c r="G459" s="12" t="s">
        <v>1351</v>
      </c>
      <c r="H459" s="9" t="s">
        <v>1352</v>
      </c>
      <c r="I459" s="10">
        <v>45517</v>
      </c>
    </row>
    <row r="460" spans="1:9" x14ac:dyDescent="0.15">
      <c r="A460" s="9">
        <v>459</v>
      </c>
      <c r="B460" s="9" t="s">
        <v>9</v>
      </c>
      <c r="C460" s="9">
        <v>1912</v>
      </c>
      <c r="D460" s="10">
        <v>45616</v>
      </c>
      <c r="E460" s="13" t="str">
        <f>+HYPERLINK("http://trademark.i-assist.jp/data/china/image_1912th/80336392.pdf","80336392")</f>
        <v>80336392</v>
      </c>
      <c r="F460" s="12" t="s">
        <v>1353</v>
      </c>
      <c r="G460" s="9" t="s">
        <v>1354</v>
      </c>
      <c r="H460" s="9" t="s">
        <v>1355</v>
      </c>
      <c r="I460" s="10">
        <v>45517</v>
      </c>
    </row>
    <row r="461" spans="1:9" x14ac:dyDescent="0.15">
      <c r="A461" s="9">
        <v>460</v>
      </c>
      <c r="B461" s="9" t="s">
        <v>9</v>
      </c>
      <c r="C461" s="9">
        <v>1912</v>
      </c>
      <c r="D461" s="10">
        <v>45616</v>
      </c>
      <c r="E461" s="13" t="str">
        <f>+HYPERLINK("http://trademark.i-assist.jp/data/china/image_1912th/80336394.pdf","80336394")</f>
        <v>80336394</v>
      </c>
      <c r="F461" s="12" t="s">
        <v>1356</v>
      </c>
      <c r="G461" s="9" t="s">
        <v>68</v>
      </c>
      <c r="H461" s="9" t="s">
        <v>1357</v>
      </c>
      <c r="I461" s="10">
        <v>45517</v>
      </c>
    </row>
    <row r="462" spans="1:9" x14ac:dyDescent="0.15">
      <c r="A462" s="9">
        <v>461</v>
      </c>
      <c r="B462" s="9" t="s">
        <v>9</v>
      </c>
      <c r="C462" s="9">
        <v>1912</v>
      </c>
      <c r="D462" s="10">
        <v>45616</v>
      </c>
      <c r="E462" s="13" t="str">
        <f>+HYPERLINK("http://trademark.i-assist.jp/data/china/image_1912th/80336767.pdf","80336767")</f>
        <v>80336767</v>
      </c>
      <c r="F462" s="9" t="s">
        <v>1358</v>
      </c>
      <c r="G462" s="9" t="s">
        <v>1359</v>
      </c>
      <c r="H462" s="12" t="s">
        <v>1360</v>
      </c>
      <c r="I462" s="10">
        <v>45517</v>
      </c>
    </row>
    <row r="463" spans="1:9" x14ac:dyDescent="0.15">
      <c r="A463" s="9">
        <v>462</v>
      </c>
      <c r="B463" s="9" t="s">
        <v>9</v>
      </c>
      <c r="C463" s="9">
        <v>1912</v>
      </c>
      <c r="D463" s="10">
        <v>45616</v>
      </c>
      <c r="E463" s="13" t="str">
        <f>+HYPERLINK("http://trademark.i-assist.jp/data/china/image_1912th/80337067.pdf","80337067")</f>
        <v>80337067</v>
      </c>
      <c r="F463" s="9" t="s">
        <v>1361</v>
      </c>
      <c r="G463" s="9" t="s">
        <v>1362</v>
      </c>
      <c r="H463" s="9" t="s">
        <v>1363</v>
      </c>
      <c r="I463" s="10">
        <v>45517</v>
      </c>
    </row>
    <row r="464" spans="1:9" x14ac:dyDescent="0.15">
      <c r="A464" s="9">
        <v>463</v>
      </c>
      <c r="B464" s="9" t="s">
        <v>9</v>
      </c>
      <c r="C464" s="9">
        <v>1912</v>
      </c>
      <c r="D464" s="10">
        <v>45616</v>
      </c>
      <c r="E464" s="13" t="str">
        <f>+HYPERLINK("http://trademark.i-assist.jp/data/china/image_1912th/80337629.pdf","80337629")</f>
        <v>80337629</v>
      </c>
      <c r="F464" s="12" t="s">
        <v>15</v>
      </c>
      <c r="G464" s="9" t="s">
        <v>1364</v>
      </c>
      <c r="H464" s="9" t="s">
        <v>1365</v>
      </c>
      <c r="I464" s="10">
        <v>45517</v>
      </c>
    </row>
    <row r="465" spans="1:9" x14ac:dyDescent="0.15">
      <c r="A465" s="9">
        <v>464</v>
      </c>
      <c r="B465" s="9" t="s">
        <v>9</v>
      </c>
      <c r="C465" s="9">
        <v>1912</v>
      </c>
      <c r="D465" s="10">
        <v>45616</v>
      </c>
      <c r="E465" s="13" t="str">
        <f>+HYPERLINK("http://trademark.i-assist.jp/data/china/image_1912th/80338629.pdf","80338629")</f>
        <v>80338629</v>
      </c>
      <c r="F465" s="12" t="s">
        <v>1366</v>
      </c>
      <c r="G465" s="12" t="s">
        <v>47</v>
      </c>
      <c r="H465" s="9" t="s">
        <v>1367</v>
      </c>
      <c r="I465" s="10">
        <v>45517</v>
      </c>
    </row>
    <row r="466" spans="1:9" x14ac:dyDescent="0.15">
      <c r="A466" s="9">
        <v>465</v>
      </c>
      <c r="B466" s="9" t="s">
        <v>9</v>
      </c>
      <c r="C466" s="9">
        <v>1912</v>
      </c>
      <c r="D466" s="10">
        <v>45616</v>
      </c>
      <c r="E466" s="13" t="str">
        <f>+HYPERLINK("http://trademark.i-assist.jp/data/china/image_1912th/80338832.pdf","80338832")</f>
        <v>80338832</v>
      </c>
      <c r="F466" s="12" t="s">
        <v>1368</v>
      </c>
      <c r="G466" s="9" t="s">
        <v>1369</v>
      </c>
      <c r="H466" s="9" t="s">
        <v>1370</v>
      </c>
      <c r="I466" s="10">
        <v>45517</v>
      </c>
    </row>
    <row r="467" spans="1:9" x14ac:dyDescent="0.15">
      <c r="A467" s="9">
        <v>466</v>
      </c>
      <c r="B467" s="9" t="s">
        <v>9</v>
      </c>
      <c r="C467" s="9">
        <v>1912</v>
      </c>
      <c r="D467" s="10">
        <v>45616</v>
      </c>
      <c r="E467" s="13" t="str">
        <f>+HYPERLINK("http://trademark.i-assist.jp/data/china/image_1912th/80339726.pdf","80339726")</f>
        <v>80339726</v>
      </c>
      <c r="F467" s="9" t="s">
        <v>1371</v>
      </c>
      <c r="G467" s="12" t="s">
        <v>63</v>
      </c>
      <c r="H467" s="9" t="s">
        <v>1372</v>
      </c>
      <c r="I467" s="10">
        <v>45517</v>
      </c>
    </row>
    <row r="468" spans="1:9" x14ac:dyDescent="0.15">
      <c r="A468" s="9">
        <v>467</v>
      </c>
      <c r="B468" s="9" t="s">
        <v>9</v>
      </c>
      <c r="C468" s="9">
        <v>1912</v>
      </c>
      <c r="D468" s="10">
        <v>45616</v>
      </c>
      <c r="E468" s="13" t="str">
        <f>+HYPERLINK("http://trademark.i-assist.jp/data/china/image_1912th/80339763.pdf","80339763")</f>
        <v>80339763</v>
      </c>
      <c r="F468" s="9" t="s">
        <v>1373</v>
      </c>
      <c r="G468" s="12" t="s">
        <v>1374</v>
      </c>
      <c r="H468" s="9" t="s">
        <v>1375</v>
      </c>
      <c r="I468" s="10">
        <v>45517</v>
      </c>
    </row>
    <row r="469" spans="1:9" x14ac:dyDescent="0.15">
      <c r="A469" s="9">
        <v>468</v>
      </c>
      <c r="B469" s="9" t="s">
        <v>9</v>
      </c>
      <c r="C469" s="9">
        <v>1912</v>
      </c>
      <c r="D469" s="10">
        <v>45616</v>
      </c>
      <c r="E469" s="13" t="str">
        <f>+HYPERLINK("http://trademark.i-assist.jp/data/china/image_1912th/80340033.pdf","80340033")</f>
        <v>80340033</v>
      </c>
      <c r="F469" s="9" t="s">
        <v>1376</v>
      </c>
      <c r="G469" s="9" t="s">
        <v>1377</v>
      </c>
      <c r="H469" s="12" t="s">
        <v>1378</v>
      </c>
      <c r="I469" s="10">
        <v>45517</v>
      </c>
    </row>
    <row r="470" spans="1:9" x14ac:dyDescent="0.15">
      <c r="A470" s="9">
        <v>469</v>
      </c>
      <c r="B470" s="9" t="s">
        <v>9</v>
      </c>
      <c r="C470" s="9">
        <v>1912</v>
      </c>
      <c r="D470" s="10">
        <v>45616</v>
      </c>
      <c r="E470" s="13" t="str">
        <f>+HYPERLINK("http://trademark.i-assist.jp/data/china/image_1912th/80340485.pdf","80340485")</f>
        <v>80340485</v>
      </c>
      <c r="F470" s="9" t="s">
        <v>1379</v>
      </c>
      <c r="G470" s="9" t="s">
        <v>1380</v>
      </c>
      <c r="H470" s="9" t="s">
        <v>1381</v>
      </c>
      <c r="I470" s="10">
        <v>45517</v>
      </c>
    </row>
    <row r="471" spans="1:9" x14ac:dyDescent="0.15">
      <c r="A471" s="9">
        <v>470</v>
      </c>
      <c r="B471" s="9" t="s">
        <v>9</v>
      </c>
      <c r="C471" s="9">
        <v>1912</v>
      </c>
      <c r="D471" s="10">
        <v>45616</v>
      </c>
      <c r="E471" s="13" t="str">
        <f>+HYPERLINK("http://trademark.i-assist.jp/data/china/image_1912th/80340566.pdf","80340566")</f>
        <v>80340566</v>
      </c>
      <c r="F471" s="9" t="s">
        <v>1382</v>
      </c>
      <c r="G471" s="9" t="s">
        <v>1383</v>
      </c>
      <c r="H471" s="9" t="s">
        <v>1384</v>
      </c>
      <c r="I471" s="10">
        <v>45517</v>
      </c>
    </row>
    <row r="472" spans="1:9" x14ac:dyDescent="0.15">
      <c r="A472" s="9">
        <v>471</v>
      </c>
      <c r="B472" s="9" t="s">
        <v>9</v>
      </c>
      <c r="C472" s="9">
        <v>1912</v>
      </c>
      <c r="D472" s="10">
        <v>45616</v>
      </c>
      <c r="E472" s="13" t="str">
        <f>+HYPERLINK("http://trademark.i-assist.jp/data/china/image_1912th/80340817.pdf","80340817")</f>
        <v>80340817</v>
      </c>
      <c r="F472" s="12" t="s">
        <v>1385</v>
      </c>
      <c r="G472" s="9" t="s">
        <v>1386</v>
      </c>
      <c r="H472" s="9" t="s">
        <v>1387</v>
      </c>
      <c r="I472" s="10">
        <v>45517</v>
      </c>
    </row>
    <row r="473" spans="1:9" x14ac:dyDescent="0.15">
      <c r="A473" s="9">
        <v>472</v>
      </c>
      <c r="B473" s="9" t="s">
        <v>9</v>
      </c>
      <c r="C473" s="9">
        <v>1912</v>
      </c>
      <c r="D473" s="10">
        <v>45616</v>
      </c>
      <c r="E473" s="13" t="str">
        <f>+HYPERLINK("http://trademark.i-assist.jp/data/china/image_1912th/80343363.pdf","80343363")</f>
        <v>80343363</v>
      </c>
      <c r="F473" s="9" t="s">
        <v>1388</v>
      </c>
      <c r="G473" s="9" t="s">
        <v>1389</v>
      </c>
      <c r="H473" s="9" t="s">
        <v>1390</v>
      </c>
      <c r="I473" s="10">
        <v>45517</v>
      </c>
    </row>
    <row r="474" spans="1:9" x14ac:dyDescent="0.15">
      <c r="A474" s="9">
        <v>473</v>
      </c>
      <c r="B474" s="9" t="s">
        <v>9</v>
      </c>
      <c r="C474" s="9">
        <v>1912</v>
      </c>
      <c r="D474" s="10">
        <v>45616</v>
      </c>
      <c r="E474" s="13" t="str">
        <f>+HYPERLINK("http://trademark.i-assist.jp/data/china/image_1912th/80344694.pdf","80344694")</f>
        <v>80344694</v>
      </c>
      <c r="F474" s="12" t="s">
        <v>15</v>
      </c>
      <c r="G474" s="9" t="s">
        <v>1391</v>
      </c>
      <c r="H474" s="9" t="s">
        <v>1392</v>
      </c>
      <c r="I474" s="10">
        <v>45517</v>
      </c>
    </row>
    <row r="475" spans="1:9" x14ac:dyDescent="0.15">
      <c r="A475" s="9">
        <v>474</v>
      </c>
      <c r="B475" s="9" t="s">
        <v>9</v>
      </c>
      <c r="C475" s="9">
        <v>1912</v>
      </c>
      <c r="D475" s="10">
        <v>45616</v>
      </c>
      <c r="E475" s="13" t="str">
        <f>+HYPERLINK("http://trademark.i-assist.jp/data/china/image_1912th/80345738.pdf","80345738")</f>
        <v>80345738</v>
      </c>
      <c r="F475" s="9" t="s">
        <v>1393</v>
      </c>
      <c r="G475" s="12" t="s">
        <v>1394</v>
      </c>
      <c r="H475" s="9" t="s">
        <v>1395</v>
      </c>
      <c r="I475" s="10">
        <v>45517</v>
      </c>
    </row>
    <row r="476" spans="1:9" x14ac:dyDescent="0.15">
      <c r="A476" s="9">
        <v>475</v>
      </c>
      <c r="B476" s="9" t="s">
        <v>9</v>
      </c>
      <c r="C476" s="9">
        <v>1912</v>
      </c>
      <c r="D476" s="10">
        <v>45616</v>
      </c>
      <c r="E476" s="13" t="str">
        <f>+HYPERLINK("http://trademark.i-assist.jp/data/china/image_1912th/80346061.pdf","80346061")</f>
        <v>80346061</v>
      </c>
      <c r="F476" s="9" t="s">
        <v>1396</v>
      </c>
      <c r="G476" s="9" t="s">
        <v>1397</v>
      </c>
      <c r="H476" s="9" t="s">
        <v>1398</v>
      </c>
      <c r="I476" s="10">
        <v>45517</v>
      </c>
    </row>
    <row r="477" spans="1:9" x14ac:dyDescent="0.15">
      <c r="A477" s="9">
        <v>476</v>
      </c>
      <c r="B477" s="9" t="s">
        <v>9</v>
      </c>
      <c r="C477" s="9">
        <v>1912</v>
      </c>
      <c r="D477" s="10">
        <v>45616</v>
      </c>
      <c r="E477" s="13" t="str">
        <f>+HYPERLINK("http://trademark.i-assist.jp/data/china/image_1912th/80346686.pdf","80346686")</f>
        <v>80346686</v>
      </c>
      <c r="F477" s="9" t="s">
        <v>1399</v>
      </c>
      <c r="G477" s="9" t="s">
        <v>1400</v>
      </c>
      <c r="H477" s="9" t="s">
        <v>1401</v>
      </c>
      <c r="I477" s="10">
        <v>45517</v>
      </c>
    </row>
    <row r="478" spans="1:9" x14ac:dyDescent="0.15">
      <c r="A478" s="9">
        <v>477</v>
      </c>
      <c r="B478" s="9" t="s">
        <v>9</v>
      </c>
      <c r="C478" s="9">
        <v>1912</v>
      </c>
      <c r="D478" s="10">
        <v>45616</v>
      </c>
      <c r="E478" s="13" t="str">
        <f>+HYPERLINK("http://trademark.i-assist.jp/data/china/image_1912th/80347221.pdf","80347221")</f>
        <v>80347221</v>
      </c>
      <c r="F478" s="9" t="s">
        <v>1402</v>
      </c>
      <c r="G478" s="9" t="s">
        <v>1403</v>
      </c>
      <c r="H478" s="9" t="s">
        <v>1404</v>
      </c>
      <c r="I478" s="10">
        <v>45518</v>
      </c>
    </row>
    <row r="479" spans="1:9" x14ac:dyDescent="0.15">
      <c r="A479" s="9">
        <v>478</v>
      </c>
      <c r="B479" s="9" t="s">
        <v>9</v>
      </c>
      <c r="C479" s="9">
        <v>1912</v>
      </c>
      <c r="D479" s="10">
        <v>45616</v>
      </c>
      <c r="E479" s="13" t="str">
        <f>+HYPERLINK("http://trademark.i-assist.jp/data/china/image_1912th/80347319.pdf","80347319")</f>
        <v>80347319</v>
      </c>
      <c r="F479" s="9" t="s">
        <v>1405</v>
      </c>
      <c r="G479" s="9" t="s">
        <v>1406</v>
      </c>
      <c r="H479" s="9" t="s">
        <v>1407</v>
      </c>
      <c r="I479" s="10">
        <v>45518</v>
      </c>
    </row>
    <row r="480" spans="1:9" x14ac:dyDescent="0.15">
      <c r="A480" s="9">
        <v>479</v>
      </c>
      <c r="B480" s="9" t="s">
        <v>9</v>
      </c>
      <c r="C480" s="9">
        <v>1912</v>
      </c>
      <c r="D480" s="10">
        <v>45616</v>
      </c>
      <c r="E480" s="13" t="str">
        <f>+HYPERLINK("http://trademark.i-assist.jp/data/china/image_1912th/80347428.pdf","80347428")</f>
        <v>80347428</v>
      </c>
      <c r="F480" s="9" t="s">
        <v>1408</v>
      </c>
      <c r="G480" s="9" t="s">
        <v>52</v>
      </c>
      <c r="H480" s="9" t="s">
        <v>1409</v>
      </c>
      <c r="I480" s="10">
        <v>45518</v>
      </c>
    </row>
    <row r="481" spans="1:9" x14ac:dyDescent="0.15">
      <c r="A481" s="9">
        <v>480</v>
      </c>
      <c r="B481" s="9" t="s">
        <v>9</v>
      </c>
      <c r="C481" s="9">
        <v>1912</v>
      </c>
      <c r="D481" s="10">
        <v>45616</v>
      </c>
      <c r="E481" s="13" t="str">
        <f>+HYPERLINK("http://trademark.i-assist.jp/data/china/image_1912th/80348288.pdf","80348288")</f>
        <v>80348288</v>
      </c>
      <c r="F481" s="9" t="s">
        <v>1410</v>
      </c>
      <c r="G481" s="9" t="s">
        <v>1411</v>
      </c>
      <c r="H481" s="9" t="s">
        <v>1412</v>
      </c>
      <c r="I481" s="10">
        <v>45518</v>
      </c>
    </row>
    <row r="482" spans="1:9" x14ac:dyDescent="0.15">
      <c r="A482" s="9">
        <v>481</v>
      </c>
      <c r="B482" s="9" t="s">
        <v>9</v>
      </c>
      <c r="C482" s="9">
        <v>1912</v>
      </c>
      <c r="D482" s="10">
        <v>45616</v>
      </c>
      <c r="E482" s="13" t="str">
        <f>+HYPERLINK("http://trademark.i-assist.jp/data/china/image_1912th/80348314.pdf","80348314")</f>
        <v>80348314</v>
      </c>
      <c r="F482" s="12" t="s">
        <v>1413</v>
      </c>
      <c r="G482" s="12" t="s">
        <v>1414</v>
      </c>
      <c r="H482" s="9" t="s">
        <v>1415</v>
      </c>
      <c r="I482" s="10">
        <v>45518</v>
      </c>
    </row>
    <row r="483" spans="1:9" x14ac:dyDescent="0.15">
      <c r="A483" s="9">
        <v>482</v>
      </c>
      <c r="B483" s="9" t="s">
        <v>9</v>
      </c>
      <c r="C483" s="9">
        <v>1912</v>
      </c>
      <c r="D483" s="10">
        <v>45616</v>
      </c>
      <c r="E483" s="13" t="str">
        <f>+HYPERLINK("http://trademark.i-assist.jp/data/china/image_1912th/80349189.pdf","80349189")</f>
        <v>80349189</v>
      </c>
      <c r="F483" s="9" t="s">
        <v>1416</v>
      </c>
      <c r="G483" s="9" t="s">
        <v>1417</v>
      </c>
      <c r="H483" s="9" t="s">
        <v>1418</v>
      </c>
      <c r="I483" s="10">
        <v>45518</v>
      </c>
    </row>
    <row r="484" spans="1:9" x14ac:dyDescent="0.15">
      <c r="A484" s="9">
        <v>483</v>
      </c>
      <c r="B484" s="9" t="s">
        <v>9</v>
      </c>
      <c r="C484" s="9">
        <v>1912</v>
      </c>
      <c r="D484" s="10">
        <v>45616</v>
      </c>
      <c r="E484" s="13" t="str">
        <f>+HYPERLINK("http://trademark.i-assist.jp/data/china/image_1912th/80349199.pdf","80349199")</f>
        <v>80349199</v>
      </c>
      <c r="F484" s="9" t="s">
        <v>1419</v>
      </c>
      <c r="G484" s="9" t="s">
        <v>1420</v>
      </c>
      <c r="H484" s="9" t="s">
        <v>1421</v>
      </c>
      <c r="I484" s="10">
        <v>45518</v>
      </c>
    </row>
    <row r="485" spans="1:9" x14ac:dyDescent="0.15">
      <c r="A485" s="9">
        <v>484</v>
      </c>
      <c r="B485" s="9" t="s">
        <v>9</v>
      </c>
      <c r="C485" s="9">
        <v>1912</v>
      </c>
      <c r="D485" s="10">
        <v>45616</v>
      </c>
      <c r="E485" s="13" t="str">
        <f>+HYPERLINK("http://trademark.i-assist.jp/data/china/image_1912th/80349203.pdf","80349203")</f>
        <v>80349203</v>
      </c>
      <c r="F485" s="9" t="s">
        <v>1422</v>
      </c>
      <c r="G485" s="9" t="s">
        <v>1420</v>
      </c>
      <c r="H485" s="9" t="s">
        <v>1423</v>
      </c>
      <c r="I485" s="10">
        <v>45518</v>
      </c>
    </row>
    <row r="486" spans="1:9" x14ac:dyDescent="0.15">
      <c r="A486" s="9">
        <v>485</v>
      </c>
      <c r="B486" s="9" t="s">
        <v>9</v>
      </c>
      <c r="C486" s="9">
        <v>1912</v>
      </c>
      <c r="D486" s="10">
        <v>45616</v>
      </c>
      <c r="E486" s="13" t="str">
        <f>+HYPERLINK("http://trademark.i-assist.jp/data/china/image_1912th/80349260.pdf","80349260")</f>
        <v>80349260</v>
      </c>
      <c r="F486" s="9" t="s">
        <v>1424</v>
      </c>
      <c r="G486" s="9" t="s">
        <v>1425</v>
      </c>
      <c r="H486" s="9" t="s">
        <v>1426</v>
      </c>
      <c r="I486" s="10">
        <v>45518</v>
      </c>
    </row>
    <row r="487" spans="1:9" x14ac:dyDescent="0.15">
      <c r="A487" s="9">
        <v>486</v>
      </c>
      <c r="B487" s="9" t="s">
        <v>9</v>
      </c>
      <c r="C487" s="9">
        <v>1912</v>
      </c>
      <c r="D487" s="10">
        <v>45616</v>
      </c>
      <c r="E487" s="13" t="str">
        <f>+HYPERLINK("http://trademark.i-assist.jp/data/china/image_1912th/80349446.pdf","80349446")</f>
        <v>80349446</v>
      </c>
      <c r="F487" s="12" t="s">
        <v>15</v>
      </c>
      <c r="G487" s="9" t="s">
        <v>1427</v>
      </c>
      <c r="H487" s="9" t="s">
        <v>1428</v>
      </c>
      <c r="I487" s="10">
        <v>45518</v>
      </c>
    </row>
    <row r="488" spans="1:9" x14ac:dyDescent="0.15">
      <c r="A488" s="9">
        <v>487</v>
      </c>
      <c r="B488" s="9" t="s">
        <v>9</v>
      </c>
      <c r="C488" s="9">
        <v>1912</v>
      </c>
      <c r="D488" s="10">
        <v>45616</v>
      </c>
      <c r="E488" s="13" t="str">
        <f>+HYPERLINK("http://trademark.i-assist.jp/data/china/image_1912th/80350430.pdf","80350430")</f>
        <v>80350430</v>
      </c>
      <c r="F488" s="9" t="s">
        <v>1429</v>
      </c>
      <c r="G488" s="9" t="s">
        <v>1430</v>
      </c>
      <c r="H488" s="9" t="s">
        <v>1431</v>
      </c>
      <c r="I488" s="10">
        <v>45518</v>
      </c>
    </row>
    <row r="489" spans="1:9" x14ac:dyDescent="0.15">
      <c r="A489" s="9">
        <v>488</v>
      </c>
      <c r="B489" s="9" t="s">
        <v>9</v>
      </c>
      <c r="C489" s="9">
        <v>1912</v>
      </c>
      <c r="D489" s="10">
        <v>45616</v>
      </c>
      <c r="E489" s="13" t="str">
        <f>+HYPERLINK("http://trademark.i-assist.jp/data/china/image_1912th/80350535.pdf","80350535")</f>
        <v>80350535</v>
      </c>
      <c r="F489" s="9" t="s">
        <v>1432</v>
      </c>
      <c r="G489" s="9" t="s">
        <v>1433</v>
      </c>
      <c r="H489" s="9" t="s">
        <v>1434</v>
      </c>
      <c r="I489" s="10">
        <v>45518</v>
      </c>
    </row>
    <row r="490" spans="1:9" x14ac:dyDescent="0.15">
      <c r="A490" s="9">
        <v>489</v>
      </c>
      <c r="B490" s="9" t="s">
        <v>9</v>
      </c>
      <c r="C490" s="9">
        <v>1912</v>
      </c>
      <c r="D490" s="10">
        <v>45616</v>
      </c>
      <c r="E490" s="13" t="str">
        <f>+HYPERLINK("http://trademark.i-assist.jp/data/china/image_1912th/80351398.pdf","80351398")</f>
        <v>80351398</v>
      </c>
      <c r="F490" s="9" t="s">
        <v>1435</v>
      </c>
      <c r="G490" s="12" t="s">
        <v>1436</v>
      </c>
      <c r="H490" s="9" t="s">
        <v>1437</v>
      </c>
      <c r="I490" s="10">
        <v>45518</v>
      </c>
    </row>
    <row r="491" spans="1:9" x14ac:dyDescent="0.15">
      <c r="A491" s="9">
        <v>490</v>
      </c>
      <c r="B491" s="9" t="s">
        <v>9</v>
      </c>
      <c r="C491" s="9">
        <v>1912</v>
      </c>
      <c r="D491" s="10">
        <v>45616</v>
      </c>
      <c r="E491" s="13" t="str">
        <f>+HYPERLINK("http://trademark.i-assist.jp/data/china/image_1912th/80354208.pdf","80354208")</f>
        <v>80354208</v>
      </c>
      <c r="F491" s="9" t="s">
        <v>1438</v>
      </c>
      <c r="G491" s="9" t="s">
        <v>1439</v>
      </c>
      <c r="H491" s="9" t="s">
        <v>1440</v>
      </c>
      <c r="I491" s="10">
        <v>45518</v>
      </c>
    </row>
    <row r="492" spans="1:9" x14ac:dyDescent="0.15">
      <c r="A492" s="9">
        <v>491</v>
      </c>
      <c r="B492" s="9" t="s">
        <v>9</v>
      </c>
      <c r="C492" s="9">
        <v>1912</v>
      </c>
      <c r="D492" s="10">
        <v>45616</v>
      </c>
      <c r="E492" s="13" t="str">
        <f>+HYPERLINK("http://trademark.i-assist.jp/data/china/image_1912th/80354380.pdf","80354380")</f>
        <v>80354380</v>
      </c>
      <c r="F492" s="9" t="s">
        <v>1441</v>
      </c>
      <c r="G492" s="9" t="s">
        <v>1442</v>
      </c>
      <c r="H492" s="12" t="s">
        <v>1443</v>
      </c>
      <c r="I492" s="10">
        <v>45518</v>
      </c>
    </row>
    <row r="493" spans="1:9" x14ac:dyDescent="0.15">
      <c r="A493" s="9">
        <v>492</v>
      </c>
      <c r="B493" s="9" t="s">
        <v>9</v>
      </c>
      <c r="C493" s="9">
        <v>1912</v>
      </c>
      <c r="D493" s="10">
        <v>45616</v>
      </c>
      <c r="E493" s="13" t="str">
        <f>+HYPERLINK("http://trademark.i-assist.jp/data/china/image_1912th/80354539.pdf","80354539")</f>
        <v>80354539</v>
      </c>
      <c r="F493" s="9" t="s">
        <v>1444</v>
      </c>
      <c r="G493" s="9" t="s">
        <v>1445</v>
      </c>
      <c r="H493" s="12" t="s">
        <v>1446</v>
      </c>
      <c r="I493" s="10">
        <v>45518</v>
      </c>
    </row>
    <row r="494" spans="1:9" x14ac:dyDescent="0.15">
      <c r="A494" s="9">
        <v>493</v>
      </c>
      <c r="B494" s="9" t="s">
        <v>9</v>
      </c>
      <c r="C494" s="9">
        <v>1912</v>
      </c>
      <c r="D494" s="10">
        <v>45616</v>
      </c>
      <c r="E494" s="13" t="str">
        <f>+HYPERLINK("http://trademark.i-assist.jp/data/china/image_1912th/80354686.pdf","80354686")</f>
        <v>80354686</v>
      </c>
      <c r="F494" s="9" t="s">
        <v>1447</v>
      </c>
      <c r="G494" s="12" t="s">
        <v>1448</v>
      </c>
      <c r="H494" s="9" t="s">
        <v>1449</v>
      </c>
      <c r="I494" s="10">
        <v>45518</v>
      </c>
    </row>
    <row r="495" spans="1:9" x14ac:dyDescent="0.15">
      <c r="A495" s="9">
        <v>494</v>
      </c>
      <c r="B495" s="9" t="s">
        <v>9</v>
      </c>
      <c r="C495" s="9">
        <v>1912</v>
      </c>
      <c r="D495" s="10">
        <v>45616</v>
      </c>
      <c r="E495" s="13" t="str">
        <f>+HYPERLINK("http://trademark.i-assist.jp/data/china/image_1912th/80354949.pdf","80354949")</f>
        <v>80354949</v>
      </c>
      <c r="F495" s="9" t="s">
        <v>1450</v>
      </c>
      <c r="G495" s="9" t="s">
        <v>1451</v>
      </c>
      <c r="H495" s="9" t="s">
        <v>1452</v>
      </c>
      <c r="I495" s="10">
        <v>45518</v>
      </c>
    </row>
    <row r="496" spans="1:9" x14ac:dyDescent="0.15">
      <c r="A496" s="9">
        <v>495</v>
      </c>
      <c r="B496" s="9" t="s">
        <v>9</v>
      </c>
      <c r="C496" s="9">
        <v>1912</v>
      </c>
      <c r="D496" s="10">
        <v>45616</v>
      </c>
      <c r="E496" s="13" t="str">
        <f>+HYPERLINK("http://trademark.i-assist.jp/data/china/image_1912th/80355045.pdf","80355045")</f>
        <v>80355045</v>
      </c>
      <c r="F496" s="12" t="s">
        <v>1453</v>
      </c>
      <c r="G496" s="9" t="s">
        <v>1454</v>
      </c>
      <c r="H496" s="12" t="s">
        <v>1455</v>
      </c>
      <c r="I496" s="10">
        <v>45518</v>
      </c>
    </row>
    <row r="497" spans="1:9" x14ac:dyDescent="0.15">
      <c r="A497" s="9">
        <v>496</v>
      </c>
      <c r="B497" s="9" t="s">
        <v>9</v>
      </c>
      <c r="C497" s="9">
        <v>1912</v>
      </c>
      <c r="D497" s="10">
        <v>45616</v>
      </c>
      <c r="E497" s="13" t="str">
        <f>+HYPERLINK("http://trademark.i-assist.jp/data/china/image_1912th/80356973.pdf","80356973")</f>
        <v>80356973</v>
      </c>
      <c r="F497" s="9" t="s">
        <v>1456</v>
      </c>
      <c r="G497" s="9" t="s">
        <v>1457</v>
      </c>
      <c r="H497" s="9" t="s">
        <v>1458</v>
      </c>
      <c r="I497" s="10">
        <v>45518</v>
      </c>
    </row>
    <row r="498" spans="1:9" x14ac:dyDescent="0.15">
      <c r="A498" s="9">
        <v>497</v>
      </c>
      <c r="B498" s="9" t="s">
        <v>9</v>
      </c>
      <c r="C498" s="9">
        <v>1912</v>
      </c>
      <c r="D498" s="10">
        <v>45616</v>
      </c>
      <c r="E498" s="13" t="str">
        <f>+HYPERLINK("http://trademark.i-assist.jp/data/china/image_1912th/80357354.pdf","80357354")</f>
        <v>80357354</v>
      </c>
      <c r="F498" s="12" t="s">
        <v>15</v>
      </c>
      <c r="G498" s="9" t="s">
        <v>1459</v>
      </c>
      <c r="H498" s="9" t="s">
        <v>1460</v>
      </c>
      <c r="I498" s="10">
        <v>45518</v>
      </c>
    </row>
    <row r="499" spans="1:9" x14ac:dyDescent="0.15">
      <c r="A499" s="9">
        <v>498</v>
      </c>
      <c r="B499" s="9" t="s">
        <v>9</v>
      </c>
      <c r="C499" s="9">
        <v>1912</v>
      </c>
      <c r="D499" s="10">
        <v>45616</v>
      </c>
      <c r="E499" s="13" t="str">
        <f>+HYPERLINK("http://trademark.i-assist.jp/data/china/image_1912th/80357451.pdf","80357451")</f>
        <v>80357451</v>
      </c>
      <c r="F499" s="9" t="s">
        <v>1461</v>
      </c>
      <c r="G499" s="12" t="s">
        <v>1462</v>
      </c>
      <c r="H499" s="9" t="s">
        <v>1463</v>
      </c>
      <c r="I499" s="10">
        <v>45518</v>
      </c>
    </row>
    <row r="500" spans="1:9" x14ac:dyDescent="0.15">
      <c r="A500" s="9">
        <v>499</v>
      </c>
      <c r="B500" s="9" t="s">
        <v>9</v>
      </c>
      <c r="C500" s="9">
        <v>1912</v>
      </c>
      <c r="D500" s="10">
        <v>45616</v>
      </c>
      <c r="E500" s="13" t="str">
        <f>+HYPERLINK("http://trademark.i-assist.jp/data/china/image_1912th/80357902.pdf","80357902")</f>
        <v>80357902</v>
      </c>
      <c r="F500" s="9" t="s">
        <v>1464</v>
      </c>
      <c r="G500" s="9" t="s">
        <v>1465</v>
      </c>
      <c r="H500" s="9" t="s">
        <v>1466</v>
      </c>
      <c r="I500" s="10">
        <v>45518</v>
      </c>
    </row>
    <row r="501" spans="1:9" x14ac:dyDescent="0.15">
      <c r="A501" s="9">
        <v>500</v>
      </c>
      <c r="B501" s="9" t="s">
        <v>9</v>
      </c>
      <c r="C501" s="9">
        <v>1912</v>
      </c>
      <c r="D501" s="10">
        <v>45616</v>
      </c>
      <c r="E501" s="13" t="str">
        <f>+HYPERLINK("http://trademark.i-assist.jp/data/china/image_1912th/80358281.pdf","80358281")</f>
        <v>80358281</v>
      </c>
      <c r="F501" s="9" t="s">
        <v>1467</v>
      </c>
      <c r="G501" s="12" t="s">
        <v>1468</v>
      </c>
      <c r="H501" s="9" t="s">
        <v>1469</v>
      </c>
      <c r="I501" s="10">
        <v>45518</v>
      </c>
    </row>
    <row r="502" spans="1:9" x14ac:dyDescent="0.15">
      <c r="A502" s="9">
        <v>501</v>
      </c>
      <c r="B502" s="9" t="s">
        <v>9</v>
      </c>
      <c r="C502" s="9">
        <v>1912</v>
      </c>
      <c r="D502" s="10">
        <v>45616</v>
      </c>
      <c r="E502" s="13" t="str">
        <f>+HYPERLINK("http://trademark.i-assist.jp/data/china/image_1912th/80359792.pdf","80359792")</f>
        <v>80359792</v>
      </c>
      <c r="F502" s="9" t="s">
        <v>1470</v>
      </c>
      <c r="G502" s="9" t="s">
        <v>1471</v>
      </c>
      <c r="H502" s="12" t="s">
        <v>1472</v>
      </c>
      <c r="I502" s="10">
        <v>45518</v>
      </c>
    </row>
    <row r="503" spans="1:9" x14ac:dyDescent="0.15">
      <c r="A503" s="9">
        <v>502</v>
      </c>
      <c r="B503" s="9" t="s">
        <v>9</v>
      </c>
      <c r="C503" s="9">
        <v>1912</v>
      </c>
      <c r="D503" s="10">
        <v>45616</v>
      </c>
      <c r="E503" s="13" t="str">
        <f>+HYPERLINK("http://trademark.i-assist.jp/data/china/image_1912th/80361448.pdf","80361448")</f>
        <v>80361448</v>
      </c>
      <c r="F503" s="9" t="s">
        <v>1473</v>
      </c>
      <c r="G503" s="9" t="s">
        <v>1474</v>
      </c>
      <c r="H503" s="12" t="s">
        <v>1475</v>
      </c>
      <c r="I503" s="10">
        <v>45518</v>
      </c>
    </row>
    <row r="504" spans="1:9" x14ac:dyDescent="0.15">
      <c r="A504" s="9">
        <v>503</v>
      </c>
      <c r="B504" s="9" t="s">
        <v>9</v>
      </c>
      <c r="C504" s="9">
        <v>1912</v>
      </c>
      <c r="D504" s="10">
        <v>45616</v>
      </c>
      <c r="E504" s="13" t="str">
        <f>+HYPERLINK("http://trademark.i-assist.jp/data/china/image_1912th/80362485.pdf","80362485")</f>
        <v>80362485</v>
      </c>
      <c r="F504" s="12" t="s">
        <v>1476</v>
      </c>
      <c r="G504" s="9" t="s">
        <v>1477</v>
      </c>
      <c r="H504" s="9" t="s">
        <v>1478</v>
      </c>
      <c r="I504" s="10">
        <v>45518</v>
      </c>
    </row>
    <row r="505" spans="1:9" x14ac:dyDescent="0.15">
      <c r="A505" s="9">
        <v>504</v>
      </c>
      <c r="B505" s="9" t="s">
        <v>9</v>
      </c>
      <c r="C505" s="9">
        <v>1912</v>
      </c>
      <c r="D505" s="10">
        <v>45616</v>
      </c>
      <c r="E505" s="13" t="str">
        <f>+HYPERLINK("http://trademark.i-assist.jp/data/china/image_1912th/80362496.pdf","80362496")</f>
        <v>80362496</v>
      </c>
      <c r="F505" s="9" t="s">
        <v>1479</v>
      </c>
      <c r="G505" s="9" t="s">
        <v>1480</v>
      </c>
      <c r="H505" s="9" t="s">
        <v>1481</v>
      </c>
      <c r="I505" s="10">
        <v>45518</v>
      </c>
    </row>
    <row r="506" spans="1:9" x14ac:dyDescent="0.15">
      <c r="A506" s="9">
        <v>505</v>
      </c>
      <c r="B506" s="9" t="s">
        <v>9</v>
      </c>
      <c r="C506" s="9">
        <v>1912</v>
      </c>
      <c r="D506" s="10">
        <v>45616</v>
      </c>
      <c r="E506" s="13" t="str">
        <f>+HYPERLINK("http://trademark.i-assist.jp/data/china/image_1912th/80362695.pdf","80362695")</f>
        <v>80362695</v>
      </c>
      <c r="F506" s="9" t="s">
        <v>1482</v>
      </c>
      <c r="G506" s="9" t="s">
        <v>1454</v>
      </c>
      <c r="H506" s="9" t="s">
        <v>1483</v>
      </c>
      <c r="I506" s="10">
        <v>45518</v>
      </c>
    </row>
    <row r="507" spans="1:9" x14ac:dyDescent="0.15">
      <c r="A507" s="9">
        <v>506</v>
      </c>
      <c r="B507" s="9" t="s">
        <v>9</v>
      </c>
      <c r="C507" s="9">
        <v>1912</v>
      </c>
      <c r="D507" s="10">
        <v>45616</v>
      </c>
      <c r="E507" s="13" t="str">
        <f>+HYPERLINK("http://trademark.i-assist.jp/data/china/image_1912th/80362820.pdf","80362820")</f>
        <v>80362820</v>
      </c>
      <c r="F507" s="9" t="s">
        <v>1484</v>
      </c>
      <c r="G507" s="9" t="s">
        <v>1485</v>
      </c>
      <c r="H507" s="9" t="s">
        <v>1486</v>
      </c>
      <c r="I507" s="10">
        <v>45518</v>
      </c>
    </row>
    <row r="508" spans="1:9" x14ac:dyDescent="0.15">
      <c r="A508" s="9">
        <v>507</v>
      </c>
      <c r="B508" s="9" t="s">
        <v>9</v>
      </c>
      <c r="C508" s="9">
        <v>1912</v>
      </c>
      <c r="D508" s="10">
        <v>45616</v>
      </c>
      <c r="E508" s="13" t="str">
        <f>+HYPERLINK("http://trademark.i-assist.jp/data/china/image_1912th/80363294.pdf","80363294")</f>
        <v>80363294</v>
      </c>
      <c r="F508" s="9" t="s">
        <v>1487</v>
      </c>
      <c r="G508" s="9" t="s">
        <v>1488</v>
      </c>
      <c r="H508" s="12" t="s">
        <v>1489</v>
      </c>
      <c r="I508" s="10">
        <v>45518</v>
      </c>
    </row>
    <row r="509" spans="1:9" x14ac:dyDescent="0.15">
      <c r="A509" s="9">
        <v>508</v>
      </c>
      <c r="B509" s="9" t="s">
        <v>9</v>
      </c>
      <c r="C509" s="9">
        <v>1912</v>
      </c>
      <c r="D509" s="10">
        <v>45616</v>
      </c>
      <c r="E509" s="13" t="str">
        <f>+HYPERLINK("http://trademark.i-assist.jp/data/china/image_1912th/80364694.pdf","80364694")</f>
        <v>80364694</v>
      </c>
      <c r="F509" s="12" t="s">
        <v>1490</v>
      </c>
      <c r="G509" s="12" t="s">
        <v>1491</v>
      </c>
      <c r="H509" s="9" t="s">
        <v>1492</v>
      </c>
      <c r="I509" s="10">
        <v>45518</v>
      </c>
    </row>
    <row r="510" spans="1:9" x14ac:dyDescent="0.15">
      <c r="A510" s="9">
        <v>509</v>
      </c>
      <c r="B510" s="9" t="s">
        <v>9</v>
      </c>
      <c r="C510" s="9">
        <v>1912</v>
      </c>
      <c r="D510" s="10">
        <v>45616</v>
      </c>
      <c r="E510" s="13" t="str">
        <f>+HYPERLINK("http://trademark.i-assist.jp/data/china/image_1912th/80364899.pdf","80364899")</f>
        <v>80364899</v>
      </c>
      <c r="F510" s="9" t="s">
        <v>1493</v>
      </c>
      <c r="G510" s="12" t="s">
        <v>1494</v>
      </c>
      <c r="H510" s="9" t="s">
        <v>1495</v>
      </c>
      <c r="I510" s="10">
        <v>45518</v>
      </c>
    </row>
    <row r="511" spans="1:9" x14ac:dyDescent="0.15">
      <c r="A511" s="9">
        <v>510</v>
      </c>
      <c r="B511" s="9" t="s">
        <v>9</v>
      </c>
      <c r="C511" s="9">
        <v>1912</v>
      </c>
      <c r="D511" s="10">
        <v>45616</v>
      </c>
      <c r="E511" s="13" t="str">
        <f>+HYPERLINK("http://trademark.i-assist.jp/data/china/image_1912th/80365627.pdf","80365627")</f>
        <v>80365627</v>
      </c>
      <c r="F511" s="12" t="s">
        <v>15</v>
      </c>
      <c r="G511" s="9" t="s">
        <v>1496</v>
      </c>
      <c r="H511" s="9" t="s">
        <v>1497</v>
      </c>
      <c r="I511" s="10">
        <v>45518</v>
      </c>
    </row>
    <row r="512" spans="1:9" x14ac:dyDescent="0.15">
      <c r="A512" s="9">
        <v>511</v>
      </c>
      <c r="B512" s="9" t="s">
        <v>9</v>
      </c>
      <c r="C512" s="9">
        <v>1912</v>
      </c>
      <c r="D512" s="10">
        <v>45616</v>
      </c>
      <c r="E512" s="13" t="str">
        <f>+HYPERLINK("http://trademark.i-assist.jp/data/china/image_1912th/80366132.pdf","80366132")</f>
        <v>80366132</v>
      </c>
      <c r="F512" s="9" t="s">
        <v>1498</v>
      </c>
      <c r="G512" s="9" t="s">
        <v>1499</v>
      </c>
      <c r="H512" s="9" t="s">
        <v>1500</v>
      </c>
      <c r="I512" s="10">
        <v>45518</v>
      </c>
    </row>
    <row r="513" spans="1:9" x14ac:dyDescent="0.15">
      <c r="A513" s="9">
        <v>512</v>
      </c>
      <c r="B513" s="9" t="s">
        <v>9</v>
      </c>
      <c r="C513" s="9">
        <v>1912</v>
      </c>
      <c r="D513" s="10">
        <v>45616</v>
      </c>
      <c r="E513" s="13" t="str">
        <f>+HYPERLINK("http://trademark.i-assist.jp/data/china/image_1912th/80368043.pdf","80368043")</f>
        <v>80368043</v>
      </c>
      <c r="F513" s="9" t="s">
        <v>1501</v>
      </c>
      <c r="G513" s="9" t="s">
        <v>1502</v>
      </c>
      <c r="H513" s="9" t="s">
        <v>1503</v>
      </c>
      <c r="I513" s="10">
        <v>45518</v>
      </c>
    </row>
    <row r="514" spans="1:9" x14ac:dyDescent="0.15">
      <c r="A514" s="9">
        <v>513</v>
      </c>
      <c r="B514" s="9" t="s">
        <v>9</v>
      </c>
      <c r="C514" s="9">
        <v>1912</v>
      </c>
      <c r="D514" s="10">
        <v>45616</v>
      </c>
      <c r="E514" s="13" t="str">
        <f>+HYPERLINK("http://trademark.i-assist.jp/data/china/image_1912th/80368674.pdf","80368674")</f>
        <v>80368674</v>
      </c>
      <c r="F514" s="9" t="s">
        <v>1504</v>
      </c>
      <c r="G514" s="9" t="s">
        <v>1505</v>
      </c>
      <c r="H514" s="9" t="s">
        <v>1506</v>
      </c>
      <c r="I514" s="10">
        <v>45518</v>
      </c>
    </row>
    <row r="515" spans="1:9" x14ac:dyDescent="0.15">
      <c r="A515" s="9">
        <v>514</v>
      </c>
      <c r="B515" s="9" t="s">
        <v>9</v>
      </c>
      <c r="C515" s="9">
        <v>1912</v>
      </c>
      <c r="D515" s="10">
        <v>45616</v>
      </c>
      <c r="E515" s="13" t="str">
        <f>+HYPERLINK("http://trademark.i-assist.jp/data/china/image_1912th/80368926.pdf","80368926")</f>
        <v>80368926</v>
      </c>
      <c r="F515" s="9" t="s">
        <v>1507</v>
      </c>
      <c r="G515" s="9" t="s">
        <v>1508</v>
      </c>
      <c r="H515" s="9" t="s">
        <v>1509</v>
      </c>
      <c r="I515" s="10">
        <v>45518</v>
      </c>
    </row>
    <row r="516" spans="1:9" x14ac:dyDescent="0.15">
      <c r="A516" s="9">
        <v>515</v>
      </c>
      <c r="B516" s="9" t="s">
        <v>9</v>
      </c>
      <c r="C516" s="9">
        <v>1912</v>
      </c>
      <c r="D516" s="10">
        <v>45616</v>
      </c>
      <c r="E516" s="13" t="str">
        <f>+HYPERLINK("http://trademark.i-assist.jp/data/china/image_1912th/80370065.pdf","80370065")</f>
        <v>80370065</v>
      </c>
      <c r="F516" s="12" t="s">
        <v>1510</v>
      </c>
      <c r="G516" s="9" t="s">
        <v>1511</v>
      </c>
      <c r="H516" s="9" t="s">
        <v>1512</v>
      </c>
      <c r="I516" s="10">
        <v>45518</v>
      </c>
    </row>
    <row r="517" spans="1:9" x14ac:dyDescent="0.15">
      <c r="A517" s="9">
        <v>516</v>
      </c>
      <c r="B517" s="9" t="s">
        <v>9</v>
      </c>
      <c r="C517" s="9">
        <v>1912</v>
      </c>
      <c r="D517" s="10">
        <v>45616</v>
      </c>
      <c r="E517" s="13" t="str">
        <f>+HYPERLINK("http://trademark.i-assist.jp/data/china/image_1912th/80371068.pdf","80371068")</f>
        <v>80371068</v>
      </c>
      <c r="F517" s="9" t="s">
        <v>1513</v>
      </c>
      <c r="G517" s="12" t="s">
        <v>1514</v>
      </c>
      <c r="H517" s="9" t="s">
        <v>1515</v>
      </c>
      <c r="I517" s="10">
        <v>45519</v>
      </c>
    </row>
    <row r="518" spans="1:9" x14ac:dyDescent="0.15">
      <c r="A518" s="9">
        <v>517</v>
      </c>
      <c r="B518" s="9" t="s">
        <v>9</v>
      </c>
      <c r="C518" s="9">
        <v>1912</v>
      </c>
      <c r="D518" s="10">
        <v>45616</v>
      </c>
      <c r="E518" s="13" t="str">
        <f>+HYPERLINK("http://trademark.i-assist.jp/data/china/image_1912th/80371210.pdf","80371210")</f>
        <v>80371210</v>
      </c>
      <c r="F518" s="9" t="s">
        <v>1516</v>
      </c>
      <c r="G518" s="9" t="s">
        <v>1517</v>
      </c>
      <c r="H518" s="9" t="s">
        <v>1518</v>
      </c>
      <c r="I518" s="10">
        <v>45519</v>
      </c>
    </row>
    <row r="519" spans="1:9" x14ac:dyDescent="0.15">
      <c r="A519" s="9">
        <v>518</v>
      </c>
      <c r="B519" s="9" t="s">
        <v>9</v>
      </c>
      <c r="C519" s="9">
        <v>1912</v>
      </c>
      <c r="D519" s="10">
        <v>45616</v>
      </c>
      <c r="E519" s="13" t="str">
        <f>+HYPERLINK("http://trademark.i-assist.jp/data/china/image_1912th/80372390.pdf","80372390")</f>
        <v>80372390</v>
      </c>
      <c r="F519" s="9" t="s">
        <v>1519</v>
      </c>
      <c r="G519" s="9" t="s">
        <v>1520</v>
      </c>
      <c r="H519" s="12" t="s">
        <v>1521</v>
      </c>
      <c r="I519" s="10">
        <v>45519</v>
      </c>
    </row>
    <row r="520" spans="1:9" x14ac:dyDescent="0.15">
      <c r="A520" s="9">
        <v>519</v>
      </c>
      <c r="B520" s="9" t="s">
        <v>9</v>
      </c>
      <c r="C520" s="9">
        <v>1912</v>
      </c>
      <c r="D520" s="10">
        <v>45616</v>
      </c>
      <c r="E520" s="13" t="str">
        <f>+HYPERLINK("http://trademark.i-assist.jp/data/china/image_1912th/80372806.pdf","80372806")</f>
        <v>80372806</v>
      </c>
      <c r="F520" s="9" t="s">
        <v>1522</v>
      </c>
      <c r="G520" s="12" t="s">
        <v>1523</v>
      </c>
      <c r="H520" s="9" t="s">
        <v>1524</v>
      </c>
      <c r="I520" s="10">
        <v>45519</v>
      </c>
    </row>
    <row r="521" spans="1:9" x14ac:dyDescent="0.15">
      <c r="A521" s="9">
        <v>520</v>
      </c>
      <c r="B521" s="9" t="s">
        <v>9</v>
      </c>
      <c r="C521" s="9">
        <v>1912</v>
      </c>
      <c r="D521" s="10">
        <v>45616</v>
      </c>
      <c r="E521" s="13" t="str">
        <f>+HYPERLINK("http://trademark.i-assist.jp/data/china/image_1912th/80373288.pdf","80373288")</f>
        <v>80373288</v>
      </c>
      <c r="F521" s="9" t="s">
        <v>1525</v>
      </c>
      <c r="G521" s="12" t="s">
        <v>1526</v>
      </c>
      <c r="H521" s="9" t="s">
        <v>1527</v>
      </c>
      <c r="I521" s="10">
        <v>45519</v>
      </c>
    </row>
    <row r="522" spans="1:9" x14ac:dyDescent="0.15">
      <c r="A522" s="9">
        <v>521</v>
      </c>
      <c r="B522" s="9" t="s">
        <v>9</v>
      </c>
      <c r="C522" s="9">
        <v>1912</v>
      </c>
      <c r="D522" s="10">
        <v>45616</v>
      </c>
      <c r="E522" s="13" t="str">
        <f>+HYPERLINK("http://trademark.i-assist.jp/data/china/image_1912th/80374524.pdf","80374524")</f>
        <v>80374524</v>
      </c>
      <c r="F522" s="9" t="s">
        <v>1528</v>
      </c>
      <c r="G522" s="12" t="s">
        <v>1529</v>
      </c>
      <c r="H522" s="12" t="s">
        <v>1530</v>
      </c>
      <c r="I522" s="10">
        <v>45519</v>
      </c>
    </row>
    <row r="523" spans="1:9" x14ac:dyDescent="0.15">
      <c r="A523" s="9">
        <v>522</v>
      </c>
      <c r="B523" s="9" t="s">
        <v>9</v>
      </c>
      <c r="C523" s="9">
        <v>1912</v>
      </c>
      <c r="D523" s="10">
        <v>45616</v>
      </c>
      <c r="E523" s="13" t="str">
        <f>+HYPERLINK("http://trademark.i-assist.jp/data/china/image_1912th/80374605.pdf","80374605")</f>
        <v>80374605</v>
      </c>
      <c r="F523" s="9" t="s">
        <v>1531</v>
      </c>
      <c r="G523" s="9" t="s">
        <v>1532</v>
      </c>
      <c r="H523" s="9" t="s">
        <v>1533</v>
      </c>
      <c r="I523" s="10">
        <v>45519</v>
      </c>
    </row>
    <row r="524" spans="1:9" x14ac:dyDescent="0.15">
      <c r="A524" s="9">
        <v>523</v>
      </c>
      <c r="B524" s="9" t="s">
        <v>9</v>
      </c>
      <c r="C524" s="9">
        <v>1912</v>
      </c>
      <c r="D524" s="10">
        <v>45616</v>
      </c>
      <c r="E524" s="13" t="str">
        <f>+HYPERLINK("http://trademark.i-assist.jp/data/china/image_1912th/80374720.pdf","80374720")</f>
        <v>80374720</v>
      </c>
      <c r="F524" s="12" t="s">
        <v>1534</v>
      </c>
      <c r="G524" s="9" t="s">
        <v>1535</v>
      </c>
      <c r="H524" s="9" t="s">
        <v>1536</v>
      </c>
      <c r="I524" s="10">
        <v>45519</v>
      </c>
    </row>
    <row r="525" spans="1:9" x14ac:dyDescent="0.15">
      <c r="A525" s="9">
        <v>524</v>
      </c>
      <c r="B525" s="9" t="s">
        <v>9</v>
      </c>
      <c r="C525" s="9">
        <v>1912</v>
      </c>
      <c r="D525" s="10">
        <v>45616</v>
      </c>
      <c r="E525" s="13" t="str">
        <f>+HYPERLINK("http://trademark.i-assist.jp/data/china/image_1912th/80374923.pdf","80374923")</f>
        <v>80374923</v>
      </c>
      <c r="F525" s="12" t="s">
        <v>1537</v>
      </c>
      <c r="G525" s="12" t="s">
        <v>1538</v>
      </c>
      <c r="H525" s="12" t="s">
        <v>1539</v>
      </c>
      <c r="I525" s="10">
        <v>45519</v>
      </c>
    </row>
    <row r="526" spans="1:9" x14ac:dyDescent="0.15">
      <c r="A526" s="9">
        <v>525</v>
      </c>
      <c r="B526" s="9" t="s">
        <v>9</v>
      </c>
      <c r="C526" s="9">
        <v>1912</v>
      </c>
      <c r="D526" s="10">
        <v>45616</v>
      </c>
      <c r="E526" s="13" t="str">
        <f>+HYPERLINK("http://trademark.i-assist.jp/data/china/image_1912th/80375957.pdf","80375957")</f>
        <v>80375957</v>
      </c>
      <c r="F526" s="9" t="s">
        <v>1540</v>
      </c>
      <c r="G526" s="12" t="s">
        <v>1541</v>
      </c>
      <c r="H526" s="12" t="s">
        <v>1542</v>
      </c>
      <c r="I526" s="10">
        <v>45519</v>
      </c>
    </row>
    <row r="527" spans="1:9" x14ac:dyDescent="0.15">
      <c r="A527" s="9">
        <v>526</v>
      </c>
      <c r="B527" s="9" t="s">
        <v>9</v>
      </c>
      <c r="C527" s="9">
        <v>1912</v>
      </c>
      <c r="D527" s="10">
        <v>45616</v>
      </c>
      <c r="E527" s="13" t="str">
        <f>+HYPERLINK("http://trademark.i-assist.jp/data/china/image_1912th/80377180.pdf","80377180")</f>
        <v>80377180</v>
      </c>
      <c r="F527" s="9" t="s">
        <v>1543</v>
      </c>
      <c r="G527" s="9" t="s">
        <v>1544</v>
      </c>
      <c r="H527" s="9" t="s">
        <v>1545</v>
      </c>
      <c r="I527" s="10">
        <v>45519</v>
      </c>
    </row>
    <row r="528" spans="1:9" x14ac:dyDescent="0.15">
      <c r="A528" s="9">
        <v>527</v>
      </c>
      <c r="B528" s="9" t="s">
        <v>9</v>
      </c>
      <c r="C528" s="9">
        <v>1912</v>
      </c>
      <c r="D528" s="10">
        <v>45616</v>
      </c>
      <c r="E528" s="13" t="str">
        <f>+HYPERLINK("http://trademark.i-assist.jp/data/china/image_1912th/80377342.pdf","80377342")</f>
        <v>80377342</v>
      </c>
      <c r="F528" s="12" t="s">
        <v>1546</v>
      </c>
      <c r="G528" s="12" t="s">
        <v>19</v>
      </c>
      <c r="H528" s="12" t="s">
        <v>1547</v>
      </c>
      <c r="I528" s="10">
        <v>45519</v>
      </c>
    </row>
    <row r="529" spans="1:9" x14ac:dyDescent="0.15">
      <c r="A529" s="9">
        <v>528</v>
      </c>
      <c r="B529" s="9" t="s">
        <v>9</v>
      </c>
      <c r="C529" s="9">
        <v>1912</v>
      </c>
      <c r="D529" s="10">
        <v>45616</v>
      </c>
      <c r="E529" s="13" t="str">
        <f>+HYPERLINK("http://trademark.i-assist.jp/data/china/image_1912th/80378646.pdf","80378646")</f>
        <v>80378646</v>
      </c>
      <c r="F529" s="9" t="s">
        <v>1548</v>
      </c>
      <c r="G529" s="12" t="s">
        <v>1523</v>
      </c>
      <c r="H529" s="9" t="s">
        <v>1549</v>
      </c>
      <c r="I529" s="10">
        <v>45519</v>
      </c>
    </row>
    <row r="530" spans="1:9" x14ac:dyDescent="0.15">
      <c r="A530" s="9">
        <v>529</v>
      </c>
      <c r="B530" s="9" t="s">
        <v>9</v>
      </c>
      <c r="C530" s="9">
        <v>1912</v>
      </c>
      <c r="D530" s="10">
        <v>45616</v>
      </c>
      <c r="E530" s="13" t="str">
        <f>+HYPERLINK("http://trademark.i-assist.jp/data/china/image_1912th/80379147.pdf","80379147")</f>
        <v>80379147</v>
      </c>
      <c r="F530" s="9" t="s">
        <v>1550</v>
      </c>
      <c r="G530" s="9" t="s">
        <v>1551</v>
      </c>
      <c r="H530" s="9" t="s">
        <v>1552</v>
      </c>
      <c r="I530" s="10">
        <v>45519</v>
      </c>
    </row>
    <row r="531" spans="1:9" x14ac:dyDescent="0.15">
      <c r="A531" s="9">
        <v>530</v>
      </c>
      <c r="B531" s="9" t="s">
        <v>9</v>
      </c>
      <c r="C531" s="9">
        <v>1912</v>
      </c>
      <c r="D531" s="10">
        <v>45616</v>
      </c>
      <c r="E531" s="13" t="str">
        <f>+HYPERLINK("http://trademark.i-assist.jp/data/china/image_1912th/80379503.pdf","80379503")</f>
        <v>80379503</v>
      </c>
      <c r="F531" s="12" t="s">
        <v>1553</v>
      </c>
      <c r="G531" s="9" t="s">
        <v>1554</v>
      </c>
      <c r="H531" s="9" t="s">
        <v>1555</v>
      </c>
      <c r="I531" s="10">
        <v>45519</v>
      </c>
    </row>
    <row r="532" spans="1:9" x14ac:dyDescent="0.15">
      <c r="A532" s="9">
        <v>531</v>
      </c>
      <c r="B532" s="9" t="s">
        <v>9</v>
      </c>
      <c r="C532" s="9">
        <v>1912</v>
      </c>
      <c r="D532" s="10">
        <v>45616</v>
      </c>
      <c r="E532" s="13" t="str">
        <f>+HYPERLINK("http://trademark.i-assist.jp/data/china/image_1912th/80379639.pdf","80379639")</f>
        <v>80379639</v>
      </c>
      <c r="F532" s="9" t="s">
        <v>1556</v>
      </c>
      <c r="G532" s="9" t="s">
        <v>1557</v>
      </c>
      <c r="H532" s="9" t="s">
        <v>1558</v>
      </c>
      <c r="I532" s="10">
        <v>45519</v>
      </c>
    </row>
    <row r="533" spans="1:9" x14ac:dyDescent="0.15">
      <c r="A533" s="9">
        <v>532</v>
      </c>
      <c r="B533" s="9" t="s">
        <v>9</v>
      </c>
      <c r="C533" s="9">
        <v>1912</v>
      </c>
      <c r="D533" s="10">
        <v>45616</v>
      </c>
      <c r="E533" s="13" t="str">
        <f>+HYPERLINK("http://trademark.i-assist.jp/data/china/image_1912th/80380664.pdf","80380664")</f>
        <v>80380664</v>
      </c>
      <c r="F533" s="9" t="s">
        <v>1559</v>
      </c>
      <c r="G533" s="9" t="s">
        <v>1560</v>
      </c>
      <c r="H533" s="9" t="s">
        <v>1561</v>
      </c>
      <c r="I533" s="10">
        <v>45519</v>
      </c>
    </row>
    <row r="534" spans="1:9" x14ac:dyDescent="0.15">
      <c r="A534" s="9">
        <v>533</v>
      </c>
      <c r="B534" s="9" t="s">
        <v>9</v>
      </c>
      <c r="C534" s="9">
        <v>1912</v>
      </c>
      <c r="D534" s="10">
        <v>45616</v>
      </c>
      <c r="E534" s="13" t="str">
        <f>+HYPERLINK("http://trademark.i-assist.jp/data/china/image_1912th/80381274.pdf","80381274")</f>
        <v>80381274</v>
      </c>
      <c r="F534" s="12" t="s">
        <v>15</v>
      </c>
      <c r="G534" s="9" t="s">
        <v>1562</v>
      </c>
      <c r="H534" s="9" t="s">
        <v>1563</v>
      </c>
      <c r="I534" s="10">
        <v>45519</v>
      </c>
    </row>
    <row r="535" spans="1:9" x14ac:dyDescent="0.15">
      <c r="A535" s="9">
        <v>534</v>
      </c>
      <c r="B535" s="9" t="s">
        <v>9</v>
      </c>
      <c r="C535" s="9">
        <v>1912</v>
      </c>
      <c r="D535" s="10">
        <v>45616</v>
      </c>
      <c r="E535" s="13" t="str">
        <f>+HYPERLINK("http://trademark.i-assist.jp/data/china/image_1912th/80381530.pdf","80381530")</f>
        <v>80381530</v>
      </c>
      <c r="F535" s="9" t="s">
        <v>1564</v>
      </c>
      <c r="G535" s="9" t="s">
        <v>1532</v>
      </c>
      <c r="H535" s="9" t="s">
        <v>1565</v>
      </c>
      <c r="I535" s="10">
        <v>45519</v>
      </c>
    </row>
    <row r="536" spans="1:9" x14ac:dyDescent="0.15">
      <c r="A536" s="9">
        <v>535</v>
      </c>
      <c r="B536" s="9" t="s">
        <v>9</v>
      </c>
      <c r="C536" s="9">
        <v>1912</v>
      </c>
      <c r="D536" s="10">
        <v>45616</v>
      </c>
      <c r="E536" s="13" t="str">
        <f>+HYPERLINK("http://trademark.i-assist.jp/data/china/image_1912th/80382073.pdf","80382073")</f>
        <v>80382073</v>
      </c>
      <c r="F536" s="9" t="s">
        <v>1566</v>
      </c>
      <c r="G536" s="9" t="s">
        <v>1567</v>
      </c>
      <c r="H536" s="9" t="s">
        <v>1568</v>
      </c>
      <c r="I536" s="10">
        <v>45519</v>
      </c>
    </row>
    <row r="537" spans="1:9" x14ac:dyDescent="0.15">
      <c r="A537" s="9">
        <v>536</v>
      </c>
      <c r="B537" s="9" t="s">
        <v>9</v>
      </c>
      <c r="C537" s="9">
        <v>1912</v>
      </c>
      <c r="D537" s="10">
        <v>45616</v>
      </c>
      <c r="E537" s="13" t="str">
        <f>+HYPERLINK("http://trademark.i-assist.jp/data/china/image_1912th/80382195.pdf","80382195")</f>
        <v>80382195</v>
      </c>
      <c r="F537" s="9" t="s">
        <v>1569</v>
      </c>
      <c r="G537" s="9" t="s">
        <v>1570</v>
      </c>
      <c r="H537" s="9" t="s">
        <v>1571</v>
      </c>
      <c r="I537" s="10">
        <v>45519</v>
      </c>
    </row>
    <row r="538" spans="1:9" x14ac:dyDescent="0.15">
      <c r="A538" s="9">
        <v>537</v>
      </c>
      <c r="B538" s="9" t="s">
        <v>9</v>
      </c>
      <c r="C538" s="9">
        <v>1912</v>
      </c>
      <c r="D538" s="10">
        <v>45616</v>
      </c>
      <c r="E538" s="13" t="str">
        <f>+HYPERLINK("http://trademark.i-assist.jp/data/china/image_1912th/80382833.pdf","80382833")</f>
        <v>80382833</v>
      </c>
      <c r="F538" s="12" t="s">
        <v>15</v>
      </c>
      <c r="G538" s="9" t="s">
        <v>1572</v>
      </c>
      <c r="H538" s="9" t="s">
        <v>1573</v>
      </c>
      <c r="I538" s="10">
        <v>45519</v>
      </c>
    </row>
    <row r="539" spans="1:9" x14ac:dyDescent="0.15">
      <c r="A539" s="9">
        <v>538</v>
      </c>
      <c r="B539" s="9" t="s">
        <v>9</v>
      </c>
      <c r="C539" s="9">
        <v>1912</v>
      </c>
      <c r="D539" s="10">
        <v>45616</v>
      </c>
      <c r="E539" s="13" t="str">
        <f>+HYPERLINK("http://trademark.i-assist.jp/data/china/image_1912th/80382867.pdf","80382867")</f>
        <v>80382867</v>
      </c>
      <c r="F539" s="9" t="s">
        <v>1574</v>
      </c>
      <c r="G539" s="9" t="s">
        <v>1575</v>
      </c>
      <c r="H539" s="12" t="s">
        <v>1576</v>
      </c>
      <c r="I539" s="10">
        <v>45519</v>
      </c>
    </row>
    <row r="540" spans="1:9" x14ac:dyDescent="0.15">
      <c r="A540" s="9">
        <v>539</v>
      </c>
      <c r="B540" s="9" t="s">
        <v>9</v>
      </c>
      <c r="C540" s="9">
        <v>1912</v>
      </c>
      <c r="D540" s="10">
        <v>45616</v>
      </c>
      <c r="E540" s="13" t="str">
        <f>+HYPERLINK("http://trademark.i-assist.jp/data/china/image_1912th/80383067.pdf","80383067")</f>
        <v>80383067</v>
      </c>
      <c r="F540" s="9" t="s">
        <v>1577</v>
      </c>
      <c r="G540" s="9" t="s">
        <v>1532</v>
      </c>
      <c r="H540" s="9" t="s">
        <v>1578</v>
      </c>
      <c r="I540" s="10">
        <v>45519</v>
      </c>
    </row>
    <row r="541" spans="1:9" x14ac:dyDescent="0.15">
      <c r="A541" s="9">
        <v>540</v>
      </c>
      <c r="B541" s="9" t="s">
        <v>9</v>
      </c>
      <c r="C541" s="9">
        <v>1912</v>
      </c>
      <c r="D541" s="10">
        <v>45616</v>
      </c>
      <c r="E541" s="13" t="str">
        <f>+HYPERLINK("http://trademark.i-assist.jp/data/china/image_1912th/80383273.pdf","80383273")</f>
        <v>80383273</v>
      </c>
      <c r="F541" s="9" t="s">
        <v>1579</v>
      </c>
      <c r="G541" s="9" t="s">
        <v>1580</v>
      </c>
      <c r="H541" s="9" t="s">
        <v>1581</v>
      </c>
      <c r="I541" s="10">
        <v>45519</v>
      </c>
    </row>
    <row r="542" spans="1:9" x14ac:dyDescent="0.15">
      <c r="A542" s="9">
        <v>541</v>
      </c>
      <c r="B542" s="9" t="s">
        <v>9</v>
      </c>
      <c r="C542" s="9">
        <v>1912</v>
      </c>
      <c r="D542" s="10">
        <v>45616</v>
      </c>
      <c r="E542" s="13" t="str">
        <f>+HYPERLINK("http://trademark.i-assist.jp/data/china/image_1912th/80384238.pdf","80384238")</f>
        <v>80384238</v>
      </c>
      <c r="F542" s="9" t="s">
        <v>1582</v>
      </c>
      <c r="G542" s="12" t="s">
        <v>1583</v>
      </c>
      <c r="H542" s="9" t="s">
        <v>1584</v>
      </c>
      <c r="I542" s="10">
        <v>45519</v>
      </c>
    </row>
    <row r="543" spans="1:9" x14ac:dyDescent="0.15">
      <c r="A543" s="9">
        <v>542</v>
      </c>
      <c r="B543" s="9" t="s">
        <v>9</v>
      </c>
      <c r="C543" s="9">
        <v>1912</v>
      </c>
      <c r="D543" s="10">
        <v>45616</v>
      </c>
      <c r="E543" s="13" t="str">
        <f>+HYPERLINK("http://trademark.i-assist.jp/data/china/image_1912th/80384670.pdf","80384670")</f>
        <v>80384670</v>
      </c>
      <c r="F543" s="9" t="s">
        <v>1585</v>
      </c>
      <c r="G543" s="9" t="s">
        <v>1586</v>
      </c>
      <c r="H543" s="9" t="s">
        <v>1587</v>
      </c>
      <c r="I543" s="10">
        <v>45519</v>
      </c>
    </row>
    <row r="544" spans="1:9" x14ac:dyDescent="0.15">
      <c r="A544" s="9">
        <v>543</v>
      </c>
      <c r="B544" s="9" t="s">
        <v>9</v>
      </c>
      <c r="C544" s="9">
        <v>1912</v>
      </c>
      <c r="D544" s="10">
        <v>45616</v>
      </c>
      <c r="E544" s="13" t="str">
        <f>+HYPERLINK("http://trademark.i-assist.jp/data/china/image_1912th/80384752.pdf","80384752")</f>
        <v>80384752</v>
      </c>
      <c r="F544" s="9" t="s">
        <v>1588</v>
      </c>
      <c r="G544" s="9" t="s">
        <v>1532</v>
      </c>
      <c r="H544" s="9" t="s">
        <v>1589</v>
      </c>
      <c r="I544" s="10">
        <v>45519</v>
      </c>
    </row>
    <row r="545" spans="1:9" x14ac:dyDescent="0.15">
      <c r="A545" s="9">
        <v>544</v>
      </c>
      <c r="B545" s="9" t="s">
        <v>9</v>
      </c>
      <c r="C545" s="9">
        <v>1912</v>
      </c>
      <c r="D545" s="10">
        <v>45616</v>
      </c>
      <c r="E545" s="13" t="str">
        <f>+HYPERLINK("http://trademark.i-assist.jp/data/china/image_1912th/80386583.pdf","80386583")</f>
        <v>80386583</v>
      </c>
      <c r="F545" s="9" t="s">
        <v>1590</v>
      </c>
      <c r="G545" s="9" t="s">
        <v>1591</v>
      </c>
      <c r="H545" s="9" t="s">
        <v>1592</v>
      </c>
      <c r="I545" s="10">
        <v>45519</v>
      </c>
    </row>
    <row r="546" spans="1:9" x14ac:dyDescent="0.15">
      <c r="A546" s="9">
        <v>545</v>
      </c>
      <c r="B546" s="9" t="s">
        <v>9</v>
      </c>
      <c r="C546" s="9">
        <v>1912</v>
      </c>
      <c r="D546" s="10">
        <v>45616</v>
      </c>
      <c r="E546" s="13" t="str">
        <f>+HYPERLINK("http://trademark.i-assist.jp/data/china/image_1912th/80389077.pdf","80389077")</f>
        <v>80389077</v>
      </c>
      <c r="F546" s="9" t="s">
        <v>1593</v>
      </c>
      <c r="G546" s="12" t="s">
        <v>1594</v>
      </c>
      <c r="H546" s="9" t="s">
        <v>1595</v>
      </c>
      <c r="I546" s="10">
        <v>45519</v>
      </c>
    </row>
    <row r="547" spans="1:9" x14ac:dyDescent="0.15">
      <c r="A547" s="9">
        <v>546</v>
      </c>
      <c r="B547" s="9" t="s">
        <v>9</v>
      </c>
      <c r="C547" s="9">
        <v>1912</v>
      </c>
      <c r="D547" s="10">
        <v>45616</v>
      </c>
      <c r="E547" s="13" t="str">
        <f>+HYPERLINK("http://trademark.i-assist.jp/data/china/image_1912th/80391402.pdf","80391402")</f>
        <v>80391402</v>
      </c>
      <c r="F547" s="9" t="s">
        <v>1596</v>
      </c>
      <c r="G547" s="9" t="s">
        <v>1597</v>
      </c>
      <c r="H547" s="9" t="s">
        <v>1598</v>
      </c>
      <c r="I547" s="10">
        <v>45519</v>
      </c>
    </row>
    <row r="548" spans="1:9" x14ac:dyDescent="0.15">
      <c r="A548" s="9">
        <v>547</v>
      </c>
      <c r="B548" s="9" t="s">
        <v>9</v>
      </c>
      <c r="C548" s="9">
        <v>1912</v>
      </c>
      <c r="D548" s="10">
        <v>45616</v>
      </c>
      <c r="E548" s="13" t="str">
        <f>+HYPERLINK("http://trademark.i-assist.jp/data/china/image_1912th/80391990.pdf","80391990")</f>
        <v>80391990</v>
      </c>
      <c r="F548" s="9" t="s">
        <v>1599</v>
      </c>
      <c r="G548" s="9" t="s">
        <v>1600</v>
      </c>
      <c r="H548" s="9" t="s">
        <v>1601</v>
      </c>
      <c r="I548" s="10">
        <v>45519</v>
      </c>
    </row>
    <row r="549" spans="1:9" x14ac:dyDescent="0.15">
      <c r="A549" s="9">
        <v>548</v>
      </c>
      <c r="B549" s="9" t="s">
        <v>9</v>
      </c>
      <c r="C549" s="9">
        <v>1912</v>
      </c>
      <c r="D549" s="10">
        <v>45616</v>
      </c>
      <c r="E549" s="13" t="str">
        <f>+HYPERLINK("http://trademark.i-assist.jp/data/china/image_1912th/80392319.pdf","80392319")</f>
        <v>80392319</v>
      </c>
      <c r="F549" s="9" t="s">
        <v>1602</v>
      </c>
      <c r="G549" s="9" t="s">
        <v>1603</v>
      </c>
      <c r="H549" s="9" t="s">
        <v>1604</v>
      </c>
      <c r="I549" s="10">
        <v>45519</v>
      </c>
    </row>
    <row r="550" spans="1:9" x14ac:dyDescent="0.15">
      <c r="A550" s="9">
        <v>549</v>
      </c>
      <c r="B550" s="9" t="s">
        <v>9</v>
      </c>
      <c r="C550" s="9">
        <v>1912</v>
      </c>
      <c r="D550" s="10">
        <v>45616</v>
      </c>
      <c r="E550" s="13" t="str">
        <f>+HYPERLINK("http://trademark.i-assist.jp/data/china/image_1912th/80393039.pdf","80393039")</f>
        <v>80393039</v>
      </c>
      <c r="F550" s="9" t="s">
        <v>1605</v>
      </c>
      <c r="G550" s="9" t="s">
        <v>1606</v>
      </c>
      <c r="H550" s="9" t="s">
        <v>1607</v>
      </c>
      <c r="I550" s="10">
        <v>45519</v>
      </c>
    </row>
    <row r="551" spans="1:9" x14ac:dyDescent="0.15">
      <c r="A551" s="9">
        <v>550</v>
      </c>
      <c r="B551" s="9" t="s">
        <v>9</v>
      </c>
      <c r="C551" s="9">
        <v>1912</v>
      </c>
      <c r="D551" s="10">
        <v>45616</v>
      </c>
      <c r="E551" s="13" t="str">
        <f>+HYPERLINK("http://trademark.i-assist.jp/data/china/image_1912th/80393289.pdf","80393289")</f>
        <v>80393289</v>
      </c>
      <c r="F551" s="9" t="s">
        <v>1608</v>
      </c>
      <c r="G551" s="9" t="s">
        <v>1609</v>
      </c>
      <c r="H551" s="9" t="s">
        <v>1610</v>
      </c>
      <c r="I551" s="10">
        <v>45520</v>
      </c>
    </row>
    <row r="552" spans="1:9" x14ac:dyDescent="0.15">
      <c r="A552" s="9">
        <v>551</v>
      </c>
      <c r="B552" s="9" t="s">
        <v>9</v>
      </c>
      <c r="C552" s="9">
        <v>1912</v>
      </c>
      <c r="D552" s="10">
        <v>45616</v>
      </c>
      <c r="E552" s="13" t="str">
        <f>+HYPERLINK("http://trademark.i-assist.jp/data/china/image_1912th/80393554.pdf","80393554")</f>
        <v>80393554</v>
      </c>
      <c r="F552" s="9" t="s">
        <v>1611</v>
      </c>
      <c r="G552" s="9" t="s">
        <v>1612</v>
      </c>
      <c r="H552" s="9" t="s">
        <v>1613</v>
      </c>
      <c r="I552" s="10">
        <v>45520</v>
      </c>
    </row>
    <row r="553" spans="1:9" x14ac:dyDescent="0.15">
      <c r="A553" s="9">
        <v>552</v>
      </c>
      <c r="B553" s="9" t="s">
        <v>9</v>
      </c>
      <c r="C553" s="9">
        <v>1912</v>
      </c>
      <c r="D553" s="10">
        <v>45616</v>
      </c>
      <c r="E553" s="13" t="str">
        <f>+HYPERLINK("http://trademark.i-assist.jp/data/china/image_1912th/80394140.pdf","80394140")</f>
        <v>80394140</v>
      </c>
      <c r="F553" s="12" t="s">
        <v>1614</v>
      </c>
      <c r="G553" s="12" t="s">
        <v>1615</v>
      </c>
      <c r="H553" s="9" t="s">
        <v>1616</v>
      </c>
      <c r="I553" s="10">
        <v>45520</v>
      </c>
    </row>
    <row r="554" spans="1:9" x14ac:dyDescent="0.15">
      <c r="A554" s="9">
        <v>553</v>
      </c>
      <c r="B554" s="9" t="s">
        <v>9</v>
      </c>
      <c r="C554" s="9">
        <v>1912</v>
      </c>
      <c r="D554" s="10">
        <v>45616</v>
      </c>
      <c r="E554" s="13" t="str">
        <f>+HYPERLINK("http://trademark.i-assist.jp/data/china/image_1912th/80394301.pdf","80394301")</f>
        <v>80394301</v>
      </c>
      <c r="F554" s="9" t="s">
        <v>1617</v>
      </c>
      <c r="G554" s="9" t="s">
        <v>72</v>
      </c>
      <c r="H554" s="9" t="s">
        <v>1618</v>
      </c>
      <c r="I554" s="10">
        <v>45520</v>
      </c>
    </row>
    <row r="555" spans="1:9" x14ac:dyDescent="0.15">
      <c r="A555" s="9">
        <v>554</v>
      </c>
      <c r="B555" s="9" t="s">
        <v>9</v>
      </c>
      <c r="C555" s="9">
        <v>1912</v>
      </c>
      <c r="D555" s="10">
        <v>45616</v>
      </c>
      <c r="E555" s="13" t="str">
        <f>+HYPERLINK("http://trademark.i-assist.jp/data/china/image_1912th/80394306.pdf","80394306")</f>
        <v>80394306</v>
      </c>
      <c r="F555" s="9" t="s">
        <v>1619</v>
      </c>
      <c r="G555" s="9" t="s">
        <v>72</v>
      </c>
      <c r="H555" s="9" t="s">
        <v>1620</v>
      </c>
      <c r="I555" s="10">
        <v>45520</v>
      </c>
    </row>
    <row r="556" spans="1:9" x14ac:dyDescent="0.15">
      <c r="A556" s="9">
        <v>555</v>
      </c>
      <c r="B556" s="9" t="s">
        <v>9</v>
      </c>
      <c r="C556" s="9">
        <v>1912</v>
      </c>
      <c r="D556" s="10">
        <v>45616</v>
      </c>
      <c r="E556" s="13" t="str">
        <f>+HYPERLINK("http://trademark.i-assist.jp/data/china/image_1912th/80394430.pdf","80394430")</f>
        <v>80394430</v>
      </c>
      <c r="F556" s="12" t="s">
        <v>1621</v>
      </c>
      <c r="G556" s="9" t="s">
        <v>1622</v>
      </c>
      <c r="H556" s="9" t="s">
        <v>1623</v>
      </c>
      <c r="I556" s="10">
        <v>45520</v>
      </c>
    </row>
    <row r="557" spans="1:9" x14ac:dyDescent="0.15">
      <c r="A557" s="9">
        <v>556</v>
      </c>
      <c r="B557" s="9" t="s">
        <v>9</v>
      </c>
      <c r="C557" s="9">
        <v>1912</v>
      </c>
      <c r="D557" s="10">
        <v>45616</v>
      </c>
      <c r="E557" s="13" t="str">
        <f>+HYPERLINK("http://trademark.i-assist.jp/data/china/image_1912th/80394803.pdf","80394803")</f>
        <v>80394803</v>
      </c>
      <c r="F557" s="9" t="s">
        <v>1624</v>
      </c>
      <c r="G557" s="12" t="s">
        <v>1625</v>
      </c>
      <c r="H557" s="9" t="s">
        <v>1626</v>
      </c>
      <c r="I557" s="10">
        <v>45520</v>
      </c>
    </row>
    <row r="558" spans="1:9" x14ac:dyDescent="0.15">
      <c r="A558" s="9">
        <v>557</v>
      </c>
      <c r="B558" s="9" t="s">
        <v>9</v>
      </c>
      <c r="C558" s="9">
        <v>1912</v>
      </c>
      <c r="D558" s="10">
        <v>45616</v>
      </c>
      <c r="E558" s="13" t="str">
        <f>+HYPERLINK("http://trademark.i-assist.jp/data/china/image_1912th/80396360.pdf","80396360")</f>
        <v>80396360</v>
      </c>
      <c r="F558" s="9" t="s">
        <v>1627</v>
      </c>
      <c r="G558" s="9" t="s">
        <v>72</v>
      </c>
      <c r="H558" s="9" t="s">
        <v>1628</v>
      </c>
      <c r="I558" s="10">
        <v>45520</v>
      </c>
    </row>
    <row r="559" spans="1:9" x14ac:dyDescent="0.15">
      <c r="A559" s="9">
        <v>558</v>
      </c>
      <c r="B559" s="9" t="s">
        <v>9</v>
      </c>
      <c r="C559" s="9">
        <v>1912</v>
      </c>
      <c r="D559" s="10">
        <v>45616</v>
      </c>
      <c r="E559" s="13" t="str">
        <f>+HYPERLINK("http://trademark.i-assist.jp/data/china/image_1912th/80396492.pdf","80396492")</f>
        <v>80396492</v>
      </c>
      <c r="F559" s="12" t="s">
        <v>1629</v>
      </c>
      <c r="G559" s="9" t="s">
        <v>1630</v>
      </c>
      <c r="H559" s="9" t="s">
        <v>1631</v>
      </c>
      <c r="I559" s="10">
        <v>45520</v>
      </c>
    </row>
    <row r="560" spans="1:9" x14ac:dyDescent="0.15">
      <c r="A560" s="9">
        <v>559</v>
      </c>
      <c r="B560" s="9" t="s">
        <v>9</v>
      </c>
      <c r="C560" s="9">
        <v>1912</v>
      </c>
      <c r="D560" s="10">
        <v>45616</v>
      </c>
      <c r="E560" s="13" t="str">
        <f>+HYPERLINK("http://trademark.i-assist.jp/data/china/image_1912th/80396813.pdf","80396813")</f>
        <v>80396813</v>
      </c>
      <c r="F560" s="12" t="s">
        <v>1632</v>
      </c>
      <c r="G560" s="12" t="s">
        <v>721</v>
      </c>
      <c r="H560" s="9" t="s">
        <v>1633</v>
      </c>
      <c r="I560" s="10">
        <v>45520</v>
      </c>
    </row>
    <row r="561" spans="1:9" x14ac:dyDescent="0.15">
      <c r="A561" s="9">
        <v>560</v>
      </c>
      <c r="B561" s="9" t="s">
        <v>9</v>
      </c>
      <c r="C561" s="9">
        <v>1912</v>
      </c>
      <c r="D561" s="10">
        <v>45616</v>
      </c>
      <c r="E561" s="13" t="str">
        <f>+HYPERLINK("http://trademark.i-assist.jp/data/china/image_1912th/80396830.pdf","80396830")</f>
        <v>80396830</v>
      </c>
      <c r="F561" s="9" t="s">
        <v>1634</v>
      </c>
      <c r="G561" s="12" t="s">
        <v>721</v>
      </c>
      <c r="H561" s="9" t="s">
        <v>1635</v>
      </c>
      <c r="I561" s="10">
        <v>45520</v>
      </c>
    </row>
    <row r="562" spans="1:9" x14ac:dyDescent="0.15">
      <c r="A562" s="9">
        <v>561</v>
      </c>
      <c r="B562" s="9" t="s">
        <v>9</v>
      </c>
      <c r="C562" s="9">
        <v>1912</v>
      </c>
      <c r="D562" s="10">
        <v>45616</v>
      </c>
      <c r="E562" s="13" t="str">
        <f>+HYPERLINK("http://trademark.i-assist.jp/data/china/image_1912th/80397000.pdf","80397000")</f>
        <v>80397000</v>
      </c>
      <c r="F562" s="9" t="s">
        <v>1636</v>
      </c>
      <c r="G562" s="9" t="s">
        <v>1637</v>
      </c>
      <c r="H562" s="9" t="s">
        <v>1638</v>
      </c>
      <c r="I562" s="10">
        <v>45520</v>
      </c>
    </row>
    <row r="563" spans="1:9" x14ac:dyDescent="0.15">
      <c r="A563" s="9">
        <v>562</v>
      </c>
      <c r="B563" s="9" t="s">
        <v>9</v>
      </c>
      <c r="C563" s="9">
        <v>1912</v>
      </c>
      <c r="D563" s="10">
        <v>45616</v>
      </c>
      <c r="E563" s="13" t="str">
        <f>+HYPERLINK("http://trademark.i-assist.jp/data/china/image_1912th/80397376.pdf","80397376")</f>
        <v>80397376</v>
      </c>
      <c r="F563" s="9" t="s">
        <v>1639</v>
      </c>
      <c r="G563" s="9" t="s">
        <v>1640</v>
      </c>
      <c r="H563" s="12" t="s">
        <v>1641</v>
      </c>
      <c r="I563" s="10">
        <v>45520</v>
      </c>
    </row>
    <row r="564" spans="1:9" x14ac:dyDescent="0.15">
      <c r="A564" s="9">
        <v>563</v>
      </c>
      <c r="B564" s="9" t="s">
        <v>9</v>
      </c>
      <c r="C564" s="9">
        <v>1912</v>
      </c>
      <c r="D564" s="10">
        <v>45616</v>
      </c>
      <c r="E564" s="13" t="str">
        <f>+HYPERLINK("http://trademark.i-assist.jp/data/china/image_1912th/80397826.pdf","80397826")</f>
        <v>80397826</v>
      </c>
      <c r="F564" s="12" t="s">
        <v>1642</v>
      </c>
      <c r="G564" s="12" t="s">
        <v>1643</v>
      </c>
      <c r="H564" s="9" t="s">
        <v>1644</v>
      </c>
      <c r="I564" s="10">
        <v>45520</v>
      </c>
    </row>
    <row r="565" spans="1:9" x14ac:dyDescent="0.15">
      <c r="A565" s="9">
        <v>564</v>
      </c>
      <c r="B565" s="9" t="s">
        <v>9</v>
      </c>
      <c r="C565" s="9">
        <v>1912</v>
      </c>
      <c r="D565" s="10">
        <v>45616</v>
      </c>
      <c r="E565" s="13" t="str">
        <f>+HYPERLINK("http://trademark.i-assist.jp/data/china/image_1912th/80398421.pdf","80398421")</f>
        <v>80398421</v>
      </c>
      <c r="F565" s="12" t="s">
        <v>1645</v>
      </c>
      <c r="G565" s="9" t="s">
        <v>1646</v>
      </c>
      <c r="H565" s="9" t="s">
        <v>1647</v>
      </c>
      <c r="I565" s="10">
        <v>45520</v>
      </c>
    </row>
    <row r="566" spans="1:9" x14ac:dyDescent="0.15">
      <c r="A566" s="9">
        <v>565</v>
      </c>
      <c r="B566" s="9" t="s">
        <v>9</v>
      </c>
      <c r="C566" s="9">
        <v>1912</v>
      </c>
      <c r="D566" s="10">
        <v>45616</v>
      </c>
      <c r="E566" s="13" t="str">
        <f>+HYPERLINK("http://trademark.i-assist.jp/data/china/image_1912th/80398982.pdf","80398982")</f>
        <v>80398982</v>
      </c>
      <c r="F566" s="12" t="s">
        <v>15</v>
      </c>
      <c r="G566" s="9" t="s">
        <v>41</v>
      </c>
      <c r="H566" s="9" t="s">
        <v>1648</v>
      </c>
      <c r="I566" s="10">
        <v>45520</v>
      </c>
    </row>
    <row r="567" spans="1:9" x14ac:dyDescent="0.15">
      <c r="A567" s="9">
        <v>566</v>
      </c>
      <c r="B567" s="9" t="s">
        <v>9</v>
      </c>
      <c r="C567" s="9">
        <v>1912</v>
      </c>
      <c r="D567" s="10">
        <v>45616</v>
      </c>
      <c r="E567" s="13" t="str">
        <f>+HYPERLINK("http://trademark.i-assist.jp/data/china/image_1912th/80399556.pdf","80399556")</f>
        <v>80399556</v>
      </c>
      <c r="F567" s="9" t="s">
        <v>1649</v>
      </c>
      <c r="G567" s="9" t="s">
        <v>1650</v>
      </c>
      <c r="H567" s="9" t="s">
        <v>1651</v>
      </c>
      <c r="I567" s="10">
        <v>45520</v>
      </c>
    </row>
    <row r="568" spans="1:9" x14ac:dyDescent="0.15">
      <c r="A568" s="9">
        <v>567</v>
      </c>
      <c r="B568" s="9" t="s">
        <v>9</v>
      </c>
      <c r="C568" s="9">
        <v>1912</v>
      </c>
      <c r="D568" s="10">
        <v>45616</v>
      </c>
      <c r="E568" s="13" t="str">
        <f>+HYPERLINK("http://trademark.i-assist.jp/data/china/image_1912th/80400480.pdf","80400480")</f>
        <v>80400480</v>
      </c>
      <c r="F568" s="9" t="s">
        <v>1652</v>
      </c>
      <c r="G568" s="12" t="s">
        <v>1653</v>
      </c>
      <c r="H568" s="9" t="s">
        <v>1654</v>
      </c>
      <c r="I568" s="10">
        <v>45520</v>
      </c>
    </row>
    <row r="569" spans="1:9" x14ac:dyDescent="0.15">
      <c r="A569" s="9">
        <v>568</v>
      </c>
      <c r="B569" s="9" t="s">
        <v>9</v>
      </c>
      <c r="C569" s="9">
        <v>1912</v>
      </c>
      <c r="D569" s="10">
        <v>45616</v>
      </c>
      <c r="E569" s="13" t="str">
        <f>+HYPERLINK("http://trademark.i-assist.jp/data/china/image_1912th/80400624.pdf","80400624")</f>
        <v>80400624</v>
      </c>
      <c r="F569" s="9" t="s">
        <v>1655</v>
      </c>
      <c r="G569" s="9" t="s">
        <v>1656</v>
      </c>
      <c r="H569" s="12" t="s">
        <v>1657</v>
      </c>
      <c r="I569" s="10">
        <v>45520</v>
      </c>
    </row>
    <row r="570" spans="1:9" x14ac:dyDescent="0.15">
      <c r="A570" s="9">
        <v>569</v>
      </c>
      <c r="B570" s="9" t="s">
        <v>9</v>
      </c>
      <c r="C570" s="9">
        <v>1912</v>
      </c>
      <c r="D570" s="10">
        <v>45616</v>
      </c>
      <c r="E570" s="13" t="str">
        <f>+HYPERLINK("http://trademark.i-assist.jp/data/china/image_1912th/80400793.pdf","80400793")</f>
        <v>80400793</v>
      </c>
      <c r="F570" s="9" t="s">
        <v>1658</v>
      </c>
      <c r="G570" s="12" t="s">
        <v>1659</v>
      </c>
      <c r="H570" s="9" t="s">
        <v>1660</v>
      </c>
      <c r="I570" s="10">
        <v>45520</v>
      </c>
    </row>
    <row r="571" spans="1:9" x14ac:dyDescent="0.15">
      <c r="A571" s="9">
        <v>570</v>
      </c>
      <c r="B571" s="9" t="s">
        <v>9</v>
      </c>
      <c r="C571" s="9">
        <v>1912</v>
      </c>
      <c r="D571" s="10">
        <v>45616</v>
      </c>
      <c r="E571" s="13" t="str">
        <f>+HYPERLINK("http://trademark.i-assist.jp/data/china/image_1912th/80400842.pdf","80400842")</f>
        <v>80400842</v>
      </c>
      <c r="F571" s="12" t="s">
        <v>1661</v>
      </c>
      <c r="G571" s="9" t="s">
        <v>1662</v>
      </c>
      <c r="H571" s="9" t="s">
        <v>1663</v>
      </c>
      <c r="I571" s="10">
        <v>45520</v>
      </c>
    </row>
    <row r="572" spans="1:9" x14ac:dyDescent="0.15">
      <c r="A572" s="9">
        <v>571</v>
      </c>
      <c r="B572" s="9" t="s">
        <v>9</v>
      </c>
      <c r="C572" s="9">
        <v>1912</v>
      </c>
      <c r="D572" s="10">
        <v>45616</v>
      </c>
      <c r="E572" s="13" t="str">
        <f>+HYPERLINK("http://trademark.i-assist.jp/data/china/image_1912th/80401396.pdf","80401396")</f>
        <v>80401396</v>
      </c>
      <c r="F572" s="9" t="s">
        <v>1664</v>
      </c>
      <c r="G572" s="9" t="s">
        <v>1665</v>
      </c>
      <c r="H572" s="12" t="s">
        <v>1666</v>
      </c>
      <c r="I572" s="10">
        <v>45520</v>
      </c>
    </row>
    <row r="573" spans="1:9" x14ac:dyDescent="0.15">
      <c r="A573" s="9">
        <v>572</v>
      </c>
      <c r="B573" s="9" t="s">
        <v>9</v>
      </c>
      <c r="C573" s="9">
        <v>1912</v>
      </c>
      <c r="D573" s="10">
        <v>45616</v>
      </c>
      <c r="E573" s="13" t="str">
        <f>+HYPERLINK("http://trademark.i-assist.jp/data/china/image_1912th/80401433.pdf","80401433")</f>
        <v>80401433</v>
      </c>
      <c r="F573" s="9" t="s">
        <v>1667</v>
      </c>
      <c r="G573" s="12" t="s">
        <v>1668</v>
      </c>
      <c r="H573" s="9" t="s">
        <v>1669</v>
      </c>
      <c r="I573" s="10">
        <v>45520</v>
      </c>
    </row>
    <row r="574" spans="1:9" x14ac:dyDescent="0.15">
      <c r="A574" s="9">
        <v>573</v>
      </c>
      <c r="B574" s="9" t="s">
        <v>9</v>
      </c>
      <c r="C574" s="9">
        <v>1912</v>
      </c>
      <c r="D574" s="10">
        <v>45616</v>
      </c>
      <c r="E574" s="13" t="str">
        <f>+HYPERLINK("http://trademark.i-assist.jp/data/china/image_1912th/80401835.pdf","80401835")</f>
        <v>80401835</v>
      </c>
      <c r="F574" s="9" t="s">
        <v>1670</v>
      </c>
      <c r="G574" s="9" t="s">
        <v>1671</v>
      </c>
      <c r="H574" s="9" t="s">
        <v>1672</v>
      </c>
      <c r="I574" s="10">
        <v>45520</v>
      </c>
    </row>
    <row r="575" spans="1:9" x14ac:dyDescent="0.15">
      <c r="A575" s="9">
        <v>574</v>
      </c>
      <c r="B575" s="9" t="s">
        <v>9</v>
      </c>
      <c r="C575" s="9">
        <v>1912</v>
      </c>
      <c r="D575" s="10">
        <v>45616</v>
      </c>
      <c r="E575" s="13" t="str">
        <f>+HYPERLINK("http://trademark.i-assist.jp/data/china/image_1912th/80402530.pdf","80402530")</f>
        <v>80402530</v>
      </c>
      <c r="F575" s="12" t="s">
        <v>15</v>
      </c>
      <c r="G575" s="9" t="s">
        <v>1673</v>
      </c>
      <c r="H575" s="9" t="s">
        <v>1674</v>
      </c>
      <c r="I575" s="10">
        <v>45520</v>
      </c>
    </row>
    <row r="576" spans="1:9" x14ac:dyDescent="0.15">
      <c r="A576" s="9">
        <v>575</v>
      </c>
      <c r="B576" s="9" t="s">
        <v>9</v>
      </c>
      <c r="C576" s="9">
        <v>1912</v>
      </c>
      <c r="D576" s="10">
        <v>45616</v>
      </c>
      <c r="E576" s="13" t="str">
        <f>+HYPERLINK("http://trademark.i-assist.jp/data/china/image_1912th/80402644.pdf","80402644")</f>
        <v>80402644</v>
      </c>
      <c r="F576" s="9" t="s">
        <v>1675</v>
      </c>
      <c r="G576" s="9" t="s">
        <v>1676</v>
      </c>
      <c r="H576" s="9" t="s">
        <v>1677</v>
      </c>
      <c r="I576" s="10">
        <v>45520</v>
      </c>
    </row>
    <row r="577" spans="1:9" x14ac:dyDescent="0.15">
      <c r="A577" s="9">
        <v>576</v>
      </c>
      <c r="B577" s="9" t="s">
        <v>9</v>
      </c>
      <c r="C577" s="9">
        <v>1912</v>
      </c>
      <c r="D577" s="10">
        <v>45616</v>
      </c>
      <c r="E577" s="13" t="str">
        <f>+HYPERLINK("http://trademark.i-assist.jp/data/china/image_1912th/80402661.pdf","80402661")</f>
        <v>80402661</v>
      </c>
      <c r="F577" s="9" t="s">
        <v>1678</v>
      </c>
      <c r="G577" s="9" t="s">
        <v>1679</v>
      </c>
      <c r="H577" s="9" t="s">
        <v>1680</v>
      </c>
      <c r="I577" s="10">
        <v>45520</v>
      </c>
    </row>
    <row r="578" spans="1:9" x14ac:dyDescent="0.15">
      <c r="A578" s="9">
        <v>577</v>
      </c>
      <c r="B578" s="9" t="s">
        <v>9</v>
      </c>
      <c r="C578" s="9">
        <v>1912</v>
      </c>
      <c r="D578" s="10">
        <v>45616</v>
      </c>
      <c r="E578" s="13" t="str">
        <f>+HYPERLINK("http://trademark.i-assist.jp/data/china/image_1912th/80402903.pdf","80402903")</f>
        <v>80402903</v>
      </c>
      <c r="F578" s="9" t="s">
        <v>1681</v>
      </c>
      <c r="G578" s="9" t="s">
        <v>1682</v>
      </c>
      <c r="H578" s="9" t="s">
        <v>1683</v>
      </c>
      <c r="I578" s="10">
        <v>45520</v>
      </c>
    </row>
    <row r="579" spans="1:9" x14ac:dyDescent="0.15">
      <c r="A579" s="9">
        <v>578</v>
      </c>
      <c r="B579" s="9" t="s">
        <v>9</v>
      </c>
      <c r="C579" s="9">
        <v>1912</v>
      </c>
      <c r="D579" s="10">
        <v>45616</v>
      </c>
      <c r="E579" s="13" t="str">
        <f>+HYPERLINK("http://trademark.i-assist.jp/data/china/image_1912th/80403433.pdf","80403433")</f>
        <v>80403433</v>
      </c>
      <c r="F579" s="9" t="s">
        <v>1684</v>
      </c>
      <c r="G579" s="12" t="s">
        <v>1685</v>
      </c>
      <c r="H579" s="9" t="s">
        <v>1686</v>
      </c>
      <c r="I579" s="10">
        <v>45520</v>
      </c>
    </row>
    <row r="580" spans="1:9" x14ac:dyDescent="0.15">
      <c r="A580" s="9">
        <v>579</v>
      </c>
      <c r="B580" s="9" t="s">
        <v>9</v>
      </c>
      <c r="C580" s="9">
        <v>1912</v>
      </c>
      <c r="D580" s="10">
        <v>45616</v>
      </c>
      <c r="E580" s="13" t="str">
        <f>+HYPERLINK("http://trademark.i-assist.jp/data/china/image_1912th/80404424.pdf","80404424")</f>
        <v>80404424</v>
      </c>
      <c r="F580" s="9" t="s">
        <v>1687</v>
      </c>
      <c r="G580" s="12" t="s">
        <v>721</v>
      </c>
      <c r="H580" s="9" t="s">
        <v>1688</v>
      </c>
      <c r="I580" s="10">
        <v>45520</v>
      </c>
    </row>
    <row r="581" spans="1:9" x14ac:dyDescent="0.15">
      <c r="A581" s="9">
        <v>580</v>
      </c>
      <c r="B581" s="9" t="s">
        <v>9</v>
      </c>
      <c r="C581" s="9">
        <v>1912</v>
      </c>
      <c r="D581" s="10">
        <v>45616</v>
      </c>
      <c r="E581" s="13" t="str">
        <f>+HYPERLINK("http://trademark.i-assist.jp/data/china/image_1912th/80404620.pdf","80404620")</f>
        <v>80404620</v>
      </c>
      <c r="F581" s="9" t="s">
        <v>1689</v>
      </c>
      <c r="G581" s="9" t="s">
        <v>1679</v>
      </c>
      <c r="H581" s="9" t="s">
        <v>1690</v>
      </c>
      <c r="I581" s="10">
        <v>45520</v>
      </c>
    </row>
    <row r="582" spans="1:9" x14ac:dyDescent="0.15">
      <c r="A582" s="9">
        <v>581</v>
      </c>
      <c r="B582" s="9" t="s">
        <v>9</v>
      </c>
      <c r="C582" s="9">
        <v>1912</v>
      </c>
      <c r="D582" s="10">
        <v>45616</v>
      </c>
      <c r="E582" s="13" t="str">
        <f>+HYPERLINK("http://trademark.i-assist.jp/data/china/image_1912th/80404796.pdf","80404796")</f>
        <v>80404796</v>
      </c>
      <c r="F582" s="9" t="s">
        <v>1691</v>
      </c>
      <c r="G582" s="9" t="s">
        <v>1692</v>
      </c>
      <c r="H582" s="9" t="s">
        <v>1693</v>
      </c>
      <c r="I582" s="10">
        <v>45520</v>
      </c>
    </row>
    <row r="583" spans="1:9" x14ac:dyDescent="0.15">
      <c r="A583" s="9">
        <v>582</v>
      </c>
      <c r="B583" s="9" t="s">
        <v>9</v>
      </c>
      <c r="C583" s="9">
        <v>1912</v>
      </c>
      <c r="D583" s="10">
        <v>45616</v>
      </c>
      <c r="E583" s="13" t="str">
        <f>+HYPERLINK("http://trademark.i-assist.jp/data/china/image_1912th/80405125.pdf","80405125")</f>
        <v>80405125</v>
      </c>
      <c r="F583" s="9" t="s">
        <v>1694</v>
      </c>
      <c r="G583" s="9" t="s">
        <v>72</v>
      </c>
      <c r="H583" s="9" t="s">
        <v>1695</v>
      </c>
      <c r="I583" s="10">
        <v>45520</v>
      </c>
    </row>
    <row r="584" spans="1:9" x14ac:dyDescent="0.15">
      <c r="A584" s="9">
        <v>583</v>
      </c>
      <c r="B584" s="9" t="s">
        <v>9</v>
      </c>
      <c r="C584" s="9">
        <v>1912</v>
      </c>
      <c r="D584" s="10">
        <v>45616</v>
      </c>
      <c r="E584" s="13" t="str">
        <f>+HYPERLINK("http://trademark.i-assist.jp/data/china/image_1912th/80405468.pdf","80405468")</f>
        <v>80405468</v>
      </c>
      <c r="F584" s="12" t="s">
        <v>1696</v>
      </c>
      <c r="G584" s="9" t="s">
        <v>1697</v>
      </c>
      <c r="H584" s="9" t="s">
        <v>1698</v>
      </c>
      <c r="I584" s="10">
        <v>45520</v>
      </c>
    </row>
    <row r="585" spans="1:9" x14ac:dyDescent="0.15">
      <c r="A585" s="9">
        <v>584</v>
      </c>
      <c r="B585" s="9" t="s">
        <v>9</v>
      </c>
      <c r="C585" s="9">
        <v>1912</v>
      </c>
      <c r="D585" s="10">
        <v>45616</v>
      </c>
      <c r="E585" s="13" t="str">
        <f>+HYPERLINK("http://trademark.i-assist.jp/data/china/image_1912th/80405710.pdf","80405710")</f>
        <v>80405710</v>
      </c>
      <c r="F585" s="9" t="s">
        <v>1699</v>
      </c>
      <c r="G585" s="9" t="s">
        <v>1682</v>
      </c>
      <c r="H585" s="9" t="s">
        <v>1700</v>
      </c>
      <c r="I585" s="10">
        <v>45520</v>
      </c>
    </row>
    <row r="586" spans="1:9" x14ac:dyDescent="0.15">
      <c r="A586" s="9">
        <v>585</v>
      </c>
      <c r="B586" s="9" t="s">
        <v>9</v>
      </c>
      <c r="C586" s="9">
        <v>1912</v>
      </c>
      <c r="D586" s="10">
        <v>45616</v>
      </c>
      <c r="E586" s="13" t="str">
        <f>+HYPERLINK("http://trademark.i-assist.jp/data/china/image_1912th/80407368.pdf","80407368")</f>
        <v>80407368</v>
      </c>
      <c r="F586" s="9" t="s">
        <v>1701</v>
      </c>
      <c r="G586" s="12" t="s">
        <v>1702</v>
      </c>
      <c r="H586" s="9" t="s">
        <v>1703</v>
      </c>
      <c r="I586" s="10">
        <v>45520</v>
      </c>
    </row>
    <row r="587" spans="1:9" x14ac:dyDescent="0.15">
      <c r="A587" s="9">
        <v>586</v>
      </c>
      <c r="B587" s="9" t="s">
        <v>9</v>
      </c>
      <c r="C587" s="9">
        <v>1912</v>
      </c>
      <c r="D587" s="10">
        <v>45616</v>
      </c>
      <c r="E587" s="13" t="str">
        <f>+HYPERLINK("http://trademark.i-assist.jp/data/china/image_1912th/80407431.pdf","80407431")</f>
        <v>80407431</v>
      </c>
      <c r="F587" s="9" t="s">
        <v>1704</v>
      </c>
      <c r="G587" s="9" t="s">
        <v>1705</v>
      </c>
      <c r="H587" s="9" t="s">
        <v>1706</v>
      </c>
      <c r="I587" s="10">
        <v>45520</v>
      </c>
    </row>
    <row r="588" spans="1:9" x14ac:dyDescent="0.15">
      <c r="A588" s="9">
        <v>587</v>
      </c>
      <c r="B588" s="9" t="s">
        <v>9</v>
      </c>
      <c r="C588" s="9">
        <v>1912</v>
      </c>
      <c r="D588" s="10">
        <v>45616</v>
      </c>
      <c r="E588" s="13" t="str">
        <f>+HYPERLINK("http://trademark.i-assist.jp/data/china/image_1912th/80407872.pdf","80407872")</f>
        <v>80407872</v>
      </c>
      <c r="F588" s="9" t="s">
        <v>1707</v>
      </c>
      <c r="G588" s="9" t="s">
        <v>72</v>
      </c>
      <c r="H588" s="9" t="s">
        <v>1708</v>
      </c>
      <c r="I588" s="10">
        <v>45520</v>
      </c>
    </row>
    <row r="589" spans="1:9" x14ac:dyDescent="0.15">
      <c r="A589" s="9">
        <v>588</v>
      </c>
      <c r="B589" s="9" t="s">
        <v>9</v>
      </c>
      <c r="C589" s="9">
        <v>1912</v>
      </c>
      <c r="D589" s="10">
        <v>45616</v>
      </c>
      <c r="E589" s="13" t="str">
        <f>+HYPERLINK("http://trademark.i-assist.jp/data/china/image_1912th/80407928.pdf","80407928")</f>
        <v>80407928</v>
      </c>
      <c r="F589" s="9" t="s">
        <v>1709</v>
      </c>
      <c r="G589" s="12" t="s">
        <v>1710</v>
      </c>
      <c r="H589" s="9" t="s">
        <v>1711</v>
      </c>
      <c r="I589" s="10">
        <v>45520</v>
      </c>
    </row>
    <row r="590" spans="1:9" x14ac:dyDescent="0.15">
      <c r="A590" s="9">
        <v>589</v>
      </c>
      <c r="B590" s="9" t="s">
        <v>9</v>
      </c>
      <c r="C590" s="9">
        <v>1912</v>
      </c>
      <c r="D590" s="10">
        <v>45616</v>
      </c>
      <c r="E590" s="13" t="str">
        <f>+HYPERLINK("http://trademark.i-assist.jp/data/china/image_1912th/80408137.pdf","80408137")</f>
        <v>80408137</v>
      </c>
      <c r="F590" s="9" t="s">
        <v>1712</v>
      </c>
      <c r="G590" s="9" t="s">
        <v>1713</v>
      </c>
      <c r="H590" s="9" t="s">
        <v>1714</v>
      </c>
      <c r="I590" s="10">
        <v>45520</v>
      </c>
    </row>
    <row r="591" spans="1:9" x14ac:dyDescent="0.15">
      <c r="A591" s="9">
        <v>590</v>
      </c>
      <c r="B591" s="9" t="s">
        <v>9</v>
      </c>
      <c r="C591" s="9">
        <v>1912</v>
      </c>
      <c r="D591" s="10">
        <v>45616</v>
      </c>
      <c r="E591" s="13" t="str">
        <f>+HYPERLINK("http://trademark.i-assist.jp/data/china/image_1912th/80408384.pdf","80408384")</f>
        <v>80408384</v>
      </c>
      <c r="F591" s="9" t="s">
        <v>1715</v>
      </c>
      <c r="G591" s="9" t="s">
        <v>1716</v>
      </c>
      <c r="H591" s="9" t="s">
        <v>1717</v>
      </c>
      <c r="I591" s="10">
        <v>45520</v>
      </c>
    </row>
    <row r="592" spans="1:9" x14ac:dyDescent="0.15">
      <c r="A592" s="9">
        <v>591</v>
      </c>
      <c r="B592" s="9" t="s">
        <v>9</v>
      </c>
      <c r="C592" s="9">
        <v>1912</v>
      </c>
      <c r="D592" s="10">
        <v>45616</v>
      </c>
      <c r="E592" s="13" t="str">
        <f>+HYPERLINK("http://trademark.i-assist.jp/data/china/image_1912th/80408744.pdf","80408744")</f>
        <v>80408744</v>
      </c>
      <c r="F592" s="9" t="s">
        <v>1718</v>
      </c>
      <c r="G592" s="9" t="s">
        <v>1719</v>
      </c>
      <c r="H592" s="9" t="s">
        <v>1720</v>
      </c>
      <c r="I592" s="10">
        <v>45520</v>
      </c>
    </row>
    <row r="593" spans="1:9" x14ac:dyDescent="0.15">
      <c r="A593" s="9">
        <v>592</v>
      </c>
      <c r="B593" s="9" t="s">
        <v>9</v>
      </c>
      <c r="C593" s="9">
        <v>1912</v>
      </c>
      <c r="D593" s="10">
        <v>45616</v>
      </c>
      <c r="E593" s="13" t="str">
        <f>+HYPERLINK("http://trademark.i-assist.jp/data/china/image_1912th/80408952.pdf","80408952")</f>
        <v>80408952</v>
      </c>
      <c r="F593" s="9" t="s">
        <v>1721</v>
      </c>
      <c r="G593" s="9" t="s">
        <v>1609</v>
      </c>
      <c r="H593" s="9" t="s">
        <v>1722</v>
      </c>
      <c r="I593" s="10">
        <v>45520</v>
      </c>
    </row>
    <row r="594" spans="1:9" x14ac:dyDescent="0.15">
      <c r="A594" s="9">
        <v>593</v>
      </c>
      <c r="B594" s="9" t="s">
        <v>9</v>
      </c>
      <c r="C594" s="9">
        <v>1912</v>
      </c>
      <c r="D594" s="10">
        <v>45616</v>
      </c>
      <c r="E594" s="13" t="str">
        <f>+HYPERLINK("http://trademark.i-assist.jp/data/china/image_1912th/80409125.pdf","80409125")</f>
        <v>80409125</v>
      </c>
      <c r="F594" s="9" t="s">
        <v>1723</v>
      </c>
      <c r="G594" s="9" t="s">
        <v>1724</v>
      </c>
      <c r="H594" s="9" t="s">
        <v>1725</v>
      </c>
      <c r="I594" s="10">
        <v>45520</v>
      </c>
    </row>
    <row r="595" spans="1:9" x14ac:dyDescent="0.15">
      <c r="A595" s="9">
        <v>594</v>
      </c>
      <c r="B595" s="9" t="s">
        <v>9</v>
      </c>
      <c r="C595" s="9">
        <v>1912</v>
      </c>
      <c r="D595" s="10">
        <v>45616</v>
      </c>
      <c r="E595" s="13" t="str">
        <f>+HYPERLINK("http://trademark.i-assist.jp/data/china/image_1912th/80409311.pdf","80409311")</f>
        <v>80409311</v>
      </c>
      <c r="F595" s="9" t="s">
        <v>1726</v>
      </c>
      <c r="G595" s="9" t="s">
        <v>72</v>
      </c>
      <c r="H595" s="9" t="s">
        <v>1727</v>
      </c>
      <c r="I595" s="10">
        <v>45520</v>
      </c>
    </row>
    <row r="596" spans="1:9" x14ac:dyDescent="0.15">
      <c r="A596" s="9">
        <v>595</v>
      </c>
      <c r="B596" s="9" t="s">
        <v>9</v>
      </c>
      <c r="C596" s="9">
        <v>1912</v>
      </c>
      <c r="D596" s="10">
        <v>45616</v>
      </c>
      <c r="E596" s="13" t="str">
        <f>+HYPERLINK("http://trademark.i-assist.jp/data/china/image_1912th/80409443.pdf","80409443")</f>
        <v>80409443</v>
      </c>
      <c r="F596" s="9" t="s">
        <v>1728</v>
      </c>
      <c r="G596" s="12" t="s">
        <v>1729</v>
      </c>
      <c r="H596" s="9" t="s">
        <v>1730</v>
      </c>
      <c r="I596" s="10">
        <v>45520</v>
      </c>
    </row>
    <row r="597" spans="1:9" x14ac:dyDescent="0.15">
      <c r="A597" s="9">
        <v>596</v>
      </c>
      <c r="B597" s="9" t="s">
        <v>9</v>
      </c>
      <c r="C597" s="9">
        <v>1912</v>
      </c>
      <c r="D597" s="10">
        <v>45616</v>
      </c>
      <c r="E597" s="13" t="str">
        <f>+HYPERLINK("http://trademark.i-assist.jp/data/china/image_1912th/80409564.pdf","80409564")</f>
        <v>80409564</v>
      </c>
      <c r="F597" s="9" t="s">
        <v>1731</v>
      </c>
      <c r="G597" s="12" t="s">
        <v>1732</v>
      </c>
      <c r="H597" s="9" t="s">
        <v>1733</v>
      </c>
      <c r="I597" s="10">
        <v>45520</v>
      </c>
    </row>
    <row r="598" spans="1:9" x14ac:dyDescent="0.15">
      <c r="A598" s="9">
        <v>597</v>
      </c>
      <c r="B598" s="9" t="s">
        <v>9</v>
      </c>
      <c r="C598" s="9">
        <v>1912</v>
      </c>
      <c r="D598" s="10">
        <v>45616</v>
      </c>
      <c r="E598" s="13" t="str">
        <f>+HYPERLINK("http://trademark.i-assist.jp/data/china/image_1912th/80409721.pdf","80409721")</f>
        <v>80409721</v>
      </c>
      <c r="F598" s="9" t="s">
        <v>1734</v>
      </c>
      <c r="G598" s="12" t="s">
        <v>721</v>
      </c>
      <c r="H598" s="9" t="s">
        <v>1735</v>
      </c>
      <c r="I598" s="10">
        <v>45520</v>
      </c>
    </row>
    <row r="599" spans="1:9" x14ac:dyDescent="0.15">
      <c r="A599" s="9">
        <v>598</v>
      </c>
      <c r="B599" s="9" t="s">
        <v>9</v>
      </c>
      <c r="C599" s="9">
        <v>1912</v>
      </c>
      <c r="D599" s="10">
        <v>45616</v>
      </c>
      <c r="E599" s="13" t="str">
        <f>+HYPERLINK("http://trademark.i-assist.jp/data/china/image_1912th/80410282.pdf","80410282")</f>
        <v>80410282</v>
      </c>
      <c r="F599" s="9" t="s">
        <v>1736</v>
      </c>
      <c r="G599" s="12" t="s">
        <v>1737</v>
      </c>
      <c r="H599" s="9" t="s">
        <v>1738</v>
      </c>
      <c r="I599" s="10">
        <v>45520</v>
      </c>
    </row>
    <row r="600" spans="1:9" x14ac:dyDescent="0.15">
      <c r="A600" s="9">
        <v>599</v>
      </c>
      <c r="B600" s="9" t="s">
        <v>9</v>
      </c>
      <c r="C600" s="9">
        <v>1912</v>
      </c>
      <c r="D600" s="10">
        <v>45616</v>
      </c>
      <c r="E600" s="13" t="str">
        <f>+HYPERLINK("http://trademark.i-assist.jp/data/china/image_1912th/80410289.pdf","80410289")</f>
        <v>80410289</v>
      </c>
      <c r="F600" s="9" t="s">
        <v>1739</v>
      </c>
      <c r="G600" s="9" t="s">
        <v>1612</v>
      </c>
      <c r="H600" s="12" t="s">
        <v>1740</v>
      </c>
      <c r="I600" s="10">
        <v>45520</v>
      </c>
    </row>
    <row r="601" spans="1:9" x14ac:dyDescent="0.15">
      <c r="A601" s="9">
        <v>600</v>
      </c>
      <c r="B601" s="9" t="s">
        <v>9</v>
      </c>
      <c r="C601" s="9">
        <v>1912</v>
      </c>
      <c r="D601" s="10">
        <v>45616</v>
      </c>
      <c r="E601" s="13" t="str">
        <f>+HYPERLINK("http://trademark.i-assist.jp/data/china/image_1912th/80410487.pdf","80410487")</f>
        <v>80410487</v>
      </c>
      <c r="F601" s="9" t="s">
        <v>1741</v>
      </c>
      <c r="G601" s="9" t="s">
        <v>1724</v>
      </c>
      <c r="H601" s="12" t="s">
        <v>1742</v>
      </c>
      <c r="I601" s="10">
        <v>45520</v>
      </c>
    </row>
    <row r="602" spans="1:9" x14ac:dyDescent="0.15">
      <c r="A602" s="9">
        <v>601</v>
      </c>
      <c r="B602" s="9" t="s">
        <v>9</v>
      </c>
      <c r="C602" s="9">
        <v>1912</v>
      </c>
      <c r="D602" s="10">
        <v>45616</v>
      </c>
      <c r="E602" s="13" t="str">
        <f>+HYPERLINK("http://trademark.i-assist.jp/data/china/image_1912th/80410940.pdf","80410940")</f>
        <v>80410940</v>
      </c>
      <c r="F602" s="9" t="s">
        <v>1743</v>
      </c>
      <c r="G602" s="12" t="s">
        <v>1744</v>
      </c>
      <c r="H602" s="12" t="s">
        <v>1745</v>
      </c>
      <c r="I602" s="10">
        <v>45520</v>
      </c>
    </row>
    <row r="603" spans="1:9" x14ac:dyDescent="0.15">
      <c r="A603" s="9">
        <v>602</v>
      </c>
      <c r="B603" s="9" t="s">
        <v>9</v>
      </c>
      <c r="C603" s="9">
        <v>1912</v>
      </c>
      <c r="D603" s="10">
        <v>45616</v>
      </c>
      <c r="E603" s="13" t="str">
        <f>+HYPERLINK("http://trademark.i-assist.jp/data/china/image_1912th/80411499.pdf","80411499")</f>
        <v>80411499</v>
      </c>
      <c r="F603" s="9" t="s">
        <v>1746</v>
      </c>
      <c r="G603" s="9" t="s">
        <v>1609</v>
      </c>
      <c r="H603" s="9" t="s">
        <v>1747</v>
      </c>
      <c r="I603" s="10">
        <v>45520</v>
      </c>
    </row>
    <row r="604" spans="1:9" x14ac:dyDescent="0.15">
      <c r="A604" s="9">
        <v>603</v>
      </c>
      <c r="B604" s="9" t="s">
        <v>9</v>
      </c>
      <c r="C604" s="9">
        <v>1912</v>
      </c>
      <c r="D604" s="10">
        <v>45616</v>
      </c>
      <c r="E604" s="13" t="str">
        <f>+HYPERLINK("http://trademark.i-assist.jp/data/china/image_1912th/80412015.pdf","80412015")</f>
        <v>80412015</v>
      </c>
      <c r="F604" s="9" t="s">
        <v>1748</v>
      </c>
      <c r="G604" s="9" t="s">
        <v>1749</v>
      </c>
      <c r="H604" s="9" t="s">
        <v>1750</v>
      </c>
      <c r="I604" s="10">
        <v>45520</v>
      </c>
    </row>
    <row r="605" spans="1:9" x14ac:dyDescent="0.15">
      <c r="A605" s="9">
        <v>604</v>
      </c>
      <c r="B605" s="9" t="s">
        <v>9</v>
      </c>
      <c r="C605" s="9">
        <v>1912</v>
      </c>
      <c r="D605" s="10">
        <v>45616</v>
      </c>
      <c r="E605" s="13" t="str">
        <f>+HYPERLINK("http://trademark.i-assist.jp/data/china/image_1912th/80412302.pdf","80412302")</f>
        <v>80412302</v>
      </c>
      <c r="F605" s="9" t="s">
        <v>1751</v>
      </c>
      <c r="G605" s="9" t="s">
        <v>1752</v>
      </c>
      <c r="H605" s="12" t="s">
        <v>1753</v>
      </c>
      <c r="I605" s="10">
        <v>45520</v>
      </c>
    </row>
    <row r="606" spans="1:9" x14ac:dyDescent="0.15">
      <c r="A606" s="9">
        <v>605</v>
      </c>
      <c r="B606" s="9" t="s">
        <v>9</v>
      </c>
      <c r="C606" s="9">
        <v>1912</v>
      </c>
      <c r="D606" s="10">
        <v>45616</v>
      </c>
      <c r="E606" s="13" t="str">
        <f>+HYPERLINK("http://trademark.i-assist.jp/data/china/image_1912th/80412382.pdf","80412382")</f>
        <v>80412382</v>
      </c>
      <c r="F606" s="12" t="s">
        <v>15</v>
      </c>
      <c r="G606" s="9" t="s">
        <v>1754</v>
      </c>
      <c r="H606" s="9" t="s">
        <v>1755</v>
      </c>
      <c r="I606" s="10">
        <v>45520</v>
      </c>
    </row>
    <row r="607" spans="1:9" x14ac:dyDescent="0.15">
      <c r="A607" s="9">
        <v>606</v>
      </c>
      <c r="B607" s="9" t="s">
        <v>9</v>
      </c>
      <c r="C607" s="9">
        <v>1912</v>
      </c>
      <c r="D607" s="10">
        <v>45616</v>
      </c>
      <c r="E607" s="13" t="str">
        <f>+HYPERLINK("http://trademark.i-assist.jp/data/china/image_1912th/80412439.pdf","80412439")</f>
        <v>80412439</v>
      </c>
      <c r="F607" s="9" t="s">
        <v>1756</v>
      </c>
      <c r="G607" s="9" t="s">
        <v>1757</v>
      </c>
      <c r="H607" s="9" t="s">
        <v>1758</v>
      </c>
      <c r="I607" s="10">
        <v>45520</v>
      </c>
    </row>
    <row r="608" spans="1:9" x14ac:dyDescent="0.15">
      <c r="A608" s="9">
        <v>607</v>
      </c>
      <c r="B608" s="9" t="s">
        <v>9</v>
      </c>
      <c r="C608" s="9">
        <v>1912</v>
      </c>
      <c r="D608" s="10">
        <v>45616</v>
      </c>
      <c r="E608" s="13" t="str">
        <f>+HYPERLINK("http://trademark.i-assist.jp/data/china/image_1912th/80412469.pdf","80412469")</f>
        <v>80412469</v>
      </c>
      <c r="F608" s="12" t="s">
        <v>1759</v>
      </c>
      <c r="G608" s="12" t="s">
        <v>1760</v>
      </c>
      <c r="H608" s="9" t="s">
        <v>1761</v>
      </c>
      <c r="I608" s="10">
        <v>45520</v>
      </c>
    </row>
    <row r="609" spans="1:9" x14ac:dyDescent="0.15">
      <c r="A609" s="9">
        <v>608</v>
      </c>
      <c r="B609" s="9" t="s">
        <v>9</v>
      </c>
      <c r="C609" s="9">
        <v>1912</v>
      </c>
      <c r="D609" s="10">
        <v>45616</v>
      </c>
      <c r="E609" s="13" t="str">
        <f>+HYPERLINK("http://trademark.i-assist.jp/data/china/image_1912th/80412510.pdf","80412510")</f>
        <v>80412510</v>
      </c>
      <c r="F609" s="9" t="s">
        <v>1762</v>
      </c>
      <c r="G609" s="12" t="s">
        <v>1763</v>
      </c>
      <c r="H609" s="9" t="s">
        <v>1764</v>
      </c>
      <c r="I609" s="10">
        <v>45520</v>
      </c>
    </row>
    <row r="610" spans="1:9" x14ac:dyDescent="0.15">
      <c r="A610" s="9">
        <v>609</v>
      </c>
      <c r="B610" s="9" t="s">
        <v>9</v>
      </c>
      <c r="C610" s="9">
        <v>1912</v>
      </c>
      <c r="D610" s="10">
        <v>45616</v>
      </c>
      <c r="E610" s="13" t="str">
        <f>+HYPERLINK("http://trademark.i-assist.jp/data/china/image_1912th/80414427.pdf","80414427")</f>
        <v>80414427</v>
      </c>
      <c r="F610" s="9" t="s">
        <v>1765</v>
      </c>
      <c r="G610" s="12" t="s">
        <v>1766</v>
      </c>
      <c r="H610" s="9" t="s">
        <v>1767</v>
      </c>
      <c r="I610" s="10">
        <v>45520</v>
      </c>
    </row>
    <row r="611" spans="1:9" x14ac:dyDescent="0.15">
      <c r="A611" s="9">
        <v>610</v>
      </c>
      <c r="B611" s="9" t="s">
        <v>9</v>
      </c>
      <c r="C611" s="9">
        <v>1912</v>
      </c>
      <c r="D611" s="10">
        <v>45616</v>
      </c>
      <c r="E611" s="13" t="str">
        <f>+HYPERLINK("http://trademark.i-assist.jp/data/china/image_1912th/80415201.pdf","80415201")</f>
        <v>80415201</v>
      </c>
      <c r="F611" s="9" t="s">
        <v>1768</v>
      </c>
      <c r="G611" s="12" t="s">
        <v>721</v>
      </c>
      <c r="H611" s="9" t="s">
        <v>1769</v>
      </c>
      <c r="I611" s="10">
        <v>45520</v>
      </c>
    </row>
    <row r="612" spans="1:9" x14ac:dyDescent="0.15">
      <c r="A612" s="9">
        <v>611</v>
      </c>
      <c r="B612" s="9" t="s">
        <v>9</v>
      </c>
      <c r="C612" s="9">
        <v>1912</v>
      </c>
      <c r="D612" s="10">
        <v>45616</v>
      </c>
      <c r="E612" s="13" t="str">
        <f>+HYPERLINK("http://trademark.i-assist.jp/data/china/image_1912th/80415256.pdf","80415256")</f>
        <v>80415256</v>
      </c>
      <c r="F612" s="12" t="s">
        <v>1770</v>
      </c>
      <c r="G612" s="9" t="s">
        <v>1771</v>
      </c>
      <c r="H612" s="9" t="s">
        <v>1772</v>
      </c>
      <c r="I612" s="10">
        <v>45520</v>
      </c>
    </row>
    <row r="613" spans="1:9" x14ac:dyDescent="0.15">
      <c r="A613" s="9">
        <v>612</v>
      </c>
      <c r="B613" s="9" t="s">
        <v>9</v>
      </c>
      <c r="C613" s="9">
        <v>1912</v>
      </c>
      <c r="D613" s="10">
        <v>45616</v>
      </c>
      <c r="E613" s="13" t="str">
        <f>+HYPERLINK("http://trademark.i-assist.jp/data/china/image_1912th/80415302.pdf","80415302")</f>
        <v>80415302</v>
      </c>
      <c r="F613" s="9" t="s">
        <v>1773</v>
      </c>
      <c r="G613" s="12" t="s">
        <v>1760</v>
      </c>
      <c r="H613" s="9" t="s">
        <v>1774</v>
      </c>
      <c r="I613" s="10">
        <v>45520</v>
      </c>
    </row>
    <row r="614" spans="1:9" x14ac:dyDescent="0.15">
      <c r="A614" s="9">
        <v>613</v>
      </c>
      <c r="B614" s="9" t="s">
        <v>9</v>
      </c>
      <c r="C614" s="9">
        <v>1912</v>
      </c>
      <c r="D614" s="10">
        <v>45616</v>
      </c>
      <c r="E614" s="13" t="str">
        <f>+HYPERLINK("http://trademark.i-assist.jp/data/china/image_1912th/80415471.pdf","80415471")</f>
        <v>80415471</v>
      </c>
      <c r="F614" s="12" t="s">
        <v>1775</v>
      </c>
      <c r="G614" s="9" t="s">
        <v>1679</v>
      </c>
      <c r="H614" s="9" t="s">
        <v>1776</v>
      </c>
      <c r="I614" s="10">
        <v>45520</v>
      </c>
    </row>
    <row r="615" spans="1:9" x14ac:dyDescent="0.15">
      <c r="A615" s="9">
        <v>614</v>
      </c>
      <c r="B615" s="9" t="s">
        <v>9</v>
      </c>
      <c r="C615" s="9">
        <v>1912</v>
      </c>
      <c r="D615" s="10">
        <v>45616</v>
      </c>
      <c r="E615" s="13" t="str">
        <f>+HYPERLINK("http://trademark.i-assist.jp/data/china/image_1912th/80415726.pdf","80415726")</f>
        <v>80415726</v>
      </c>
      <c r="F615" s="9" t="s">
        <v>1777</v>
      </c>
      <c r="G615" s="9" t="s">
        <v>1778</v>
      </c>
      <c r="H615" s="9" t="s">
        <v>1779</v>
      </c>
      <c r="I615" s="10">
        <v>45520</v>
      </c>
    </row>
    <row r="616" spans="1:9" x14ac:dyDescent="0.15">
      <c r="A616" s="9">
        <v>615</v>
      </c>
      <c r="B616" s="9" t="s">
        <v>9</v>
      </c>
      <c r="C616" s="9">
        <v>1912</v>
      </c>
      <c r="D616" s="10">
        <v>45616</v>
      </c>
      <c r="E616" s="13" t="str">
        <f>+HYPERLINK("http://trademark.i-assist.jp/data/china/image_1912th/80416681.pdf","80416681")</f>
        <v>80416681</v>
      </c>
      <c r="F616" s="9" t="s">
        <v>1780</v>
      </c>
      <c r="G616" s="12" t="s">
        <v>1659</v>
      </c>
      <c r="H616" s="9" t="s">
        <v>1781</v>
      </c>
      <c r="I616" s="10">
        <v>45520</v>
      </c>
    </row>
    <row r="617" spans="1:9" x14ac:dyDescent="0.15">
      <c r="A617" s="9">
        <v>616</v>
      </c>
      <c r="B617" s="9" t="s">
        <v>9</v>
      </c>
      <c r="C617" s="9">
        <v>1912</v>
      </c>
      <c r="D617" s="10">
        <v>45616</v>
      </c>
      <c r="E617" s="13" t="str">
        <f>+HYPERLINK("http://trademark.i-assist.jp/data/china/image_1912th/80417065.pdf","80417065")</f>
        <v>80417065</v>
      </c>
      <c r="F617" s="9" t="s">
        <v>1782</v>
      </c>
      <c r="G617" s="9" t="s">
        <v>72</v>
      </c>
      <c r="H617" s="9" t="s">
        <v>1783</v>
      </c>
      <c r="I617" s="10">
        <v>45520</v>
      </c>
    </row>
    <row r="618" spans="1:9" x14ac:dyDescent="0.15">
      <c r="A618" s="9">
        <v>617</v>
      </c>
      <c r="B618" s="9" t="s">
        <v>9</v>
      </c>
      <c r="C618" s="9">
        <v>1912</v>
      </c>
      <c r="D618" s="10">
        <v>45616</v>
      </c>
      <c r="E618" s="13" t="str">
        <f>+HYPERLINK("http://trademark.i-assist.jp/data/china/image_1912th/80417276.pdf","80417276")</f>
        <v>80417276</v>
      </c>
      <c r="F618" s="9" t="s">
        <v>1784</v>
      </c>
      <c r="G618" s="12" t="s">
        <v>1785</v>
      </c>
      <c r="H618" s="9" t="s">
        <v>1786</v>
      </c>
      <c r="I618" s="10">
        <v>45520</v>
      </c>
    </row>
    <row r="619" spans="1:9" x14ac:dyDescent="0.15">
      <c r="A619" s="9">
        <v>618</v>
      </c>
      <c r="B619" s="9" t="s">
        <v>9</v>
      </c>
      <c r="C619" s="9">
        <v>1912</v>
      </c>
      <c r="D619" s="10">
        <v>45616</v>
      </c>
      <c r="E619" s="13" t="str">
        <f>+HYPERLINK("http://trademark.i-assist.jp/data/china/image_1912th/80417659.pdf","80417659")</f>
        <v>80417659</v>
      </c>
      <c r="F619" s="9" t="s">
        <v>1787</v>
      </c>
      <c r="G619" s="9" t="s">
        <v>1788</v>
      </c>
      <c r="H619" s="9" t="s">
        <v>1789</v>
      </c>
      <c r="I619" s="10">
        <v>45520</v>
      </c>
    </row>
    <row r="620" spans="1:9" x14ac:dyDescent="0.15">
      <c r="A620" s="9">
        <v>619</v>
      </c>
      <c r="B620" s="9" t="s">
        <v>9</v>
      </c>
      <c r="C620" s="9">
        <v>1912</v>
      </c>
      <c r="D620" s="10">
        <v>45616</v>
      </c>
      <c r="E620" s="13" t="str">
        <f>+HYPERLINK("http://trademark.i-assist.jp/data/china/image_1912th/80417805.pdf","80417805")</f>
        <v>80417805</v>
      </c>
      <c r="F620" s="9" t="s">
        <v>1731</v>
      </c>
      <c r="G620" s="12" t="s">
        <v>1732</v>
      </c>
      <c r="H620" s="9" t="s">
        <v>1790</v>
      </c>
      <c r="I620" s="10">
        <v>45520</v>
      </c>
    </row>
    <row r="621" spans="1:9" x14ac:dyDescent="0.15">
      <c r="A621" s="9">
        <v>620</v>
      </c>
      <c r="B621" s="9" t="s">
        <v>9</v>
      </c>
      <c r="C621" s="9">
        <v>1912</v>
      </c>
      <c r="D621" s="10">
        <v>45616</v>
      </c>
      <c r="E621" s="13" t="str">
        <f>+HYPERLINK("http://trademark.i-assist.jp/data/china/image_1912th/80418665.pdf","80418665")</f>
        <v>80418665</v>
      </c>
      <c r="F621" s="9" t="s">
        <v>1791</v>
      </c>
      <c r="G621" s="9" t="s">
        <v>1792</v>
      </c>
      <c r="H621" s="9" t="s">
        <v>1793</v>
      </c>
      <c r="I621" s="10">
        <v>45521</v>
      </c>
    </row>
    <row r="622" spans="1:9" x14ac:dyDescent="0.15">
      <c r="A622" s="9">
        <v>621</v>
      </c>
      <c r="B622" s="9" t="s">
        <v>9</v>
      </c>
      <c r="C622" s="9">
        <v>1912</v>
      </c>
      <c r="D622" s="10">
        <v>45616</v>
      </c>
      <c r="E622" s="13" t="str">
        <f>+HYPERLINK("http://trademark.i-assist.jp/data/china/image_1912th/80418693.pdf","80418693")</f>
        <v>80418693</v>
      </c>
      <c r="F622" s="9" t="s">
        <v>1794</v>
      </c>
      <c r="G622" s="9" t="s">
        <v>1795</v>
      </c>
      <c r="H622" s="9" t="s">
        <v>1796</v>
      </c>
      <c r="I622" s="10">
        <v>45521</v>
      </c>
    </row>
    <row r="623" spans="1:9" x14ac:dyDescent="0.15">
      <c r="A623" s="9">
        <v>622</v>
      </c>
      <c r="B623" s="9" t="s">
        <v>9</v>
      </c>
      <c r="C623" s="9">
        <v>1912</v>
      </c>
      <c r="D623" s="10">
        <v>45616</v>
      </c>
      <c r="E623" s="13" t="str">
        <f>+HYPERLINK("http://trademark.i-assist.jp/data/china/image_1912th/80419202.pdf","80419202")</f>
        <v>80419202</v>
      </c>
      <c r="F623" s="12" t="s">
        <v>1797</v>
      </c>
      <c r="G623" s="12" t="s">
        <v>1798</v>
      </c>
      <c r="H623" s="9" t="s">
        <v>1799</v>
      </c>
      <c r="I623" s="10">
        <v>45521</v>
      </c>
    </row>
    <row r="624" spans="1:9" x14ac:dyDescent="0.15">
      <c r="A624" s="9">
        <v>623</v>
      </c>
      <c r="B624" s="9" t="s">
        <v>9</v>
      </c>
      <c r="C624" s="9">
        <v>1912</v>
      </c>
      <c r="D624" s="10">
        <v>45616</v>
      </c>
      <c r="E624" s="13" t="str">
        <f>+HYPERLINK("http://trademark.i-assist.jp/data/china/image_1912th/80419608.pdf","80419608")</f>
        <v>80419608</v>
      </c>
      <c r="F624" s="11" t="s">
        <v>1800</v>
      </c>
      <c r="G624" s="9" t="s">
        <v>1801</v>
      </c>
      <c r="H624" s="9" t="s">
        <v>1802</v>
      </c>
      <c r="I624" s="10">
        <v>45521</v>
      </c>
    </row>
    <row r="625" spans="1:9" x14ac:dyDescent="0.15">
      <c r="A625" s="9">
        <v>624</v>
      </c>
      <c r="B625" s="9" t="s">
        <v>9</v>
      </c>
      <c r="C625" s="9">
        <v>1912</v>
      </c>
      <c r="D625" s="10">
        <v>45616</v>
      </c>
      <c r="E625" s="13" t="str">
        <f>+HYPERLINK("http://trademark.i-assist.jp/data/china/image_1912th/80419894.pdf","80419894")</f>
        <v>80419894</v>
      </c>
      <c r="F625" s="9" t="s">
        <v>1803</v>
      </c>
      <c r="G625" s="9" t="s">
        <v>74</v>
      </c>
      <c r="H625" s="9" t="s">
        <v>1804</v>
      </c>
      <c r="I625" s="10">
        <v>45521</v>
      </c>
    </row>
    <row r="626" spans="1:9" x14ac:dyDescent="0.15">
      <c r="A626" s="9">
        <v>625</v>
      </c>
      <c r="B626" s="9" t="s">
        <v>9</v>
      </c>
      <c r="C626" s="9">
        <v>1912</v>
      </c>
      <c r="D626" s="10">
        <v>45616</v>
      </c>
      <c r="E626" s="13" t="str">
        <f>+HYPERLINK("http://trademark.i-assist.jp/data/china/image_1912th/80420130.pdf","80420130")</f>
        <v>80420130</v>
      </c>
      <c r="F626" s="12" t="s">
        <v>1805</v>
      </c>
      <c r="G626" s="9" t="s">
        <v>1806</v>
      </c>
      <c r="H626" s="9" t="s">
        <v>1807</v>
      </c>
      <c r="I626" s="10">
        <v>45521</v>
      </c>
    </row>
    <row r="627" spans="1:9" x14ac:dyDescent="0.15">
      <c r="A627" s="9">
        <v>626</v>
      </c>
      <c r="B627" s="9" t="s">
        <v>9</v>
      </c>
      <c r="C627" s="9">
        <v>1912</v>
      </c>
      <c r="D627" s="10">
        <v>45616</v>
      </c>
      <c r="E627" s="13" t="str">
        <f>+HYPERLINK("http://trademark.i-assist.jp/data/china/image_1912th/80420141.pdf","80420141")</f>
        <v>80420141</v>
      </c>
      <c r="F627" s="12" t="s">
        <v>1808</v>
      </c>
      <c r="G627" s="12" t="s">
        <v>1798</v>
      </c>
      <c r="H627" s="9" t="s">
        <v>1809</v>
      </c>
      <c r="I627" s="10">
        <v>45521</v>
      </c>
    </row>
    <row r="628" spans="1:9" x14ac:dyDescent="0.15">
      <c r="A628" s="9">
        <v>627</v>
      </c>
      <c r="B628" s="9" t="s">
        <v>9</v>
      </c>
      <c r="C628" s="9">
        <v>1912</v>
      </c>
      <c r="D628" s="10">
        <v>45616</v>
      </c>
      <c r="E628" s="13" t="str">
        <f>+HYPERLINK("http://trademark.i-assist.jp/data/china/image_1912th/80420276.pdf","80420276")</f>
        <v>80420276</v>
      </c>
      <c r="F628" s="9" t="s">
        <v>1810</v>
      </c>
      <c r="G628" s="9" t="s">
        <v>1811</v>
      </c>
      <c r="H628" s="9" t="s">
        <v>1812</v>
      </c>
      <c r="I628" s="10">
        <v>45521</v>
      </c>
    </row>
    <row r="629" spans="1:9" x14ac:dyDescent="0.15">
      <c r="A629" s="9">
        <v>628</v>
      </c>
      <c r="B629" s="9" t="s">
        <v>9</v>
      </c>
      <c r="C629" s="9">
        <v>1912</v>
      </c>
      <c r="D629" s="10">
        <v>45616</v>
      </c>
      <c r="E629" s="13" t="str">
        <f>+HYPERLINK("http://trademark.i-assist.jp/data/china/image_1912th/80420525.pdf","80420525")</f>
        <v>80420525</v>
      </c>
      <c r="F629" s="9" t="s">
        <v>1813</v>
      </c>
      <c r="G629" s="12" t="s">
        <v>1814</v>
      </c>
      <c r="H629" s="9" t="s">
        <v>1815</v>
      </c>
      <c r="I629" s="10">
        <v>45521</v>
      </c>
    </row>
    <row r="630" spans="1:9" x14ac:dyDescent="0.15">
      <c r="A630" s="9">
        <v>629</v>
      </c>
      <c r="B630" s="9" t="s">
        <v>9</v>
      </c>
      <c r="C630" s="9">
        <v>1912</v>
      </c>
      <c r="D630" s="10">
        <v>45616</v>
      </c>
      <c r="E630" s="13" t="str">
        <f>+HYPERLINK("http://trademark.i-assist.jp/data/china/image_1912th/80421691.pdf","80421691")</f>
        <v>80421691</v>
      </c>
      <c r="F630" s="9" t="s">
        <v>1816</v>
      </c>
      <c r="G630" s="9" t="s">
        <v>1817</v>
      </c>
      <c r="H630" s="9" t="s">
        <v>1818</v>
      </c>
      <c r="I630" s="10">
        <v>45521</v>
      </c>
    </row>
    <row r="631" spans="1:9" x14ac:dyDescent="0.15">
      <c r="A631" s="9">
        <v>630</v>
      </c>
      <c r="B631" s="9" t="s">
        <v>9</v>
      </c>
      <c r="C631" s="9">
        <v>1912</v>
      </c>
      <c r="D631" s="10">
        <v>45616</v>
      </c>
      <c r="E631" s="13" t="str">
        <f>+HYPERLINK("http://trademark.i-assist.jp/data/china/image_1912th/80421876.pdf","80421876")</f>
        <v>80421876</v>
      </c>
      <c r="F631" s="9" t="s">
        <v>1819</v>
      </c>
      <c r="G631" s="12" t="s">
        <v>1820</v>
      </c>
      <c r="H631" s="9" t="s">
        <v>1821</v>
      </c>
      <c r="I631" s="10">
        <v>45521</v>
      </c>
    </row>
    <row r="632" spans="1:9" x14ac:dyDescent="0.15">
      <c r="A632" s="9">
        <v>631</v>
      </c>
      <c r="B632" s="9" t="s">
        <v>9</v>
      </c>
      <c r="C632" s="9">
        <v>1912</v>
      </c>
      <c r="D632" s="10">
        <v>45616</v>
      </c>
      <c r="E632" s="13" t="str">
        <f>+HYPERLINK("http://trademark.i-assist.jp/data/china/image_1912th/80421946.pdf","80421946")</f>
        <v>80421946</v>
      </c>
      <c r="F632" s="9" t="s">
        <v>1822</v>
      </c>
      <c r="G632" s="9" t="s">
        <v>1823</v>
      </c>
      <c r="H632" s="9" t="s">
        <v>1824</v>
      </c>
      <c r="I632" s="10">
        <v>45521</v>
      </c>
    </row>
    <row r="633" spans="1:9" x14ac:dyDescent="0.15">
      <c r="A633" s="9">
        <v>632</v>
      </c>
      <c r="B633" s="9" t="s">
        <v>9</v>
      </c>
      <c r="C633" s="9">
        <v>1912</v>
      </c>
      <c r="D633" s="10">
        <v>45616</v>
      </c>
      <c r="E633" s="13" t="str">
        <f>+HYPERLINK("http://trademark.i-assist.jp/data/china/image_1912th/80422193.pdf","80422193")</f>
        <v>80422193</v>
      </c>
      <c r="F633" s="9" t="s">
        <v>1825</v>
      </c>
      <c r="G633" s="12" t="s">
        <v>1826</v>
      </c>
      <c r="H633" s="9" t="s">
        <v>1827</v>
      </c>
      <c r="I633" s="10">
        <v>45521</v>
      </c>
    </row>
    <row r="634" spans="1:9" x14ac:dyDescent="0.15">
      <c r="A634" s="9">
        <v>633</v>
      </c>
      <c r="B634" s="9" t="s">
        <v>9</v>
      </c>
      <c r="C634" s="9">
        <v>1912</v>
      </c>
      <c r="D634" s="10">
        <v>45616</v>
      </c>
      <c r="E634" s="13" t="str">
        <f>+HYPERLINK("http://trademark.i-assist.jp/data/china/image_1912th/80422386.pdf","80422386")</f>
        <v>80422386</v>
      </c>
      <c r="F634" s="9" t="s">
        <v>1828</v>
      </c>
      <c r="G634" s="12" t="s">
        <v>1820</v>
      </c>
      <c r="H634" s="9" t="s">
        <v>1829</v>
      </c>
      <c r="I634" s="10">
        <v>45521</v>
      </c>
    </row>
    <row r="635" spans="1:9" x14ac:dyDescent="0.15">
      <c r="A635" s="9">
        <v>634</v>
      </c>
      <c r="B635" s="9" t="s">
        <v>9</v>
      </c>
      <c r="C635" s="9">
        <v>1912</v>
      </c>
      <c r="D635" s="10">
        <v>45616</v>
      </c>
      <c r="E635" s="13" t="str">
        <f>+HYPERLINK("http://trademark.i-assist.jp/data/china/image_1912th/80422582.pdf","80422582")</f>
        <v>80422582</v>
      </c>
      <c r="F635" s="9" t="s">
        <v>1830</v>
      </c>
      <c r="G635" s="9" t="s">
        <v>1811</v>
      </c>
      <c r="H635" s="9" t="s">
        <v>1831</v>
      </c>
      <c r="I635" s="10">
        <v>45521</v>
      </c>
    </row>
    <row r="636" spans="1:9" x14ac:dyDescent="0.15">
      <c r="A636" s="9">
        <v>635</v>
      </c>
      <c r="B636" s="9" t="s">
        <v>9</v>
      </c>
      <c r="C636" s="9">
        <v>1912</v>
      </c>
      <c r="D636" s="10">
        <v>45616</v>
      </c>
      <c r="E636" s="13" t="str">
        <f>+HYPERLINK("http://trademark.i-assist.jp/data/china/image_1912th/80423366.pdf","80423366")</f>
        <v>80423366</v>
      </c>
      <c r="F636" s="9" t="s">
        <v>1832</v>
      </c>
      <c r="G636" s="9" t="s">
        <v>1833</v>
      </c>
      <c r="H636" s="9" t="s">
        <v>1834</v>
      </c>
      <c r="I636" s="10">
        <v>45521</v>
      </c>
    </row>
    <row r="637" spans="1:9" x14ac:dyDescent="0.15">
      <c r="A637" s="9">
        <v>636</v>
      </c>
      <c r="B637" s="9" t="s">
        <v>9</v>
      </c>
      <c r="C637" s="9">
        <v>1912</v>
      </c>
      <c r="D637" s="10">
        <v>45616</v>
      </c>
      <c r="E637" s="13" t="str">
        <f>+HYPERLINK("http://trademark.i-assist.jp/data/china/image_1912th/80423636.pdf","80423636")</f>
        <v>80423636</v>
      </c>
      <c r="F637" s="9" t="s">
        <v>1835</v>
      </c>
      <c r="G637" s="9" t="s">
        <v>1836</v>
      </c>
      <c r="H637" s="9" t="s">
        <v>1837</v>
      </c>
      <c r="I637" s="10">
        <v>45522</v>
      </c>
    </row>
    <row r="638" spans="1:9" x14ac:dyDescent="0.15">
      <c r="A638" s="9">
        <v>637</v>
      </c>
      <c r="B638" s="9" t="s">
        <v>9</v>
      </c>
      <c r="C638" s="9">
        <v>1912</v>
      </c>
      <c r="D638" s="10">
        <v>45616</v>
      </c>
      <c r="E638" s="13" t="str">
        <f>+HYPERLINK("http://trademark.i-assist.jp/data/china/image_1912th/80423964.pdf","80423964")</f>
        <v>80423964</v>
      </c>
      <c r="F638" s="9" t="s">
        <v>1838</v>
      </c>
      <c r="G638" s="9" t="s">
        <v>1839</v>
      </c>
      <c r="H638" s="9" t="s">
        <v>1840</v>
      </c>
      <c r="I638" s="10">
        <v>45522</v>
      </c>
    </row>
    <row r="639" spans="1:9" x14ac:dyDescent="0.15">
      <c r="A639" s="9">
        <v>638</v>
      </c>
      <c r="B639" s="9" t="s">
        <v>9</v>
      </c>
      <c r="C639" s="9">
        <v>1912</v>
      </c>
      <c r="D639" s="10">
        <v>45616</v>
      </c>
      <c r="E639" s="13" t="str">
        <f>+HYPERLINK("http://trademark.i-assist.jp/data/china/image_1912th/80424114.pdf","80424114")</f>
        <v>80424114</v>
      </c>
      <c r="F639" s="9" t="s">
        <v>1841</v>
      </c>
      <c r="G639" s="9" t="s">
        <v>1842</v>
      </c>
      <c r="H639" s="9" t="s">
        <v>1843</v>
      </c>
      <c r="I639" s="10">
        <v>45522</v>
      </c>
    </row>
    <row r="640" spans="1:9" x14ac:dyDescent="0.15">
      <c r="A640" s="9">
        <v>639</v>
      </c>
      <c r="B640" s="9" t="s">
        <v>9</v>
      </c>
      <c r="C640" s="9">
        <v>1912</v>
      </c>
      <c r="D640" s="10">
        <v>45616</v>
      </c>
      <c r="E640" s="13" t="str">
        <f>+HYPERLINK("http://trademark.i-assist.jp/data/china/image_1912th/80424397.pdf","80424397")</f>
        <v>80424397</v>
      </c>
      <c r="F640" s="9" t="s">
        <v>1844</v>
      </c>
      <c r="G640" s="9" t="s">
        <v>1845</v>
      </c>
      <c r="H640" s="9" t="s">
        <v>1846</v>
      </c>
      <c r="I640" s="10">
        <v>45522</v>
      </c>
    </row>
    <row r="641" spans="1:9" x14ac:dyDescent="0.15">
      <c r="A641" s="9">
        <v>640</v>
      </c>
      <c r="B641" s="9" t="s">
        <v>9</v>
      </c>
      <c r="C641" s="9">
        <v>1912</v>
      </c>
      <c r="D641" s="10">
        <v>45616</v>
      </c>
      <c r="E641" s="13" t="str">
        <f>+HYPERLINK("http://trademark.i-assist.jp/data/china/image_1912th/80424526.pdf","80424526")</f>
        <v>80424526</v>
      </c>
      <c r="F641" s="9" t="s">
        <v>1847</v>
      </c>
      <c r="G641" s="12" t="s">
        <v>1848</v>
      </c>
      <c r="H641" s="9" t="s">
        <v>1849</v>
      </c>
      <c r="I641" s="10">
        <v>45522</v>
      </c>
    </row>
    <row r="642" spans="1:9" x14ac:dyDescent="0.15">
      <c r="A642" s="9">
        <v>641</v>
      </c>
      <c r="B642" s="9" t="s">
        <v>9</v>
      </c>
      <c r="C642" s="9">
        <v>1912</v>
      </c>
      <c r="D642" s="10">
        <v>45616</v>
      </c>
      <c r="E642" s="13" t="str">
        <f>+HYPERLINK("http://trademark.i-assist.jp/data/china/image_1912th/80425019.pdf","80425019")</f>
        <v>80425019</v>
      </c>
      <c r="F642" s="9" t="s">
        <v>1850</v>
      </c>
      <c r="G642" s="9" t="s">
        <v>1851</v>
      </c>
      <c r="H642" s="9" t="s">
        <v>1852</v>
      </c>
      <c r="I642" s="10">
        <v>45522</v>
      </c>
    </row>
    <row r="643" spans="1:9" x14ac:dyDescent="0.15">
      <c r="A643" s="9">
        <v>642</v>
      </c>
      <c r="B643" s="9" t="s">
        <v>9</v>
      </c>
      <c r="C643" s="9">
        <v>1912</v>
      </c>
      <c r="D643" s="10">
        <v>45616</v>
      </c>
      <c r="E643" s="13" t="str">
        <f>+HYPERLINK("http://trademark.i-assist.jp/data/china/image_1912th/80425212.pdf","80425212")</f>
        <v>80425212</v>
      </c>
      <c r="F643" s="9" t="s">
        <v>1853</v>
      </c>
      <c r="G643" s="9" t="s">
        <v>1836</v>
      </c>
      <c r="H643" s="9" t="s">
        <v>1854</v>
      </c>
      <c r="I643" s="10">
        <v>45522</v>
      </c>
    </row>
    <row r="644" spans="1:9" x14ac:dyDescent="0.15">
      <c r="A644" s="9">
        <v>643</v>
      </c>
      <c r="B644" s="9" t="s">
        <v>9</v>
      </c>
      <c r="C644" s="9">
        <v>1912</v>
      </c>
      <c r="D644" s="10">
        <v>45616</v>
      </c>
      <c r="E644" s="13" t="str">
        <f>+HYPERLINK("http://trademark.i-assist.jp/data/china/image_1912th/80425803.pdf","80425803")</f>
        <v>80425803</v>
      </c>
      <c r="F644" s="12" t="s">
        <v>1855</v>
      </c>
      <c r="G644" s="9" t="s">
        <v>1856</v>
      </c>
      <c r="H644" s="9" t="s">
        <v>1857</v>
      </c>
      <c r="I644" s="10">
        <v>45522</v>
      </c>
    </row>
    <row r="645" spans="1:9" x14ac:dyDescent="0.15">
      <c r="A645" s="9">
        <v>644</v>
      </c>
      <c r="B645" s="9" t="s">
        <v>9</v>
      </c>
      <c r="C645" s="9">
        <v>1912</v>
      </c>
      <c r="D645" s="10">
        <v>45616</v>
      </c>
      <c r="E645" s="13" t="str">
        <f>+HYPERLINK("http://trademark.i-assist.jp/data/china/image_1912th/80426038.pdf","80426038")</f>
        <v>80426038</v>
      </c>
      <c r="F645" s="12" t="s">
        <v>1858</v>
      </c>
      <c r="G645" s="9" t="s">
        <v>1859</v>
      </c>
      <c r="H645" s="9" t="s">
        <v>1860</v>
      </c>
      <c r="I645" s="10">
        <v>45522</v>
      </c>
    </row>
    <row r="646" spans="1:9" x14ac:dyDescent="0.15">
      <c r="A646" s="9">
        <v>645</v>
      </c>
      <c r="B646" s="9" t="s">
        <v>9</v>
      </c>
      <c r="C646" s="9">
        <v>1912</v>
      </c>
      <c r="D646" s="10">
        <v>45616</v>
      </c>
      <c r="E646" s="13" t="str">
        <f>+HYPERLINK("http://trademark.i-assist.jp/data/china/image_1912th/80426662.pdf","80426662")</f>
        <v>80426662</v>
      </c>
      <c r="F646" s="11" t="s">
        <v>1861</v>
      </c>
      <c r="G646" s="12" t="s">
        <v>1862</v>
      </c>
      <c r="H646" s="9" t="s">
        <v>1863</v>
      </c>
      <c r="I646" s="10">
        <v>45523</v>
      </c>
    </row>
    <row r="647" spans="1:9" x14ac:dyDescent="0.15">
      <c r="A647" s="9">
        <v>646</v>
      </c>
      <c r="B647" s="9" t="s">
        <v>9</v>
      </c>
      <c r="C647" s="9">
        <v>1912</v>
      </c>
      <c r="D647" s="10">
        <v>45616</v>
      </c>
      <c r="E647" s="13" t="str">
        <f>+HYPERLINK("http://trademark.i-assist.jp/data/china/image_1912th/80426865.pdf","80426865")</f>
        <v>80426865</v>
      </c>
      <c r="F647" s="9" t="s">
        <v>1864</v>
      </c>
      <c r="G647" s="12" t="s">
        <v>1865</v>
      </c>
      <c r="H647" s="9" t="s">
        <v>1866</v>
      </c>
      <c r="I647" s="10">
        <v>45523</v>
      </c>
    </row>
    <row r="648" spans="1:9" x14ac:dyDescent="0.15">
      <c r="A648" s="9">
        <v>647</v>
      </c>
      <c r="B648" s="9" t="s">
        <v>9</v>
      </c>
      <c r="C648" s="9">
        <v>1912</v>
      </c>
      <c r="D648" s="10">
        <v>45616</v>
      </c>
      <c r="E648" s="13" t="str">
        <f>+HYPERLINK("http://trademark.i-assist.jp/data/china/image_1912th/80427727.pdf","80427727")</f>
        <v>80427727</v>
      </c>
      <c r="F648" s="12" t="s">
        <v>1867</v>
      </c>
      <c r="G648" s="12" t="s">
        <v>1868</v>
      </c>
      <c r="H648" s="9" t="s">
        <v>1869</v>
      </c>
      <c r="I648" s="10">
        <v>45523</v>
      </c>
    </row>
    <row r="649" spans="1:9" x14ac:dyDescent="0.15">
      <c r="A649" s="9">
        <v>648</v>
      </c>
      <c r="B649" s="9" t="s">
        <v>9</v>
      </c>
      <c r="C649" s="9">
        <v>1912</v>
      </c>
      <c r="D649" s="10">
        <v>45616</v>
      </c>
      <c r="E649" s="13" t="str">
        <f>+HYPERLINK("http://trademark.i-assist.jp/data/china/image_1912th/80428259.pdf","80428259")</f>
        <v>80428259</v>
      </c>
      <c r="F649" s="12" t="s">
        <v>1870</v>
      </c>
      <c r="G649" s="9" t="s">
        <v>1871</v>
      </c>
      <c r="H649" s="9" t="s">
        <v>1872</v>
      </c>
      <c r="I649" s="10">
        <v>45523</v>
      </c>
    </row>
    <row r="650" spans="1:9" x14ac:dyDescent="0.15">
      <c r="A650" s="9">
        <v>649</v>
      </c>
      <c r="B650" s="9" t="s">
        <v>9</v>
      </c>
      <c r="C650" s="9">
        <v>1912</v>
      </c>
      <c r="D650" s="10">
        <v>45616</v>
      </c>
      <c r="E650" s="13" t="str">
        <f>+HYPERLINK("http://trademark.i-assist.jp/data/china/image_1912th/80428450.pdf","80428450")</f>
        <v>80428450</v>
      </c>
      <c r="F650" s="9" t="s">
        <v>1873</v>
      </c>
      <c r="G650" s="12" t="s">
        <v>1874</v>
      </c>
      <c r="H650" s="9" t="s">
        <v>1875</v>
      </c>
      <c r="I650" s="10">
        <v>45523</v>
      </c>
    </row>
    <row r="651" spans="1:9" x14ac:dyDescent="0.15">
      <c r="A651" s="9">
        <v>650</v>
      </c>
      <c r="B651" s="9" t="s">
        <v>9</v>
      </c>
      <c r="C651" s="9">
        <v>1912</v>
      </c>
      <c r="D651" s="10">
        <v>45616</v>
      </c>
      <c r="E651" s="13" t="str">
        <f>+HYPERLINK("http://trademark.i-assist.jp/data/china/image_1912th/80428828.pdf","80428828")</f>
        <v>80428828</v>
      </c>
      <c r="F651" s="9" t="s">
        <v>1876</v>
      </c>
      <c r="G651" s="9" t="s">
        <v>1877</v>
      </c>
      <c r="H651" s="9" t="s">
        <v>1878</v>
      </c>
      <c r="I651" s="10">
        <v>45523</v>
      </c>
    </row>
    <row r="652" spans="1:9" x14ac:dyDescent="0.15">
      <c r="A652" s="9">
        <v>651</v>
      </c>
      <c r="B652" s="9" t="s">
        <v>9</v>
      </c>
      <c r="C652" s="9">
        <v>1912</v>
      </c>
      <c r="D652" s="10">
        <v>45616</v>
      </c>
      <c r="E652" s="13" t="str">
        <f>+HYPERLINK("http://trademark.i-assist.jp/data/china/image_1912th/80428847.pdf","80428847")</f>
        <v>80428847</v>
      </c>
      <c r="F652" s="9" t="s">
        <v>1879</v>
      </c>
      <c r="G652" s="9" t="s">
        <v>1877</v>
      </c>
      <c r="H652" s="9" t="s">
        <v>1880</v>
      </c>
      <c r="I652" s="10">
        <v>45523</v>
      </c>
    </row>
    <row r="653" spans="1:9" x14ac:dyDescent="0.15">
      <c r="A653" s="9">
        <v>652</v>
      </c>
      <c r="B653" s="9" t="s">
        <v>9</v>
      </c>
      <c r="C653" s="9">
        <v>1912</v>
      </c>
      <c r="D653" s="10">
        <v>45616</v>
      </c>
      <c r="E653" s="13" t="str">
        <f>+HYPERLINK("http://trademark.i-assist.jp/data/china/image_1912th/80429007.pdf","80429007")</f>
        <v>80429007</v>
      </c>
      <c r="F653" s="9" t="s">
        <v>1881</v>
      </c>
      <c r="G653" s="9" t="s">
        <v>1882</v>
      </c>
      <c r="H653" s="9" t="s">
        <v>1883</v>
      </c>
      <c r="I653" s="10">
        <v>45523</v>
      </c>
    </row>
    <row r="654" spans="1:9" x14ac:dyDescent="0.15">
      <c r="A654" s="9">
        <v>653</v>
      </c>
      <c r="B654" s="9" t="s">
        <v>9</v>
      </c>
      <c r="C654" s="9">
        <v>1912</v>
      </c>
      <c r="D654" s="10">
        <v>45616</v>
      </c>
      <c r="E654" s="13" t="str">
        <f>+HYPERLINK("http://trademark.i-assist.jp/data/china/image_1912th/80429273.pdf","80429273")</f>
        <v>80429273</v>
      </c>
      <c r="F654" s="12" t="s">
        <v>1884</v>
      </c>
      <c r="G654" s="9" t="s">
        <v>1885</v>
      </c>
      <c r="H654" s="9" t="s">
        <v>1886</v>
      </c>
      <c r="I654" s="10">
        <v>45523</v>
      </c>
    </row>
    <row r="655" spans="1:9" x14ac:dyDescent="0.15">
      <c r="A655" s="9">
        <v>654</v>
      </c>
      <c r="B655" s="9" t="s">
        <v>9</v>
      </c>
      <c r="C655" s="9">
        <v>1912</v>
      </c>
      <c r="D655" s="10">
        <v>45616</v>
      </c>
      <c r="E655" s="13" t="str">
        <f>+HYPERLINK("http://trademark.i-assist.jp/data/china/image_1912th/80429314.pdf","80429314")</f>
        <v>80429314</v>
      </c>
      <c r="F655" s="9" t="s">
        <v>1887</v>
      </c>
      <c r="G655" s="9" t="s">
        <v>1888</v>
      </c>
      <c r="H655" s="12" t="s">
        <v>1889</v>
      </c>
      <c r="I655" s="10">
        <v>45523</v>
      </c>
    </row>
    <row r="656" spans="1:9" x14ac:dyDescent="0.15">
      <c r="A656" s="9">
        <v>655</v>
      </c>
      <c r="B656" s="9" t="s">
        <v>9</v>
      </c>
      <c r="C656" s="9">
        <v>1912</v>
      </c>
      <c r="D656" s="10">
        <v>45616</v>
      </c>
      <c r="E656" s="13" t="str">
        <f>+HYPERLINK("http://trademark.i-assist.jp/data/china/image_1912th/80429369.pdf","80429369")</f>
        <v>80429369</v>
      </c>
      <c r="F656" s="9" t="s">
        <v>1890</v>
      </c>
      <c r="G656" s="12" t="s">
        <v>1891</v>
      </c>
      <c r="H656" s="9" t="s">
        <v>1892</v>
      </c>
      <c r="I656" s="10">
        <v>45523</v>
      </c>
    </row>
    <row r="657" spans="1:9" x14ac:dyDescent="0.15">
      <c r="A657" s="9">
        <v>656</v>
      </c>
      <c r="B657" s="9" t="s">
        <v>9</v>
      </c>
      <c r="C657" s="9">
        <v>1912</v>
      </c>
      <c r="D657" s="10">
        <v>45616</v>
      </c>
      <c r="E657" s="13" t="str">
        <f>+HYPERLINK("http://trademark.i-assist.jp/data/china/image_1912th/80430074.pdf","80430074")</f>
        <v>80430074</v>
      </c>
      <c r="F657" s="12" t="s">
        <v>1893</v>
      </c>
      <c r="G657" s="12" t="s">
        <v>1894</v>
      </c>
      <c r="H657" s="9" t="s">
        <v>1895</v>
      </c>
      <c r="I657" s="10">
        <v>45523</v>
      </c>
    </row>
    <row r="658" spans="1:9" x14ac:dyDescent="0.15">
      <c r="A658" s="9">
        <v>657</v>
      </c>
      <c r="B658" s="9" t="s">
        <v>9</v>
      </c>
      <c r="C658" s="9">
        <v>1912</v>
      </c>
      <c r="D658" s="10">
        <v>45616</v>
      </c>
      <c r="E658" s="13" t="str">
        <f>+HYPERLINK("http://trademark.i-assist.jp/data/china/image_1912th/80430451.pdf","80430451")</f>
        <v>80430451</v>
      </c>
      <c r="F658" s="9" t="s">
        <v>1896</v>
      </c>
      <c r="G658" s="12" t="s">
        <v>1897</v>
      </c>
      <c r="H658" s="9" t="s">
        <v>1898</v>
      </c>
      <c r="I658" s="10">
        <v>45523</v>
      </c>
    </row>
    <row r="659" spans="1:9" x14ac:dyDescent="0.15">
      <c r="A659" s="9">
        <v>658</v>
      </c>
      <c r="B659" s="9" t="s">
        <v>9</v>
      </c>
      <c r="C659" s="9">
        <v>1912</v>
      </c>
      <c r="D659" s="10">
        <v>45616</v>
      </c>
      <c r="E659" s="13" t="str">
        <f>+HYPERLINK("http://trademark.i-assist.jp/data/china/image_1912th/80430530.pdf","80430530")</f>
        <v>80430530</v>
      </c>
      <c r="F659" s="12" t="s">
        <v>1899</v>
      </c>
      <c r="G659" s="9" t="s">
        <v>1900</v>
      </c>
      <c r="H659" s="9" t="s">
        <v>1901</v>
      </c>
      <c r="I659" s="10">
        <v>45523</v>
      </c>
    </row>
    <row r="660" spans="1:9" x14ac:dyDescent="0.15">
      <c r="A660" s="9">
        <v>659</v>
      </c>
      <c r="B660" s="9" t="s">
        <v>9</v>
      </c>
      <c r="C660" s="9">
        <v>1912</v>
      </c>
      <c r="D660" s="10">
        <v>45616</v>
      </c>
      <c r="E660" s="13" t="str">
        <f>+HYPERLINK("http://trademark.i-assist.jp/data/china/image_1912th/80430873.pdf","80430873")</f>
        <v>80430873</v>
      </c>
      <c r="F660" s="9" t="s">
        <v>1902</v>
      </c>
      <c r="G660" s="9" t="s">
        <v>1903</v>
      </c>
      <c r="H660" s="9" t="s">
        <v>1904</v>
      </c>
      <c r="I660" s="10">
        <v>45523</v>
      </c>
    </row>
    <row r="661" spans="1:9" x14ac:dyDescent="0.15">
      <c r="A661" s="9">
        <v>660</v>
      </c>
      <c r="B661" s="9" t="s">
        <v>9</v>
      </c>
      <c r="C661" s="9">
        <v>1912</v>
      </c>
      <c r="D661" s="10">
        <v>45616</v>
      </c>
      <c r="E661" s="13" t="str">
        <f>+HYPERLINK("http://trademark.i-assist.jp/data/china/image_1912th/80430955.pdf","80430955")</f>
        <v>80430955</v>
      </c>
      <c r="F661" s="9" t="s">
        <v>1905</v>
      </c>
      <c r="G661" s="9" t="s">
        <v>1906</v>
      </c>
      <c r="H661" s="9" t="s">
        <v>1907</v>
      </c>
      <c r="I661" s="10">
        <v>45523</v>
      </c>
    </row>
    <row r="662" spans="1:9" x14ac:dyDescent="0.15">
      <c r="A662" s="9">
        <v>661</v>
      </c>
      <c r="B662" s="9" t="s">
        <v>9</v>
      </c>
      <c r="C662" s="9">
        <v>1912</v>
      </c>
      <c r="D662" s="10">
        <v>45616</v>
      </c>
      <c r="E662" s="13" t="str">
        <f>+HYPERLINK("http://trademark.i-assist.jp/data/china/image_1912th/80431007.pdf","80431007")</f>
        <v>80431007</v>
      </c>
      <c r="F662" s="9" t="s">
        <v>1908</v>
      </c>
      <c r="G662" s="12" t="s">
        <v>1909</v>
      </c>
      <c r="H662" s="9" t="s">
        <v>1910</v>
      </c>
      <c r="I662" s="10">
        <v>45523</v>
      </c>
    </row>
    <row r="663" spans="1:9" x14ac:dyDescent="0.15">
      <c r="A663" s="9">
        <v>662</v>
      </c>
      <c r="B663" s="9" t="s">
        <v>9</v>
      </c>
      <c r="C663" s="9">
        <v>1912</v>
      </c>
      <c r="D663" s="10">
        <v>45616</v>
      </c>
      <c r="E663" s="13" t="str">
        <f>+HYPERLINK("http://trademark.i-assist.jp/data/china/image_1912th/80431414.pdf","80431414")</f>
        <v>80431414</v>
      </c>
      <c r="F663" s="9" t="s">
        <v>1911</v>
      </c>
      <c r="G663" s="12" t="s">
        <v>1912</v>
      </c>
      <c r="H663" s="9" t="s">
        <v>1913</v>
      </c>
      <c r="I663" s="10">
        <v>45523</v>
      </c>
    </row>
    <row r="664" spans="1:9" x14ac:dyDescent="0.15">
      <c r="A664" s="9">
        <v>663</v>
      </c>
      <c r="B664" s="9" t="s">
        <v>9</v>
      </c>
      <c r="C664" s="9">
        <v>1912</v>
      </c>
      <c r="D664" s="10">
        <v>45616</v>
      </c>
      <c r="E664" s="13" t="str">
        <f>+HYPERLINK("http://trademark.i-assist.jp/data/china/image_1912th/80431891.pdf","80431891")</f>
        <v>80431891</v>
      </c>
      <c r="F664" s="9" t="s">
        <v>1914</v>
      </c>
      <c r="G664" s="12" t="s">
        <v>1915</v>
      </c>
      <c r="H664" s="9" t="s">
        <v>1916</v>
      </c>
      <c r="I664" s="10">
        <v>45523</v>
      </c>
    </row>
    <row r="665" spans="1:9" x14ac:dyDescent="0.15">
      <c r="A665" s="9">
        <v>664</v>
      </c>
      <c r="B665" s="9" t="s">
        <v>9</v>
      </c>
      <c r="C665" s="9">
        <v>1912</v>
      </c>
      <c r="D665" s="10">
        <v>45616</v>
      </c>
      <c r="E665" s="13" t="str">
        <f>+HYPERLINK("http://trademark.i-assist.jp/data/china/image_1912th/80432301.pdf","80432301")</f>
        <v>80432301</v>
      </c>
      <c r="F665" s="9" t="s">
        <v>1917</v>
      </c>
      <c r="G665" s="12" t="s">
        <v>1874</v>
      </c>
      <c r="H665" s="12" t="s">
        <v>1918</v>
      </c>
      <c r="I665" s="10">
        <v>45523</v>
      </c>
    </row>
    <row r="666" spans="1:9" x14ac:dyDescent="0.15">
      <c r="A666" s="9">
        <v>665</v>
      </c>
      <c r="B666" s="9" t="s">
        <v>9</v>
      </c>
      <c r="C666" s="9">
        <v>1912</v>
      </c>
      <c r="D666" s="10">
        <v>45616</v>
      </c>
      <c r="E666" s="13" t="str">
        <f>+HYPERLINK("http://trademark.i-assist.jp/data/china/image_1912th/80432402.pdf","80432402")</f>
        <v>80432402</v>
      </c>
      <c r="F666" s="9" t="s">
        <v>1919</v>
      </c>
      <c r="G666" s="9" t="s">
        <v>1920</v>
      </c>
      <c r="H666" s="9" t="s">
        <v>1921</v>
      </c>
      <c r="I666" s="10">
        <v>45523</v>
      </c>
    </row>
    <row r="667" spans="1:9" x14ac:dyDescent="0.15">
      <c r="A667" s="9">
        <v>666</v>
      </c>
      <c r="B667" s="9" t="s">
        <v>9</v>
      </c>
      <c r="C667" s="9">
        <v>1912</v>
      </c>
      <c r="D667" s="10">
        <v>45616</v>
      </c>
      <c r="E667" s="13" t="str">
        <f>+HYPERLINK("http://trademark.i-assist.jp/data/china/image_1912th/80432597.pdf","80432597")</f>
        <v>80432597</v>
      </c>
      <c r="F667" s="9" t="s">
        <v>1922</v>
      </c>
      <c r="G667" s="12" t="s">
        <v>1897</v>
      </c>
      <c r="H667" s="9" t="s">
        <v>1923</v>
      </c>
      <c r="I667" s="10">
        <v>45523</v>
      </c>
    </row>
    <row r="668" spans="1:9" x14ac:dyDescent="0.15">
      <c r="A668" s="9">
        <v>667</v>
      </c>
      <c r="B668" s="9" t="s">
        <v>9</v>
      </c>
      <c r="C668" s="9">
        <v>1912</v>
      </c>
      <c r="D668" s="10">
        <v>45616</v>
      </c>
      <c r="E668" s="13" t="str">
        <f>+HYPERLINK("http://trademark.i-assist.jp/data/china/image_1912th/80432699.pdf","80432699")</f>
        <v>80432699</v>
      </c>
      <c r="F668" s="9" t="s">
        <v>1924</v>
      </c>
      <c r="G668" s="9" t="s">
        <v>1925</v>
      </c>
      <c r="H668" s="9" t="s">
        <v>1926</v>
      </c>
      <c r="I668" s="10">
        <v>45523</v>
      </c>
    </row>
    <row r="669" spans="1:9" x14ac:dyDescent="0.15">
      <c r="A669" s="9">
        <v>668</v>
      </c>
      <c r="B669" s="9" t="s">
        <v>9</v>
      </c>
      <c r="C669" s="9">
        <v>1912</v>
      </c>
      <c r="D669" s="10">
        <v>45616</v>
      </c>
      <c r="E669" s="13" t="str">
        <f>+HYPERLINK("http://trademark.i-assist.jp/data/china/image_1912th/80432728.pdf","80432728")</f>
        <v>80432728</v>
      </c>
      <c r="F669" s="9" t="s">
        <v>1927</v>
      </c>
      <c r="G669" s="12" t="s">
        <v>1928</v>
      </c>
      <c r="H669" s="9" t="s">
        <v>1929</v>
      </c>
      <c r="I669" s="10">
        <v>45523</v>
      </c>
    </row>
    <row r="670" spans="1:9" x14ac:dyDescent="0.15">
      <c r="A670" s="9">
        <v>669</v>
      </c>
      <c r="B670" s="9" t="s">
        <v>9</v>
      </c>
      <c r="C670" s="9">
        <v>1912</v>
      </c>
      <c r="D670" s="10">
        <v>45616</v>
      </c>
      <c r="E670" s="13" t="str">
        <f>+HYPERLINK("http://trademark.i-assist.jp/data/china/image_1912th/80433234.pdf","80433234")</f>
        <v>80433234</v>
      </c>
      <c r="F670" s="9" t="s">
        <v>1930</v>
      </c>
      <c r="G670" s="9" t="s">
        <v>1931</v>
      </c>
      <c r="H670" s="9" t="s">
        <v>1932</v>
      </c>
      <c r="I670" s="10">
        <v>45523</v>
      </c>
    </row>
    <row r="671" spans="1:9" x14ac:dyDescent="0.15">
      <c r="A671" s="9">
        <v>670</v>
      </c>
      <c r="B671" s="9" t="s">
        <v>9</v>
      </c>
      <c r="C671" s="9">
        <v>1912</v>
      </c>
      <c r="D671" s="10">
        <v>45616</v>
      </c>
      <c r="E671" s="13" t="str">
        <f>+HYPERLINK("http://trademark.i-assist.jp/data/china/image_1912th/80433481.pdf","80433481")</f>
        <v>80433481</v>
      </c>
      <c r="F671" s="12" t="s">
        <v>1893</v>
      </c>
      <c r="G671" s="12" t="s">
        <v>1894</v>
      </c>
      <c r="H671" s="9" t="s">
        <v>1933</v>
      </c>
      <c r="I671" s="10">
        <v>45523</v>
      </c>
    </row>
    <row r="672" spans="1:9" x14ac:dyDescent="0.15">
      <c r="A672" s="9">
        <v>671</v>
      </c>
      <c r="B672" s="9" t="s">
        <v>9</v>
      </c>
      <c r="C672" s="9">
        <v>1912</v>
      </c>
      <c r="D672" s="10">
        <v>45616</v>
      </c>
      <c r="E672" s="13" t="str">
        <f>+HYPERLINK("http://trademark.i-assist.jp/data/china/image_1912th/80434125.pdf","80434125")</f>
        <v>80434125</v>
      </c>
      <c r="F672" s="9" t="s">
        <v>1934</v>
      </c>
      <c r="G672" s="12" t="s">
        <v>1935</v>
      </c>
      <c r="H672" s="9" t="s">
        <v>1936</v>
      </c>
      <c r="I672" s="10">
        <v>45523</v>
      </c>
    </row>
    <row r="673" spans="1:9" x14ac:dyDescent="0.15">
      <c r="A673" s="9">
        <v>672</v>
      </c>
      <c r="B673" s="9" t="s">
        <v>9</v>
      </c>
      <c r="C673" s="9">
        <v>1912</v>
      </c>
      <c r="D673" s="10">
        <v>45616</v>
      </c>
      <c r="E673" s="13" t="str">
        <f>+HYPERLINK("http://trademark.i-assist.jp/data/china/image_1912th/80434128.pdf","80434128")</f>
        <v>80434128</v>
      </c>
      <c r="F673" s="9" t="s">
        <v>1937</v>
      </c>
      <c r="G673" s="9" t="s">
        <v>1938</v>
      </c>
      <c r="H673" s="9" t="s">
        <v>1939</v>
      </c>
      <c r="I673" s="10">
        <v>45523</v>
      </c>
    </row>
    <row r="674" spans="1:9" x14ac:dyDescent="0.15">
      <c r="A674" s="9">
        <v>673</v>
      </c>
      <c r="B674" s="9" t="s">
        <v>9</v>
      </c>
      <c r="C674" s="9">
        <v>1912</v>
      </c>
      <c r="D674" s="10">
        <v>45616</v>
      </c>
      <c r="E674" s="13" t="str">
        <f>+HYPERLINK("http://trademark.i-assist.jp/data/china/image_1912th/80434178.pdf","80434178")</f>
        <v>80434178</v>
      </c>
      <c r="F674" s="9" t="s">
        <v>1940</v>
      </c>
      <c r="G674" s="9" t="s">
        <v>1941</v>
      </c>
      <c r="H674" s="9" t="s">
        <v>1942</v>
      </c>
      <c r="I674" s="10">
        <v>45523</v>
      </c>
    </row>
    <row r="675" spans="1:9" x14ac:dyDescent="0.15">
      <c r="A675" s="9">
        <v>674</v>
      </c>
      <c r="B675" s="9" t="s">
        <v>9</v>
      </c>
      <c r="C675" s="9">
        <v>1912</v>
      </c>
      <c r="D675" s="10">
        <v>45616</v>
      </c>
      <c r="E675" s="13" t="str">
        <f>+HYPERLINK("http://trademark.i-assist.jp/data/china/image_1912th/80434502.pdf","80434502")</f>
        <v>80434502</v>
      </c>
      <c r="F675" s="12" t="s">
        <v>1943</v>
      </c>
      <c r="G675" s="9" t="s">
        <v>1944</v>
      </c>
      <c r="H675" s="9" t="s">
        <v>1945</v>
      </c>
      <c r="I675" s="10">
        <v>45523</v>
      </c>
    </row>
    <row r="676" spans="1:9" x14ac:dyDescent="0.15">
      <c r="A676" s="9">
        <v>675</v>
      </c>
      <c r="B676" s="9" t="s">
        <v>9</v>
      </c>
      <c r="C676" s="9">
        <v>1912</v>
      </c>
      <c r="D676" s="10">
        <v>45616</v>
      </c>
      <c r="E676" s="13" t="str">
        <f>+HYPERLINK("http://trademark.i-assist.jp/data/china/image_1912th/80434810.pdf","80434810")</f>
        <v>80434810</v>
      </c>
      <c r="F676" s="9" t="s">
        <v>1946</v>
      </c>
      <c r="G676" s="12" t="s">
        <v>1947</v>
      </c>
      <c r="H676" s="9" t="s">
        <v>1948</v>
      </c>
      <c r="I676" s="10">
        <v>45523</v>
      </c>
    </row>
    <row r="677" spans="1:9" x14ac:dyDescent="0.15">
      <c r="A677" s="9">
        <v>676</v>
      </c>
      <c r="B677" s="9" t="s">
        <v>9</v>
      </c>
      <c r="C677" s="9">
        <v>1912</v>
      </c>
      <c r="D677" s="10">
        <v>45616</v>
      </c>
      <c r="E677" s="13" t="str">
        <f>+HYPERLINK("http://trademark.i-assist.jp/data/china/image_1912th/80435252.pdf","80435252")</f>
        <v>80435252</v>
      </c>
      <c r="F677" s="12" t="s">
        <v>1949</v>
      </c>
      <c r="G677" s="9" t="s">
        <v>1950</v>
      </c>
      <c r="H677" s="9" t="s">
        <v>1951</v>
      </c>
      <c r="I677" s="10">
        <v>45523</v>
      </c>
    </row>
    <row r="678" spans="1:9" x14ac:dyDescent="0.15">
      <c r="A678" s="9">
        <v>677</v>
      </c>
      <c r="B678" s="9" t="s">
        <v>9</v>
      </c>
      <c r="C678" s="9">
        <v>1912</v>
      </c>
      <c r="D678" s="10">
        <v>45616</v>
      </c>
      <c r="E678" s="13" t="str">
        <f>+HYPERLINK("http://trademark.i-assist.jp/data/china/image_1912th/80435308.pdf","80435308")</f>
        <v>80435308</v>
      </c>
      <c r="F678" s="9" t="s">
        <v>1952</v>
      </c>
      <c r="G678" s="12" t="s">
        <v>1953</v>
      </c>
      <c r="H678" s="12" t="s">
        <v>1954</v>
      </c>
      <c r="I678" s="10">
        <v>45523</v>
      </c>
    </row>
    <row r="679" spans="1:9" x14ac:dyDescent="0.15">
      <c r="A679" s="9">
        <v>678</v>
      </c>
      <c r="B679" s="9" t="s">
        <v>9</v>
      </c>
      <c r="C679" s="9">
        <v>1912</v>
      </c>
      <c r="D679" s="10">
        <v>45616</v>
      </c>
      <c r="E679" s="13" t="str">
        <f>+HYPERLINK("http://trademark.i-assist.jp/data/china/image_1912th/80435402.pdf","80435402")</f>
        <v>80435402</v>
      </c>
      <c r="F679" s="9" t="s">
        <v>1955</v>
      </c>
      <c r="G679" s="9" t="s">
        <v>1956</v>
      </c>
      <c r="H679" s="9" t="s">
        <v>1957</v>
      </c>
      <c r="I679" s="10">
        <v>45523</v>
      </c>
    </row>
    <row r="680" spans="1:9" x14ac:dyDescent="0.15">
      <c r="A680" s="9">
        <v>679</v>
      </c>
      <c r="B680" s="9" t="s">
        <v>9</v>
      </c>
      <c r="C680" s="9">
        <v>1912</v>
      </c>
      <c r="D680" s="10">
        <v>45616</v>
      </c>
      <c r="E680" s="13" t="str">
        <f>+HYPERLINK("http://trademark.i-assist.jp/data/china/image_1912th/80435689.pdf","80435689")</f>
        <v>80435689</v>
      </c>
      <c r="F680" s="9" t="s">
        <v>1958</v>
      </c>
      <c r="G680" s="9" t="s">
        <v>1959</v>
      </c>
      <c r="H680" s="12" t="s">
        <v>1960</v>
      </c>
      <c r="I680" s="10">
        <v>45523</v>
      </c>
    </row>
    <row r="681" spans="1:9" x14ac:dyDescent="0.15">
      <c r="A681" s="9">
        <v>680</v>
      </c>
      <c r="B681" s="9" t="s">
        <v>9</v>
      </c>
      <c r="C681" s="9">
        <v>1912</v>
      </c>
      <c r="D681" s="10">
        <v>45616</v>
      </c>
      <c r="E681" s="13" t="str">
        <f>+HYPERLINK("http://trademark.i-assist.jp/data/china/image_1912th/80436370.pdf","80436370")</f>
        <v>80436370</v>
      </c>
      <c r="F681" s="9" t="s">
        <v>1961</v>
      </c>
      <c r="G681" s="12" t="s">
        <v>1962</v>
      </c>
      <c r="H681" s="9" t="s">
        <v>1963</v>
      </c>
      <c r="I681" s="10">
        <v>45523</v>
      </c>
    </row>
    <row r="682" spans="1:9" x14ac:dyDescent="0.15">
      <c r="A682" s="9">
        <v>681</v>
      </c>
      <c r="B682" s="9" t="s">
        <v>9</v>
      </c>
      <c r="C682" s="9">
        <v>1912</v>
      </c>
      <c r="D682" s="10">
        <v>45616</v>
      </c>
      <c r="E682" s="13" t="str">
        <f>+HYPERLINK("http://trademark.i-assist.jp/data/china/image_1912th/80436506.pdf","80436506")</f>
        <v>80436506</v>
      </c>
      <c r="F682" s="9" t="s">
        <v>1964</v>
      </c>
      <c r="G682" s="12" t="s">
        <v>1965</v>
      </c>
      <c r="H682" s="9" t="s">
        <v>1966</v>
      </c>
      <c r="I682" s="10">
        <v>45523</v>
      </c>
    </row>
    <row r="683" spans="1:9" x14ac:dyDescent="0.15">
      <c r="A683" s="9">
        <v>682</v>
      </c>
      <c r="B683" s="9" t="s">
        <v>9</v>
      </c>
      <c r="C683" s="9">
        <v>1912</v>
      </c>
      <c r="D683" s="10">
        <v>45616</v>
      </c>
      <c r="E683" s="13" t="str">
        <f>+HYPERLINK("http://trademark.i-assist.jp/data/china/image_1912th/80436824.pdf","80436824")</f>
        <v>80436824</v>
      </c>
      <c r="F683" s="11" t="s">
        <v>1967</v>
      </c>
      <c r="G683" s="9" t="s">
        <v>1968</v>
      </c>
      <c r="H683" s="9" t="s">
        <v>1969</v>
      </c>
      <c r="I683" s="10">
        <v>45523</v>
      </c>
    </row>
    <row r="684" spans="1:9" x14ac:dyDescent="0.15">
      <c r="A684" s="9">
        <v>683</v>
      </c>
      <c r="B684" s="9" t="s">
        <v>9</v>
      </c>
      <c r="C684" s="9">
        <v>1912</v>
      </c>
      <c r="D684" s="10">
        <v>45616</v>
      </c>
      <c r="E684" s="13" t="str">
        <f>+HYPERLINK("http://trademark.i-assist.jp/data/china/image_1912th/80436832.pdf","80436832")</f>
        <v>80436832</v>
      </c>
      <c r="F684" s="9" t="s">
        <v>1970</v>
      </c>
      <c r="G684" s="9" t="s">
        <v>1968</v>
      </c>
      <c r="H684" s="9" t="s">
        <v>1971</v>
      </c>
      <c r="I684" s="10">
        <v>45523</v>
      </c>
    </row>
    <row r="685" spans="1:9" x14ac:dyDescent="0.15">
      <c r="A685" s="9">
        <v>684</v>
      </c>
      <c r="B685" s="9" t="s">
        <v>9</v>
      </c>
      <c r="C685" s="9">
        <v>1912</v>
      </c>
      <c r="D685" s="10">
        <v>45616</v>
      </c>
      <c r="E685" s="13" t="str">
        <f>+HYPERLINK("http://trademark.i-assist.jp/data/china/image_1912th/80437168.pdf","80437168")</f>
        <v>80437168</v>
      </c>
      <c r="F685" s="9" t="s">
        <v>1972</v>
      </c>
      <c r="G685" s="12" t="s">
        <v>1897</v>
      </c>
      <c r="H685" s="9" t="s">
        <v>1973</v>
      </c>
      <c r="I685" s="10">
        <v>45523</v>
      </c>
    </row>
    <row r="686" spans="1:9" x14ac:dyDescent="0.15">
      <c r="A686" s="9">
        <v>685</v>
      </c>
      <c r="B686" s="9" t="s">
        <v>9</v>
      </c>
      <c r="C686" s="9">
        <v>1912</v>
      </c>
      <c r="D686" s="10">
        <v>45616</v>
      </c>
      <c r="E686" s="13" t="str">
        <f>+HYPERLINK("http://trademark.i-assist.jp/data/china/image_1912th/80437547.pdf","80437547")</f>
        <v>80437547</v>
      </c>
      <c r="F686" s="9" t="s">
        <v>1974</v>
      </c>
      <c r="G686" s="9" t="s">
        <v>12</v>
      </c>
      <c r="H686" s="9" t="s">
        <v>1975</v>
      </c>
      <c r="I686" s="10">
        <v>45523</v>
      </c>
    </row>
    <row r="687" spans="1:9" x14ac:dyDescent="0.15">
      <c r="A687" s="9">
        <v>686</v>
      </c>
      <c r="B687" s="9" t="s">
        <v>9</v>
      </c>
      <c r="C687" s="9">
        <v>1912</v>
      </c>
      <c r="D687" s="10">
        <v>45616</v>
      </c>
      <c r="E687" s="13" t="str">
        <f>+HYPERLINK("http://trademark.i-assist.jp/data/china/image_1912th/80438035.pdf","80438035")</f>
        <v>80438035</v>
      </c>
      <c r="F687" s="9" t="s">
        <v>1976</v>
      </c>
      <c r="G687" s="9" t="s">
        <v>1977</v>
      </c>
      <c r="H687" s="9" t="s">
        <v>1978</v>
      </c>
      <c r="I687" s="10">
        <v>45523</v>
      </c>
    </row>
    <row r="688" spans="1:9" x14ac:dyDescent="0.15">
      <c r="A688" s="9">
        <v>687</v>
      </c>
      <c r="B688" s="9" t="s">
        <v>9</v>
      </c>
      <c r="C688" s="9">
        <v>1912</v>
      </c>
      <c r="D688" s="10">
        <v>45616</v>
      </c>
      <c r="E688" s="13" t="str">
        <f>+HYPERLINK("http://trademark.i-assist.jp/data/china/image_1912th/80438207.pdf","80438207")</f>
        <v>80438207</v>
      </c>
      <c r="F688" s="9" t="s">
        <v>1979</v>
      </c>
      <c r="G688" s="9" t="s">
        <v>1609</v>
      </c>
      <c r="H688" s="9" t="s">
        <v>1980</v>
      </c>
      <c r="I688" s="10">
        <v>45523</v>
      </c>
    </row>
    <row r="689" spans="1:9" x14ac:dyDescent="0.15">
      <c r="A689" s="9">
        <v>688</v>
      </c>
      <c r="B689" s="9" t="s">
        <v>9</v>
      </c>
      <c r="C689" s="9">
        <v>1912</v>
      </c>
      <c r="D689" s="10">
        <v>45616</v>
      </c>
      <c r="E689" s="13" t="str">
        <f>+HYPERLINK("http://trademark.i-assist.jp/data/china/image_1912th/80438452.pdf","80438452")</f>
        <v>80438452</v>
      </c>
      <c r="F689" s="12" t="s">
        <v>1981</v>
      </c>
      <c r="G689" s="12" t="s">
        <v>1982</v>
      </c>
      <c r="H689" s="12" t="s">
        <v>1983</v>
      </c>
      <c r="I689" s="10">
        <v>45523</v>
      </c>
    </row>
    <row r="690" spans="1:9" x14ac:dyDescent="0.15">
      <c r="A690" s="9">
        <v>689</v>
      </c>
      <c r="B690" s="9" t="s">
        <v>9</v>
      </c>
      <c r="C690" s="9">
        <v>1912</v>
      </c>
      <c r="D690" s="10">
        <v>45616</v>
      </c>
      <c r="E690" s="13" t="str">
        <f>+HYPERLINK("http://trademark.i-assist.jp/data/china/image_1912th/80438495.pdf","80438495")</f>
        <v>80438495</v>
      </c>
      <c r="F690" s="12" t="s">
        <v>1984</v>
      </c>
      <c r="G690" s="12" t="s">
        <v>1985</v>
      </c>
      <c r="H690" s="9" t="s">
        <v>1986</v>
      </c>
      <c r="I690" s="10">
        <v>45523</v>
      </c>
    </row>
    <row r="691" spans="1:9" x14ac:dyDescent="0.15">
      <c r="A691" s="9">
        <v>690</v>
      </c>
      <c r="B691" s="9" t="s">
        <v>9</v>
      </c>
      <c r="C691" s="9">
        <v>1912</v>
      </c>
      <c r="D691" s="10">
        <v>45616</v>
      </c>
      <c r="E691" s="13" t="str">
        <f>+HYPERLINK("http://trademark.i-assist.jp/data/china/image_1912th/80438728.pdf","80438728")</f>
        <v>80438728</v>
      </c>
      <c r="F691" s="12" t="s">
        <v>1987</v>
      </c>
      <c r="G691" s="9" t="s">
        <v>1988</v>
      </c>
      <c r="H691" s="9" t="s">
        <v>1989</v>
      </c>
      <c r="I691" s="10">
        <v>45523</v>
      </c>
    </row>
    <row r="692" spans="1:9" x14ac:dyDescent="0.15">
      <c r="A692" s="9">
        <v>691</v>
      </c>
      <c r="B692" s="9" t="s">
        <v>9</v>
      </c>
      <c r="C692" s="9">
        <v>1912</v>
      </c>
      <c r="D692" s="10">
        <v>45616</v>
      </c>
      <c r="E692" s="13" t="str">
        <f>+HYPERLINK("http://trademark.i-assist.jp/data/china/image_1912th/80439148.pdf","80439148")</f>
        <v>80439148</v>
      </c>
      <c r="F692" s="9" t="s">
        <v>1990</v>
      </c>
      <c r="G692" s="9" t="s">
        <v>1950</v>
      </c>
      <c r="H692" s="9" t="s">
        <v>1991</v>
      </c>
      <c r="I692" s="10">
        <v>45523</v>
      </c>
    </row>
    <row r="693" spans="1:9" x14ac:dyDescent="0.15">
      <c r="A693" s="9">
        <v>692</v>
      </c>
      <c r="B693" s="9" t="s">
        <v>9</v>
      </c>
      <c r="C693" s="9">
        <v>1912</v>
      </c>
      <c r="D693" s="10">
        <v>45616</v>
      </c>
      <c r="E693" s="13" t="str">
        <f>+HYPERLINK("http://trademark.i-assist.jp/data/china/image_1912th/80439155.pdf","80439155")</f>
        <v>80439155</v>
      </c>
      <c r="F693" s="12" t="s">
        <v>1992</v>
      </c>
      <c r="G693" s="9" t="s">
        <v>1950</v>
      </c>
      <c r="H693" s="12" t="s">
        <v>1993</v>
      </c>
      <c r="I693" s="10">
        <v>45523</v>
      </c>
    </row>
    <row r="694" spans="1:9" x14ac:dyDescent="0.15">
      <c r="A694" s="9">
        <v>693</v>
      </c>
      <c r="B694" s="9" t="s">
        <v>9</v>
      </c>
      <c r="C694" s="9">
        <v>1912</v>
      </c>
      <c r="D694" s="10">
        <v>45616</v>
      </c>
      <c r="E694" s="13" t="str">
        <f>+HYPERLINK("http://trademark.i-assist.jp/data/china/image_1912th/80439469.pdf","80439469")</f>
        <v>80439469</v>
      </c>
      <c r="F694" s="9" t="s">
        <v>1994</v>
      </c>
      <c r="G694" s="9" t="s">
        <v>80</v>
      </c>
      <c r="H694" s="9" t="s">
        <v>1995</v>
      </c>
      <c r="I694" s="10">
        <v>45523</v>
      </c>
    </row>
    <row r="695" spans="1:9" x14ac:dyDescent="0.15">
      <c r="A695" s="9">
        <v>694</v>
      </c>
      <c r="B695" s="9" t="s">
        <v>9</v>
      </c>
      <c r="C695" s="9">
        <v>1912</v>
      </c>
      <c r="D695" s="10">
        <v>45616</v>
      </c>
      <c r="E695" s="13" t="str">
        <f>+HYPERLINK("http://trademark.i-assist.jp/data/china/image_1912th/80439562.pdf","80439562")</f>
        <v>80439562</v>
      </c>
      <c r="F695" s="9" t="s">
        <v>1996</v>
      </c>
      <c r="G695" s="12" t="s">
        <v>1997</v>
      </c>
      <c r="H695" s="9" t="s">
        <v>1998</v>
      </c>
      <c r="I695" s="10">
        <v>45523</v>
      </c>
    </row>
    <row r="696" spans="1:9" x14ac:dyDescent="0.15">
      <c r="A696" s="9">
        <v>695</v>
      </c>
      <c r="B696" s="9" t="s">
        <v>9</v>
      </c>
      <c r="C696" s="9">
        <v>1912</v>
      </c>
      <c r="D696" s="10">
        <v>45616</v>
      </c>
      <c r="E696" s="13" t="str">
        <f>+HYPERLINK("http://trademark.i-assist.jp/data/china/image_1912th/80439832.pdf","80439832")</f>
        <v>80439832</v>
      </c>
      <c r="F696" s="12" t="s">
        <v>1999</v>
      </c>
      <c r="G696" s="9" t="s">
        <v>2000</v>
      </c>
      <c r="H696" s="9" t="s">
        <v>2001</v>
      </c>
      <c r="I696" s="10">
        <v>45523</v>
      </c>
    </row>
    <row r="697" spans="1:9" x14ac:dyDescent="0.15">
      <c r="A697" s="9">
        <v>696</v>
      </c>
      <c r="B697" s="9" t="s">
        <v>9</v>
      </c>
      <c r="C697" s="9">
        <v>1912</v>
      </c>
      <c r="D697" s="10">
        <v>45616</v>
      </c>
      <c r="E697" s="13" t="str">
        <f>+HYPERLINK("http://trademark.i-assist.jp/data/china/image_1912th/80439889.pdf","80439889")</f>
        <v>80439889</v>
      </c>
      <c r="F697" s="12" t="s">
        <v>2002</v>
      </c>
      <c r="G697" s="12" t="s">
        <v>1909</v>
      </c>
      <c r="H697" s="9" t="s">
        <v>2003</v>
      </c>
      <c r="I697" s="10">
        <v>45523</v>
      </c>
    </row>
    <row r="698" spans="1:9" x14ac:dyDescent="0.15">
      <c r="A698" s="9">
        <v>697</v>
      </c>
      <c r="B698" s="9" t="s">
        <v>9</v>
      </c>
      <c r="C698" s="9">
        <v>1912</v>
      </c>
      <c r="D698" s="10">
        <v>45616</v>
      </c>
      <c r="E698" s="13" t="str">
        <f>+HYPERLINK("http://trademark.i-assist.jp/data/china/image_1912th/80440012.pdf","80440012")</f>
        <v>80440012</v>
      </c>
      <c r="F698" s="9" t="s">
        <v>2004</v>
      </c>
      <c r="G698" s="9" t="s">
        <v>2005</v>
      </c>
      <c r="H698" s="9" t="s">
        <v>2006</v>
      </c>
      <c r="I698" s="10">
        <v>45523</v>
      </c>
    </row>
    <row r="699" spans="1:9" x14ac:dyDescent="0.15">
      <c r="A699" s="9">
        <v>698</v>
      </c>
      <c r="B699" s="9" t="s">
        <v>9</v>
      </c>
      <c r="C699" s="9">
        <v>1912</v>
      </c>
      <c r="D699" s="10">
        <v>45616</v>
      </c>
      <c r="E699" s="13" t="str">
        <f>+HYPERLINK("http://trademark.i-assist.jp/data/china/image_1912th/80440026.pdf","80440026")</f>
        <v>80440026</v>
      </c>
      <c r="F699" s="9" t="s">
        <v>2007</v>
      </c>
      <c r="G699" s="12" t="s">
        <v>2008</v>
      </c>
      <c r="H699" s="9" t="s">
        <v>2009</v>
      </c>
      <c r="I699" s="10">
        <v>45523</v>
      </c>
    </row>
    <row r="700" spans="1:9" x14ac:dyDescent="0.15">
      <c r="A700" s="9">
        <v>699</v>
      </c>
      <c r="B700" s="9" t="s">
        <v>9</v>
      </c>
      <c r="C700" s="9">
        <v>1912</v>
      </c>
      <c r="D700" s="10">
        <v>45616</v>
      </c>
      <c r="E700" s="13" t="str">
        <f>+HYPERLINK("http://trademark.i-assist.jp/data/china/image_1912th/80440028.pdf","80440028")</f>
        <v>80440028</v>
      </c>
      <c r="F700" s="12" t="s">
        <v>15</v>
      </c>
      <c r="G700" s="9" t="s">
        <v>2010</v>
      </c>
      <c r="H700" s="9" t="s">
        <v>2011</v>
      </c>
      <c r="I700" s="10">
        <v>45523</v>
      </c>
    </row>
    <row r="701" spans="1:9" x14ac:dyDescent="0.15">
      <c r="A701" s="9">
        <v>700</v>
      </c>
      <c r="B701" s="9" t="s">
        <v>9</v>
      </c>
      <c r="C701" s="9">
        <v>1912</v>
      </c>
      <c r="D701" s="10">
        <v>45616</v>
      </c>
      <c r="E701" s="13" t="str">
        <f>+HYPERLINK("http://trademark.i-assist.jp/data/china/image_1912th/80440029.pdf","80440029")</f>
        <v>80440029</v>
      </c>
      <c r="F701" s="9" t="s">
        <v>2012</v>
      </c>
      <c r="G701" s="9" t="s">
        <v>2013</v>
      </c>
      <c r="H701" s="9" t="s">
        <v>2014</v>
      </c>
      <c r="I701" s="10">
        <v>45523</v>
      </c>
    </row>
    <row r="702" spans="1:9" x14ac:dyDescent="0.15">
      <c r="A702" s="9">
        <v>701</v>
      </c>
      <c r="B702" s="9" t="s">
        <v>9</v>
      </c>
      <c r="C702" s="9">
        <v>1912</v>
      </c>
      <c r="D702" s="10">
        <v>45616</v>
      </c>
      <c r="E702" s="13" t="str">
        <f>+HYPERLINK("http://trademark.i-assist.jp/data/china/image_1912th/80440185.pdf","80440185")</f>
        <v>80440185</v>
      </c>
      <c r="F702" s="9" t="s">
        <v>2015</v>
      </c>
      <c r="G702" s="9" t="s">
        <v>2016</v>
      </c>
      <c r="H702" s="9" t="s">
        <v>2017</v>
      </c>
      <c r="I702" s="10">
        <v>45523</v>
      </c>
    </row>
    <row r="703" spans="1:9" x14ac:dyDescent="0.15">
      <c r="A703" s="9">
        <v>702</v>
      </c>
      <c r="B703" s="9" t="s">
        <v>9</v>
      </c>
      <c r="C703" s="9">
        <v>1912</v>
      </c>
      <c r="D703" s="10">
        <v>45616</v>
      </c>
      <c r="E703" s="13" t="str">
        <f>+HYPERLINK("http://trademark.i-assist.jp/data/china/image_1912th/80440404.pdf","80440404")</f>
        <v>80440404</v>
      </c>
      <c r="F703" s="9" t="s">
        <v>2018</v>
      </c>
      <c r="G703" s="12" t="s">
        <v>2019</v>
      </c>
      <c r="H703" s="9" t="s">
        <v>2020</v>
      </c>
      <c r="I703" s="10">
        <v>45523</v>
      </c>
    </row>
    <row r="704" spans="1:9" x14ac:dyDescent="0.15">
      <c r="A704" s="9">
        <v>703</v>
      </c>
      <c r="B704" s="9" t="s">
        <v>9</v>
      </c>
      <c r="C704" s="9">
        <v>1912</v>
      </c>
      <c r="D704" s="10">
        <v>45616</v>
      </c>
      <c r="E704" s="13" t="str">
        <f>+HYPERLINK("http://trademark.i-assist.jp/data/china/image_1912th/80440957.pdf","80440957")</f>
        <v>80440957</v>
      </c>
      <c r="F704" s="12" t="s">
        <v>2021</v>
      </c>
      <c r="G704" s="9" t="s">
        <v>2022</v>
      </c>
      <c r="H704" s="12" t="s">
        <v>2023</v>
      </c>
      <c r="I704" s="10">
        <v>45523</v>
      </c>
    </row>
    <row r="705" spans="1:9" x14ac:dyDescent="0.15">
      <c r="A705" s="9">
        <v>704</v>
      </c>
      <c r="B705" s="9" t="s">
        <v>9</v>
      </c>
      <c r="C705" s="9">
        <v>1912</v>
      </c>
      <c r="D705" s="10">
        <v>45616</v>
      </c>
      <c r="E705" s="13" t="str">
        <f>+HYPERLINK("http://trademark.i-assist.jp/data/china/image_1912th/80441228.pdf","80441228")</f>
        <v>80441228</v>
      </c>
      <c r="F705" s="9" t="s">
        <v>2024</v>
      </c>
      <c r="G705" s="9" t="s">
        <v>2025</v>
      </c>
      <c r="H705" s="9" t="s">
        <v>2026</v>
      </c>
      <c r="I705" s="10">
        <v>45523</v>
      </c>
    </row>
    <row r="706" spans="1:9" x14ac:dyDescent="0.15">
      <c r="A706" s="9">
        <v>705</v>
      </c>
      <c r="B706" s="9" t="s">
        <v>9</v>
      </c>
      <c r="C706" s="9">
        <v>1912</v>
      </c>
      <c r="D706" s="10">
        <v>45616</v>
      </c>
      <c r="E706" s="13" t="str">
        <f>+HYPERLINK("http://trademark.i-assist.jp/data/china/image_1912th/80441344.pdf","80441344")</f>
        <v>80441344</v>
      </c>
      <c r="F706" s="9" t="s">
        <v>2027</v>
      </c>
      <c r="G706" s="9" t="s">
        <v>2028</v>
      </c>
      <c r="H706" s="9" t="s">
        <v>2029</v>
      </c>
      <c r="I706" s="10">
        <v>45523</v>
      </c>
    </row>
    <row r="707" spans="1:9" x14ac:dyDescent="0.15">
      <c r="A707" s="9">
        <v>706</v>
      </c>
      <c r="B707" s="9" t="s">
        <v>9</v>
      </c>
      <c r="C707" s="9">
        <v>1912</v>
      </c>
      <c r="D707" s="10">
        <v>45616</v>
      </c>
      <c r="E707" s="13" t="str">
        <f>+HYPERLINK("http://trademark.i-assist.jp/data/china/image_1912th/80441627.pdf","80441627")</f>
        <v>80441627</v>
      </c>
      <c r="F707" s="12" t="s">
        <v>15</v>
      </c>
      <c r="G707" s="9" t="s">
        <v>2030</v>
      </c>
      <c r="H707" s="9" t="s">
        <v>2031</v>
      </c>
      <c r="I707" s="10">
        <v>45523</v>
      </c>
    </row>
    <row r="708" spans="1:9" x14ac:dyDescent="0.15">
      <c r="A708" s="9">
        <v>707</v>
      </c>
      <c r="B708" s="9" t="s">
        <v>9</v>
      </c>
      <c r="C708" s="9">
        <v>1912</v>
      </c>
      <c r="D708" s="10">
        <v>45616</v>
      </c>
      <c r="E708" s="13" t="str">
        <f>+HYPERLINK("http://trademark.i-assist.jp/data/china/image_1912th/80441630.pdf","80441630")</f>
        <v>80441630</v>
      </c>
      <c r="F708" s="12" t="s">
        <v>2032</v>
      </c>
      <c r="G708" s="9" t="s">
        <v>2033</v>
      </c>
      <c r="H708" s="9" t="s">
        <v>2034</v>
      </c>
      <c r="I708" s="10">
        <v>45523</v>
      </c>
    </row>
    <row r="709" spans="1:9" x14ac:dyDescent="0.15">
      <c r="A709" s="9">
        <v>708</v>
      </c>
      <c r="B709" s="9" t="s">
        <v>9</v>
      </c>
      <c r="C709" s="9">
        <v>1912</v>
      </c>
      <c r="D709" s="10">
        <v>45616</v>
      </c>
      <c r="E709" s="13" t="str">
        <f>+HYPERLINK("http://trademark.i-assist.jp/data/china/image_1912th/80441868.pdf","80441868")</f>
        <v>80441868</v>
      </c>
      <c r="F709" s="12" t="s">
        <v>2035</v>
      </c>
      <c r="G709" s="12" t="s">
        <v>2036</v>
      </c>
      <c r="H709" s="9" t="s">
        <v>2037</v>
      </c>
      <c r="I709" s="10">
        <v>45523</v>
      </c>
    </row>
    <row r="710" spans="1:9" x14ac:dyDescent="0.15">
      <c r="A710" s="9">
        <v>709</v>
      </c>
      <c r="B710" s="9" t="s">
        <v>9</v>
      </c>
      <c r="C710" s="9">
        <v>1912</v>
      </c>
      <c r="D710" s="10">
        <v>45616</v>
      </c>
      <c r="E710" s="13" t="str">
        <f>+HYPERLINK("http://trademark.i-assist.jp/data/china/image_1912th/80441975.pdf","80441975")</f>
        <v>80441975</v>
      </c>
      <c r="F710" s="9" t="s">
        <v>2038</v>
      </c>
      <c r="G710" s="9" t="s">
        <v>2039</v>
      </c>
      <c r="H710" s="9" t="s">
        <v>2040</v>
      </c>
      <c r="I710" s="10">
        <v>45523</v>
      </c>
    </row>
    <row r="711" spans="1:9" x14ac:dyDescent="0.15">
      <c r="A711" s="9">
        <v>710</v>
      </c>
      <c r="B711" s="9" t="s">
        <v>9</v>
      </c>
      <c r="C711" s="9">
        <v>1912</v>
      </c>
      <c r="D711" s="10">
        <v>45616</v>
      </c>
      <c r="E711" s="13" t="str">
        <f>+HYPERLINK("http://trademark.i-assist.jp/data/china/image_1912th/80442364.pdf","80442364")</f>
        <v>80442364</v>
      </c>
      <c r="F711" s="9" t="s">
        <v>2041</v>
      </c>
      <c r="G711" s="12" t="s">
        <v>2042</v>
      </c>
      <c r="H711" s="9" t="s">
        <v>2043</v>
      </c>
      <c r="I711" s="10">
        <v>45523</v>
      </c>
    </row>
    <row r="712" spans="1:9" x14ac:dyDescent="0.15">
      <c r="A712" s="9">
        <v>711</v>
      </c>
      <c r="B712" s="9" t="s">
        <v>9</v>
      </c>
      <c r="C712" s="9">
        <v>1912</v>
      </c>
      <c r="D712" s="10">
        <v>45616</v>
      </c>
      <c r="E712" s="13" t="str">
        <f>+HYPERLINK("http://trademark.i-assist.jp/data/china/image_1912th/80442762.pdf","80442762")</f>
        <v>80442762</v>
      </c>
      <c r="F712" s="9" t="s">
        <v>2044</v>
      </c>
      <c r="G712" s="9" t="s">
        <v>1944</v>
      </c>
      <c r="H712" s="9" t="s">
        <v>2045</v>
      </c>
      <c r="I712" s="10">
        <v>45523</v>
      </c>
    </row>
    <row r="713" spans="1:9" x14ac:dyDescent="0.15">
      <c r="A713" s="9">
        <v>712</v>
      </c>
      <c r="B713" s="9" t="s">
        <v>9</v>
      </c>
      <c r="C713" s="9">
        <v>1912</v>
      </c>
      <c r="D713" s="10">
        <v>45616</v>
      </c>
      <c r="E713" s="13" t="str">
        <f>+HYPERLINK("http://trademark.i-assist.jp/data/china/image_1912th/80443097.pdf","80443097")</f>
        <v>80443097</v>
      </c>
      <c r="F713" s="9" t="s">
        <v>2046</v>
      </c>
      <c r="G713" s="9" t="s">
        <v>2047</v>
      </c>
      <c r="H713" s="9" t="s">
        <v>2048</v>
      </c>
      <c r="I713" s="10">
        <v>45523</v>
      </c>
    </row>
    <row r="714" spans="1:9" x14ac:dyDescent="0.15">
      <c r="A714" s="9">
        <v>713</v>
      </c>
      <c r="B714" s="9" t="s">
        <v>9</v>
      </c>
      <c r="C714" s="9">
        <v>1912</v>
      </c>
      <c r="D714" s="10">
        <v>45616</v>
      </c>
      <c r="E714" s="13" t="str">
        <f>+HYPERLINK("http://trademark.i-assist.jp/data/china/image_1912th/80443260.pdf","80443260")</f>
        <v>80443260</v>
      </c>
      <c r="F714" s="9" t="s">
        <v>2049</v>
      </c>
      <c r="G714" s="12" t="s">
        <v>1891</v>
      </c>
      <c r="H714" s="9" t="s">
        <v>2050</v>
      </c>
      <c r="I714" s="10">
        <v>45523</v>
      </c>
    </row>
    <row r="715" spans="1:9" x14ac:dyDescent="0.15">
      <c r="A715" s="9">
        <v>714</v>
      </c>
      <c r="B715" s="9" t="s">
        <v>9</v>
      </c>
      <c r="C715" s="9">
        <v>1912</v>
      </c>
      <c r="D715" s="10">
        <v>45616</v>
      </c>
      <c r="E715" s="13" t="str">
        <f>+HYPERLINK("http://trademark.i-assist.jp/data/china/image_1912th/80443691.pdf","80443691")</f>
        <v>80443691</v>
      </c>
      <c r="F715" s="9" t="s">
        <v>2051</v>
      </c>
      <c r="G715" s="9" t="s">
        <v>2052</v>
      </c>
      <c r="H715" s="9" t="s">
        <v>2053</v>
      </c>
      <c r="I715" s="10">
        <v>45523</v>
      </c>
    </row>
    <row r="716" spans="1:9" x14ac:dyDescent="0.15">
      <c r="A716" s="9">
        <v>715</v>
      </c>
      <c r="B716" s="9" t="s">
        <v>9</v>
      </c>
      <c r="C716" s="9">
        <v>1912</v>
      </c>
      <c r="D716" s="10">
        <v>45616</v>
      </c>
      <c r="E716" s="13" t="str">
        <f>+HYPERLINK("http://trademark.i-assist.jp/data/china/image_1912th/80443850.pdf","80443850")</f>
        <v>80443850</v>
      </c>
      <c r="F716" s="9" t="s">
        <v>2054</v>
      </c>
      <c r="G716" s="12" t="s">
        <v>906</v>
      </c>
      <c r="H716" s="9" t="s">
        <v>2055</v>
      </c>
      <c r="I716" s="10">
        <v>45523</v>
      </c>
    </row>
    <row r="717" spans="1:9" x14ac:dyDescent="0.15">
      <c r="A717" s="9">
        <v>716</v>
      </c>
      <c r="B717" s="9" t="s">
        <v>9</v>
      </c>
      <c r="C717" s="9">
        <v>1912</v>
      </c>
      <c r="D717" s="10">
        <v>45616</v>
      </c>
      <c r="E717" s="13" t="str">
        <f>+HYPERLINK("http://trademark.i-assist.jp/data/china/image_1912th/80444153.pdf","80444153")</f>
        <v>80444153</v>
      </c>
      <c r="F717" s="9" t="s">
        <v>2056</v>
      </c>
      <c r="G717" s="12" t="s">
        <v>1947</v>
      </c>
      <c r="H717" s="9" t="s">
        <v>2057</v>
      </c>
      <c r="I717" s="10">
        <v>45523</v>
      </c>
    </row>
    <row r="718" spans="1:9" x14ac:dyDescent="0.15">
      <c r="A718" s="9">
        <v>717</v>
      </c>
      <c r="B718" s="9" t="s">
        <v>9</v>
      </c>
      <c r="C718" s="9">
        <v>1912</v>
      </c>
      <c r="D718" s="10">
        <v>45616</v>
      </c>
      <c r="E718" s="13" t="str">
        <f>+HYPERLINK("http://trademark.i-assist.jp/data/china/image_1912th/80444349.pdf","80444349")</f>
        <v>80444349</v>
      </c>
      <c r="F718" s="9" t="s">
        <v>2058</v>
      </c>
      <c r="G718" s="9" t="s">
        <v>1988</v>
      </c>
      <c r="H718" s="9" t="s">
        <v>2059</v>
      </c>
      <c r="I718" s="10">
        <v>45523</v>
      </c>
    </row>
    <row r="719" spans="1:9" x14ac:dyDescent="0.15">
      <c r="A719" s="9">
        <v>718</v>
      </c>
      <c r="B719" s="9" t="s">
        <v>9</v>
      </c>
      <c r="C719" s="9">
        <v>1912</v>
      </c>
      <c r="D719" s="10">
        <v>45616</v>
      </c>
      <c r="E719" s="13" t="str">
        <f>+HYPERLINK("http://trademark.i-assist.jp/data/china/image_1912th/80444540.pdf","80444540")</f>
        <v>80444540</v>
      </c>
      <c r="F719" s="9" t="s">
        <v>2060</v>
      </c>
      <c r="G719" s="12" t="s">
        <v>2042</v>
      </c>
      <c r="H719" s="12" t="s">
        <v>2061</v>
      </c>
      <c r="I719" s="10">
        <v>45523</v>
      </c>
    </row>
    <row r="720" spans="1:9" x14ac:dyDescent="0.15">
      <c r="A720" s="9">
        <v>719</v>
      </c>
      <c r="B720" s="9" t="s">
        <v>9</v>
      </c>
      <c r="C720" s="9">
        <v>1912</v>
      </c>
      <c r="D720" s="10">
        <v>45616</v>
      </c>
      <c r="E720" s="13" t="str">
        <f>+HYPERLINK("http://trademark.i-assist.jp/data/china/image_1912th/80444547.pdf","80444547")</f>
        <v>80444547</v>
      </c>
      <c r="F720" s="12" t="s">
        <v>15</v>
      </c>
      <c r="G720" s="9" t="s">
        <v>2062</v>
      </c>
      <c r="H720" s="9" t="s">
        <v>2063</v>
      </c>
      <c r="I720" s="10">
        <v>45523</v>
      </c>
    </row>
    <row r="721" spans="1:9" x14ac:dyDescent="0.15">
      <c r="A721" s="9">
        <v>720</v>
      </c>
      <c r="B721" s="9" t="s">
        <v>9</v>
      </c>
      <c r="C721" s="9">
        <v>1912</v>
      </c>
      <c r="D721" s="10">
        <v>45616</v>
      </c>
      <c r="E721" s="13" t="str">
        <f>+HYPERLINK("http://trademark.i-assist.jp/data/china/image_1912th/80444682.pdf","80444682")</f>
        <v>80444682</v>
      </c>
      <c r="F721" s="9" t="s">
        <v>2064</v>
      </c>
      <c r="G721" s="12" t="s">
        <v>2065</v>
      </c>
      <c r="H721" s="9" t="s">
        <v>2066</v>
      </c>
      <c r="I721" s="10">
        <v>45523</v>
      </c>
    </row>
    <row r="722" spans="1:9" x14ac:dyDescent="0.15">
      <c r="A722" s="9">
        <v>721</v>
      </c>
      <c r="B722" s="9" t="s">
        <v>9</v>
      </c>
      <c r="C722" s="9">
        <v>1912</v>
      </c>
      <c r="D722" s="10">
        <v>45616</v>
      </c>
      <c r="E722" s="13" t="str">
        <f>+HYPERLINK("http://trademark.i-assist.jp/data/china/image_1912th/80444883.pdf","80444883")</f>
        <v>80444883</v>
      </c>
      <c r="F722" s="12" t="s">
        <v>2067</v>
      </c>
      <c r="G722" s="9" t="s">
        <v>29</v>
      </c>
      <c r="H722" s="9" t="s">
        <v>2068</v>
      </c>
      <c r="I722" s="10">
        <v>45523</v>
      </c>
    </row>
    <row r="723" spans="1:9" x14ac:dyDescent="0.15">
      <c r="A723" s="9">
        <v>722</v>
      </c>
      <c r="B723" s="9" t="s">
        <v>9</v>
      </c>
      <c r="C723" s="9">
        <v>1912</v>
      </c>
      <c r="D723" s="10">
        <v>45616</v>
      </c>
      <c r="E723" s="13" t="str">
        <f>+HYPERLINK("http://trademark.i-assist.jp/data/china/image_1912th/80444896.pdf","80444896")</f>
        <v>80444896</v>
      </c>
      <c r="F723" s="9" t="s">
        <v>2069</v>
      </c>
      <c r="G723" s="9" t="s">
        <v>1920</v>
      </c>
      <c r="H723" s="9" t="s">
        <v>2070</v>
      </c>
      <c r="I723" s="10">
        <v>45523</v>
      </c>
    </row>
    <row r="724" spans="1:9" x14ac:dyDescent="0.15">
      <c r="A724" s="9">
        <v>723</v>
      </c>
      <c r="B724" s="9" t="s">
        <v>9</v>
      </c>
      <c r="C724" s="9">
        <v>1912</v>
      </c>
      <c r="D724" s="10">
        <v>45616</v>
      </c>
      <c r="E724" s="13" t="str">
        <f>+HYPERLINK("http://trademark.i-assist.jp/data/china/image_1912th/80445333.pdf","80445333")</f>
        <v>80445333</v>
      </c>
      <c r="F724" s="9" t="s">
        <v>2071</v>
      </c>
      <c r="G724" s="12" t="s">
        <v>2072</v>
      </c>
      <c r="H724" s="9" t="s">
        <v>2073</v>
      </c>
      <c r="I724" s="10">
        <v>45523</v>
      </c>
    </row>
    <row r="725" spans="1:9" x14ac:dyDescent="0.15">
      <c r="A725" s="9">
        <v>724</v>
      </c>
      <c r="B725" s="9" t="s">
        <v>9</v>
      </c>
      <c r="C725" s="9">
        <v>1912</v>
      </c>
      <c r="D725" s="10">
        <v>45616</v>
      </c>
      <c r="E725" s="13" t="str">
        <f>+HYPERLINK("http://trademark.i-assist.jp/data/china/image_1912th/80445458.pdf","80445458")</f>
        <v>80445458</v>
      </c>
      <c r="F725" s="9" t="s">
        <v>2074</v>
      </c>
      <c r="G725" s="9" t="s">
        <v>2075</v>
      </c>
      <c r="H725" s="9" t="s">
        <v>2076</v>
      </c>
      <c r="I725" s="10">
        <v>45523</v>
      </c>
    </row>
    <row r="726" spans="1:9" x14ac:dyDescent="0.15">
      <c r="A726" s="9">
        <v>725</v>
      </c>
      <c r="B726" s="9" t="s">
        <v>9</v>
      </c>
      <c r="C726" s="9">
        <v>1912</v>
      </c>
      <c r="D726" s="10">
        <v>45616</v>
      </c>
      <c r="E726" s="13" t="str">
        <f>+HYPERLINK("http://trademark.i-assist.jp/data/china/image_1912th/80445605.pdf","80445605")</f>
        <v>80445605</v>
      </c>
      <c r="F726" s="12" t="s">
        <v>15</v>
      </c>
      <c r="G726" s="9" t="s">
        <v>2077</v>
      </c>
      <c r="H726" s="9" t="s">
        <v>2078</v>
      </c>
      <c r="I726" s="10">
        <v>45523</v>
      </c>
    </row>
    <row r="727" spans="1:9" x14ac:dyDescent="0.15">
      <c r="A727" s="9">
        <v>726</v>
      </c>
      <c r="B727" s="9" t="s">
        <v>9</v>
      </c>
      <c r="C727" s="9">
        <v>1912</v>
      </c>
      <c r="D727" s="10">
        <v>45616</v>
      </c>
      <c r="E727" s="13" t="str">
        <f>+HYPERLINK("http://trademark.i-assist.jp/data/china/image_1912th/80445779.pdf","80445779")</f>
        <v>80445779</v>
      </c>
      <c r="F727" s="12" t="s">
        <v>2079</v>
      </c>
      <c r="G727" s="9" t="s">
        <v>2080</v>
      </c>
      <c r="H727" s="9" t="s">
        <v>2081</v>
      </c>
      <c r="I727" s="10">
        <v>45523</v>
      </c>
    </row>
    <row r="728" spans="1:9" x14ac:dyDescent="0.15">
      <c r="A728" s="9">
        <v>727</v>
      </c>
      <c r="B728" s="9" t="s">
        <v>9</v>
      </c>
      <c r="C728" s="9">
        <v>1912</v>
      </c>
      <c r="D728" s="10">
        <v>45616</v>
      </c>
      <c r="E728" s="13" t="str">
        <f>+HYPERLINK("http://trademark.i-assist.jp/data/china/image_1912th/80445864.pdf","80445864")</f>
        <v>80445864</v>
      </c>
      <c r="F728" s="12" t="s">
        <v>2082</v>
      </c>
      <c r="G728" s="12" t="s">
        <v>2083</v>
      </c>
      <c r="H728" s="9" t="s">
        <v>2084</v>
      </c>
      <c r="I728" s="10">
        <v>45523</v>
      </c>
    </row>
    <row r="729" spans="1:9" x14ac:dyDescent="0.15">
      <c r="A729" s="9">
        <v>728</v>
      </c>
      <c r="B729" s="9" t="s">
        <v>9</v>
      </c>
      <c r="C729" s="9">
        <v>1912</v>
      </c>
      <c r="D729" s="10">
        <v>45616</v>
      </c>
      <c r="E729" s="13" t="str">
        <f>+HYPERLINK("http://trademark.i-assist.jp/data/china/image_1912th/80446231.pdf","80446231")</f>
        <v>80446231</v>
      </c>
      <c r="F729" s="9" t="s">
        <v>2085</v>
      </c>
      <c r="G729" s="9" t="s">
        <v>2086</v>
      </c>
      <c r="H729" s="9" t="s">
        <v>2087</v>
      </c>
      <c r="I729" s="10">
        <v>45523</v>
      </c>
    </row>
    <row r="730" spans="1:9" x14ac:dyDescent="0.15">
      <c r="A730" s="9">
        <v>729</v>
      </c>
      <c r="B730" s="9" t="s">
        <v>9</v>
      </c>
      <c r="C730" s="9">
        <v>1912</v>
      </c>
      <c r="D730" s="10">
        <v>45616</v>
      </c>
      <c r="E730" s="13" t="str">
        <f>+HYPERLINK("http://trademark.i-assist.jp/data/china/image_1912th/80446400.pdf","80446400")</f>
        <v>80446400</v>
      </c>
      <c r="F730" s="9" t="s">
        <v>2088</v>
      </c>
      <c r="G730" s="9" t="s">
        <v>2052</v>
      </c>
      <c r="H730" s="12" t="s">
        <v>2089</v>
      </c>
      <c r="I730" s="10">
        <v>45523</v>
      </c>
    </row>
    <row r="731" spans="1:9" x14ac:dyDescent="0.15">
      <c r="A731" s="9">
        <v>730</v>
      </c>
      <c r="B731" s="9" t="s">
        <v>9</v>
      </c>
      <c r="C731" s="9">
        <v>1912</v>
      </c>
      <c r="D731" s="10">
        <v>45616</v>
      </c>
      <c r="E731" s="13" t="str">
        <f>+HYPERLINK("http://trademark.i-assist.jp/data/china/image_1912th/80446506.pdf","80446506")</f>
        <v>80446506</v>
      </c>
      <c r="F731" s="9" t="s">
        <v>2090</v>
      </c>
      <c r="G731" s="12" t="s">
        <v>906</v>
      </c>
      <c r="H731" s="9" t="s">
        <v>2091</v>
      </c>
      <c r="I731" s="10">
        <v>45523</v>
      </c>
    </row>
    <row r="732" spans="1:9" x14ac:dyDescent="0.15">
      <c r="A732" s="9">
        <v>731</v>
      </c>
      <c r="B732" s="9" t="s">
        <v>9</v>
      </c>
      <c r="C732" s="9">
        <v>1912</v>
      </c>
      <c r="D732" s="10">
        <v>45616</v>
      </c>
      <c r="E732" s="13" t="str">
        <f>+HYPERLINK("http://trademark.i-assist.jp/data/china/image_1912th/80446685.pdf","80446685")</f>
        <v>80446685</v>
      </c>
      <c r="F732" s="9" t="s">
        <v>2092</v>
      </c>
      <c r="G732" s="12" t="s">
        <v>2093</v>
      </c>
      <c r="H732" s="9" t="s">
        <v>2094</v>
      </c>
      <c r="I732" s="10">
        <v>45523</v>
      </c>
    </row>
    <row r="733" spans="1:9" x14ac:dyDescent="0.15">
      <c r="A733" s="9">
        <v>732</v>
      </c>
      <c r="B733" s="9" t="s">
        <v>9</v>
      </c>
      <c r="C733" s="9">
        <v>1912</v>
      </c>
      <c r="D733" s="10">
        <v>45616</v>
      </c>
      <c r="E733" s="13" t="str">
        <f>+HYPERLINK("http://trademark.i-assist.jp/data/china/image_1912th/80447426.pdf","80447426")</f>
        <v>80447426</v>
      </c>
      <c r="F733" s="9" t="s">
        <v>2095</v>
      </c>
      <c r="G733" s="9" t="s">
        <v>2096</v>
      </c>
      <c r="H733" s="9" t="s">
        <v>2097</v>
      </c>
      <c r="I733" s="10">
        <v>45523</v>
      </c>
    </row>
    <row r="734" spans="1:9" x14ac:dyDescent="0.15">
      <c r="A734" s="9">
        <v>733</v>
      </c>
      <c r="B734" s="9" t="s">
        <v>9</v>
      </c>
      <c r="C734" s="9">
        <v>1912</v>
      </c>
      <c r="D734" s="10">
        <v>45616</v>
      </c>
      <c r="E734" s="13" t="str">
        <f>+HYPERLINK("http://trademark.i-assist.jp/data/china/image_1912th/80447561.pdf","80447561")</f>
        <v>80447561</v>
      </c>
      <c r="F734" s="12" t="s">
        <v>2098</v>
      </c>
      <c r="G734" s="9" t="s">
        <v>2099</v>
      </c>
      <c r="H734" s="9" t="s">
        <v>2100</v>
      </c>
      <c r="I734" s="10">
        <v>45523</v>
      </c>
    </row>
    <row r="735" spans="1:9" x14ac:dyDescent="0.15">
      <c r="A735" s="9">
        <v>734</v>
      </c>
      <c r="B735" s="9" t="s">
        <v>9</v>
      </c>
      <c r="C735" s="9">
        <v>1912</v>
      </c>
      <c r="D735" s="10">
        <v>45616</v>
      </c>
      <c r="E735" s="13" t="str">
        <f>+HYPERLINK("http://trademark.i-assist.jp/data/china/image_1912th/80447565.pdf","80447565")</f>
        <v>80447565</v>
      </c>
      <c r="F735" s="9" t="s">
        <v>2101</v>
      </c>
      <c r="G735" s="9" t="s">
        <v>1950</v>
      </c>
      <c r="H735" s="12" t="s">
        <v>2102</v>
      </c>
      <c r="I735" s="10">
        <v>45523</v>
      </c>
    </row>
    <row r="736" spans="1:9" x14ac:dyDescent="0.15">
      <c r="A736" s="9">
        <v>735</v>
      </c>
      <c r="B736" s="9" t="s">
        <v>9</v>
      </c>
      <c r="C736" s="9">
        <v>1912</v>
      </c>
      <c r="D736" s="10">
        <v>45616</v>
      </c>
      <c r="E736" s="13" t="str">
        <f>+HYPERLINK("http://trademark.i-assist.jp/data/china/image_1912th/80447673.pdf","80447673")</f>
        <v>80447673</v>
      </c>
      <c r="F736" s="9" t="s">
        <v>2103</v>
      </c>
      <c r="G736" s="12" t="s">
        <v>1874</v>
      </c>
      <c r="H736" s="9" t="s">
        <v>2104</v>
      </c>
      <c r="I736" s="10">
        <v>45523</v>
      </c>
    </row>
    <row r="737" spans="1:9" x14ac:dyDescent="0.15">
      <c r="A737" s="9">
        <v>736</v>
      </c>
      <c r="B737" s="9" t="s">
        <v>9</v>
      </c>
      <c r="C737" s="9">
        <v>1912</v>
      </c>
      <c r="D737" s="10">
        <v>45616</v>
      </c>
      <c r="E737" s="13" t="str">
        <f>+HYPERLINK("http://trademark.i-assist.jp/data/china/image_1912th/80447950.pdf","80447950")</f>
        <v>80447950</v>
      </c>
      <c r="F737" s="9" t="s">
        <v>2105</v>
      </c>
      <c r="G737" s="12" t="s">
        <v>1897</v>
      </c>
      <c r="H737" s="9" t="s">
        <v>2106</v>
      </c>
      <c r="I737" s="10">
        <v>45523</v>
      </c>
    </row>
    <row r="738" spans="1:9" x14ac:dyDescent="0.15">
      <c r="A738" s="9">
        <v>737</v>
      </c>
      <c r="B738" s="9" t="s">
        <v>9</v>
      </c>
      <c r="C738" s="9">
        <v>1912</v>
      </c>
      <c r="D738" s="10">
        <v>45616</v>
      </c>
      <c r="E738" s="13" t="str">
        <f>+HYPERLINK("http://trademark.i-assist.jp/data/china/image_1912th/80448074.pdf","80448074")</f>
        <v>80448074</v>
      </c>
      <c r="F738" s="9" t="s">
        <v>2107</v>
      </c>
      <c r="G738" s="12" t="s">
        <v>2108</v>
      </c>
      <c r="H738" s="9" t="s">
        <v>2109</v>
      </c>
      <c r="I738" s="10">
        <v>45523</v>
      </c>
    </row>
    <row r="739" spans="1:9" x14ac:dyDescent="0.15">
      <c r="A739" s="9">
        <v>738</v>
      </c>
      <c r="B739" s="9" t="s">
        <v>9</v>
      </c>
      <c r="C739" s="9">
        <v>1912</v>
      </c>
      <c r="D739" s="10">
        <v>45616</v>
      </c>
      <c r="E739" s="13" t="str">
        <f>+HYPERLINK("http://trademark.i-assist.jp/data/china/image_1912th/80448078.pdf","80448078")</f>
        <v>80448078</v>
      </c>
      <c r="F739" s="12" t="s">
        <v>2110</v>
      </c>
      <c r="G739" s="9" t="s">
        <v>2111</v>
      </c>
      <c r="H739" s="9" t="s">
        <v>2112</v>
      </c>
      <c r="I739" s="10">
        <v>45523</v>
      </c>
    </row>
    <row r="740" spans="1:9" x14ac:dyDescent="0.15">
      <c r="A740" s="9">
        <v>739</v>
      </c>
      <c r="B740" s="9" t="s">
        <v>9</v>
      </c>
      <c r="C740" s="9">
        <v>1912</v>
      </c>
      <c r="D740" s="10">
        <v>45616</v>
      </c>
      <c r="E740" s="13" t="str">
        <f>+HYPERLINK("http://trademark.i-assist.jp/data/china/image_1912th/80448157.pdf","80448157")</f>
        <v>80448157</v>
      </c>
      <c r="F740" s="9" t="s">
        <v>2113</v>
      </c>
      <c r="G740" s="9" t="s">
        <v>2114</v>
      </c>
      <c r="H740" s="12" t="s">
        <v>2115</v>
      </c>
      <c r="I740" s="10">
        <v>45523</v>
      </c>
    </row>
    <row r="741" spans="1:9" x14ac:dyDescent="0.15">
      <c r="A741" s="9">
        <v>740</v>
      </c>
      <c r="B741" s="9" t="s">
        <v>9</v>
      </c>
      <c r="C741" s="9">
        <v>1912</v>
      </c>
      <c r="D741" s="10">
        <v>45616</v>
      </c>
      <c r="E741" s="13" t="str">
        <f>+HYPERLINK("http://trademark.i-assist.jp/data/china/image_1912th/80448273.pdf","80448273")</f>
        <v>80448273</v>
      </c>
      <c r="F741" s="12" t="s">
        <v>2116</v>
      </c>
      <c r="G741" s="9" t="s">
        <v>2117</v>
      </c>
      <c r="H741" s="9" t="s">
        <v>2118</v>
      </c>
      <c r="I741" s="10">
        <v>45523</v>
      </c>
    </row>
    <row r="742" spans="1:9" x14ac:dyDescent="0.15">
      <c r="A742" s="9">
        <v>741</v>
      </c>
      <c r="B742" s="9" t="s">
        <v>9</v>
      </c>
      <c r="C742" s="9">
        <v>1912</v>
      </c>
      <c r="D742" s="10">
        <v>45616</v>
      </c>
      <c r="E742" s="13" t="str">
        <f>+HYPERLINK("http://trademark.i-assist.jp/data/china/image_1912th/80448652.pdf","80448652")</f>
        <v>80448652</v>
      </c>
      <c r="F742" s="12" t="s">
        <v>2119</v>
      </c>
      <c r="G742" s="9" t="s">
        <v>2120</v>
      </c>
      <c r="H742" s="9" t="s">
        <v>2121</v>
      </c>
      <c r="I742" s="10">
        <v>45523</v>
      </c>
    </row>
    <row r="743" spans="1:9" x14ac:dyDescent="0.15">
      <c r="A743" s="9">
        <v>742</v>
      </c>
      <c r="B743" s="9" t="s">
        <v>9</v>
      </c>
      <c r="C743" s="9">
        <v>1912</v>
      </c>
      <c r="D743" s="10">
        <v>45616</v>
      </c>
      <c r="E743" s="13" t="str">
        <f>+HYPERLINK("http://trademark.i-assist.jp/data/china/image_1912th/80449114.pdf","80449114")</f>
        <v>80449114</v>
      </c>
      <c r="F743" s="9" t="s">
        <v>2122</v>
      </c>
      <c r="G743" s="9" t="s">
        <v>2123</v>
      </c>
      <c r="H743" s="9" t="s">
        <v>2124</v>
      </c>
      <c r="I743" s="10">
        <v>45523</v>
      </c>
    </row>
    <row r="744" spans="1:9" x14ac:dyDescent="0.15">
      <c r="A744" s="9">
        <v>743</v>
      </c>
      <c r="B744" s="9" t="s">
        <v>9</v>
      </c>
      <c r="C744" s="9">
        <v>1912</v>
      </c>
      <c r="D744" s="10">
        <v>45616</v>
      </c>
      <c r="E744" s="13" t="str">
        <f>+HYPERLINK("http://trademark.i-assist.jp/data/china/image_1912th/80449364.pdf","80449364")</f>
        <v>80449364</v>
      </c>
      <c r="F744" s="12" t="s">
        <v>2125</v>
      </c>
      <c r="G744" s="12" t="s">
        <v>2126</v>
      </c>
      <c r="H744" s="12" t="s">
        <v>2127</v>
      </c>
      <c r="I744" s="10">
        <v>45523</v>
      </c>
    </row>
    <row r="745" spans="1:9" x14ac:dyDescent="0.15">
      <c r="A745" s="9">
        <v>744</v>
      </c>
      <c r="B745" s="9" t="s">
        <v>9</v>
      </c>
      <c r="C745" s="9">
        <v>1912</v>
      </c>
      <c r="D745" s="10">
        <v>45616</v>
      </c>
      <c r="E745" s="13" t="str">
        <f>+HYPERLINK("http://trademark.i-assist.jp/data/china/image_1912th/80449475.pdf","80449475")</f>
        <v>80449475</v>
      </c>
      <c r="F745" s="9" t="s">
        <v>2128</v>
      </c>
      <c r="G745" s="9" t="s">
        <v>2129</v>
      </c>
      <c r="H745" s="9" t="s">
        <v>2130</v>
      </c>
      <c r="I745" s="10">
        <v>45523</v>
      </c>
    </row>
    <row r="746" spans="1:9" x14ac:dyDescent="0.15">
      <c r="A746" s="9">
        <v>745</v>
      </c>
      <c r="B746" s="9" t="s">
        <v>9</v>
      </c>
      <c r="C746" s="9">
        <v>1912</v>
      </c>
      <c r="D746" s="10">
        <v>45616</v>
      </c>
      <c r="E746" s="13" t="str">
        <f>+HYPERLINK("http://trademark.i-assist.jp/data/china/image_1912th/80450407.pdf","80450407")</f>
        <v>80450407</v>
      </c>
      <c r="F746" s="9" t="s">
        <v>2131</v>
      </c>
      <c r="G746" s="9" t="s">
        <v>42</v>
      </c>
      <c r="H746" s="9" t="s">
        <v>2132</v>
      </c>
      <c r="I746" s="10">
        <v>45524</v>
      </c>
    </row>
    <row r="747" spans="1:9" x14ac:dyDescent="0.15">
      <c r="A747" s="9">
        <v>746</v>
      </c>
      <c r="B747" s="9" t="s">
        <v>9</v>
      </c>
      <c r="C747" s="9">
        <v>1912</v>
      </c>
      <c r="D747" s="10">
        <v>45616</v>
      </c>
      <c r="E747" s="13" t="str">
        <f>+HYPERLINK("http://trademark.i-assist.jp/data/china/image_1912th/80450979.pdf","80450979")</f>
        <v>80450979</v>
      </c>
      <c r="F747" s="9" t="s">
        <v>2133</v>
      </c>
      <c r="G747" s="12" t="s">
        <v>2134</v>
      </c>
      <c r="H747" s="9" t="s">
        <v>2135</v>
      </c>
      <c r="I747" s="10">
        <v>45524</v>
      </c>
    </row>
    <row r="748" spans="1:9" x14ac:dyDescent="0.15">
      <c r="A748" s="9">
        <v>747</v>
      </c>
      <c r="B748" s="9" t="s">
        <v>9</v>
      </c>
      <c r="C748" s="9">
        <v>1912</v>
      </c>
      <c r="D748" s="10">
        <v>45616</v>
      </c>
      <c r="E748" s="13" t="str">
        <f>+HYPERLINK("http://trademark.i-assist.jp/data/china/image_1912th/80451506.pdf","80451506")</f>
        <v>80451506</v>
      </c>
      <c r="F748" s="12" t="s">
        <v>2136</v>
      </c>
      <c r="G748" s="12" t="s">
        <v>2137</v>
      </c>
      <c r="H748" s="9" t="s">
        <v>2138</v>
      </c>
      <c r="I748" s="10">
        <v>45524</v>
      </c>
    </row>
    <row r="749" spans="1:9" x14ac:dyDescent="0.15">
      <c r="A749" s="9">
        <v>748</v>
      </c>
      <c r="B749" s="9" t="s">
        <v>9</v>
      </c>
      <c r="C749" s="9">
        <v>1912</v>
      </c>
      <c r="D749" s="10">
        <v>45616</v>
      </c>
      <c r="E749" s="13" t="str">
        <f>+HYPERLINK("http://trademark.i-assist.jp/data/china/image_1912th/80451512.pdf","80451512")</f>
        <v>80451512</v>
      </c>
      <c r="F749" s="9" t="s">
        <v>2139</v>
      </c>
      <c r="G749" s="12" t="s">
        <v>2140</v>
      </c>
      <c r="H749" s="12" t="s">
        <v>2141</v>
      </c>
      <c r="I749" s="10">
        <v>45524</v>
      </c>
    </row>
    <row r="750" spans="1:9" x14ac:dyDescent="0.15">
      <c r="A750" s="9">
        <v>749</v>
      </c>
      <c r="B750" s="9" t="s">
        <v>9</v>
      </c>
      <c r="C750" s="9">
        <v>1912</v>
      </c>
      <c r="D750" s="10">
        <v>45616</v>
      </c>
      <c r="E750" s="13" t="str">
        <f>+HYPERLINK("http://trademark.i-assist.jp/data/china/image_1912th/80451856.pdf","80451856")</f>
        <v>80451856</v>
      </c>
      <c r="F750" s="9" t="s">
        <v>2142</v>
      </c>
      <c r="G750" s="9" t="s">
        <v>2143</v>
      </c>
      <c r="H750" s="12" t="s">
        <v>2144</v>
      </c>
      <c r="I750" s="10">
        <v>45524</v>
      </c>
    </row>
    <row r="751" spans="1:9" x14ac:dyDescent="0.15">
      <c r="A751" s="9">
        <v>750</v>
      </c>
      <c r="B751" s="9" t="s">
        <v>9</v>
      </c>
      <c r="C751" s="9">
        <v>1912</v>
      </c>
      <c r="D751" s="10">
        <v>45616</v>
      </c>
      <c r="E751" s="13" t="str">
        <f>+HYPERLINK("http://trademark.i-assist.jp/data/china/image_1912th/80452040.pdf","80452040")</f>
        <v>80452040</v>
      </c>
      <c r="F751" s="9" t="s">
        <v>2145</v>
      </c>
      <c r="G751" s="9" t="s">
        <v>2146</v>
      </c>
      <c r="H751" s="9" t="s">
        <v>2147</v>
      </c>
      <c r="I751" s="10">
        <v>45524</v>
      </c>
    </row>
    <row r="752" spans="1:9" x14ac:dyDescent="0.15">
      <c r="A752" s="9">
        <v>751</v>
      </c>
      <c r="B752" s="9" t="s">
        <v>9</v>
      </c>
      <c r="C752" s="9">
        <v>1912</v>
      </c>
      <c r="D752" s="10">
        <v>45616</v>
      </c>
      <c r="E752" s="13" t="str">
        <f>+HYPERLINK("http://trademark.i-assist.jp/data/china/image_1912th/80452228.pdf","80452228")</f>
        <v>80452228</v>
      </c>
      <c r="F752" s="9" t="s">
        <v>2148</v>
      </c>
      <c r="G752" s="12" t="s">
        <v>2149</v>
      </c>
      <c r="H752" s="9" t="s">
        <v>2150</v>
      </c>
      <c r="I752" s="10">
        <v>45524</v>
      </c>
    </row>
    <row r="753" spans="1:9" x14ac:dyDescent="0.15">
      <c r="A753" s="9">
        <v>752</v>
      </c>
      <c r="B753" s="9" t="s">
        <v>9</v>
      </c>
      <c r="C753" s="9">
        <v>1912</v>
      </c>
      <c r="D753" s="10">
        <v>45616</v>
      </c>
      <c r="E753" s="13" t="str">
        <f>+HYPERLINK("http://trademark.i-assist.jp/data/china/image_1912th/80452733.pdf","80452733")</f>
        <v>80452733</v>
      </c>
      <c r="F753" s="9" t="s">
        <v>2151</v>
      </c>
      <c r="G753" s="9" t="s">
        <v>37</v>
      </c>
      <c r="H753" s="9" t="s">
        <v>2152</v>
      </c>
      <c r="I753" s="10">
        <v>45524</v>
      </c>
    </row>
    <row r="754" spans="1:9" x14ac:dyDescent="0.15">
      <c r="A754" s="9">
        <v>753</v>
      </c>
      <c r="B754" s="9" t="s">
        <v>9</v>
      </c>
      <c r="C754" s="9">
        <v>1912</v>
      </c>
      <c r="D754" s="10">
        <v>45616</v>
      </c>
      <c r="E754" s="13" t="str">
        <f>+HYPERLINK("http://trademark.i-assist.jp/data/china/image_1912th/80452860.pdf","80452860")</f>
        <v>80452860</v>
      </c>
      <c r="F754" s="9" t="s">
        <v>2153</v>
      </c>
      <c r="G754" s="9" t="s">
        <v>2154</v>
      </c>
      <c r="H754" s="9" t="s">
        <v>2155</v>
      </c>
      <c r="I754" s="10">
        <v>45524</v>
      </c>
    </row>
    <row r="755" spans="1:9" x14ac:dyDescent="0.15">
      <c r="A755" s="9">
        <v>754</v>
      </c>
      <c r="B755" s="9" t="s">
        <v>9</v>
      </c>
      <c r="C755" s="9">
        <v>1912</v>
      </c>
      <c r="D755" s="10">
        <v>45616</v>
      </c>
      <c r="E755" s="13" t="str">
        <f>+HYPERLINK("http://trademark.i-assist.jp/data/china/image_1912th/80452991.pdf","80452991")</f>
        <v>80452991</v>
      </c>
      <c r="F755" s="12" t="s">
        <v>2156</v>
      </c>
      <c r="G755" s="9" t="s">
        <v>2157</v>
      </c>
      <c r="H755" s="9" t="s">
        <v>2158</v>
      </c>
      <c r="I755" s="10">
        <v>45524</v>
      </c>
    </row>
    <row r="756" spans="1:9" x14ac:dyDescent="0.15">
      <c r="A756" s="9">
        <v>755</v>
      </c>
      <c r="B756" s="9" t="s">
        <v>9</v>
      </c>
      <c r="C756" s="9">
        <v>1912</v>
      </c>
      <c r="D756" s="10">
        <v>45616</v>
      </c>
      <c r="E756" s="13" t="str">
        <f>+HYPERLINK("http://trademark.i-assist.jp/data/china/image_1912th/80453197.pdf","80453197")</f>
        <v>80453197</v>
      </c>
      <c r="F756" s="9" t="s">
        <v>2159</v>
      </c>
      <c r="G756" s="12" t="s">
        <v>2160</v>
      </c>
      <c r="H756" s="9" t="s">
        <v>2161</v>
      </c>
      <c r="I756" s="10">
        <v>45524</v>
      </c>
    </row>
    <row r="757" spans="1:9" x14ac:dyDescent="0.15">
      <c r="A757" s="9">
        <v>756</v>
      </c>
      <c r="B757" s="9" t="s">
        <v>9</v>
      </c>
      <c r="C757" s="9">
        <v>1912</v>
      </c>
      <c r="D757" s="10">
        <v>45616</v>
      </c>
      <c r="E757" s="13" t="str">
        <f>+HYPERLINK("http://trademark.i-assist.jp/data/china/image_1912th/80453461.pdf","80453461")</f>
        <v>80453461</v>
      </c>
      <c r="F757" s="12" t="s">
        <v>2162</v>
      </c>
      <c r="G757" s="9" t="s">
        <v>2163</v>
      </c>
      <c r="H757" s="9" t="s">
        <v>2164</v>
      </c>
      <c r="I757" s="10">
        <v>45524</v>
      </c>
    </row>
    <row r="758" spans="1:9" x14ac:dyDescent="0.15">
      <c r="A758" s="9">
        <v>757</v>
      </c>
      <c r="B758" s="9" t="s">
        <v>9</v>
      </c>
      <c r="C758" s="9">
        <v>1912</v>
      </c>
      <c r="D758" s="10">
        <v>45616</v>
      </c>
      <c r="E758" s="13" t="str">
        <f>+HYPERLINK("http://trademark.i-assist.jp/data/china/image_1912th/80453514.pdf","80453514")</f>
        <v>80453514</v>
      </c>
      <c r="F758" s="9" t="s">
        <v>2165</v>
      </c>
      <c r="G758" s="12" t="s">
        <v>2166</v>
      </c>
      <c r="H758" s="9" t="s">
        <v>2167</v>
      </c>
      <c r="I758" s="10">
        <v>45524</v>
      </c>
    </row>
    <row r="759" spans="1:9" x14ac:dyDescent="0.15">
      <c r="A759" s="9">
        <v>758</v>
      </c>
      <c r="B759" s="9" t="s">
        <v>9</v>
      </c>
      <c r="C759" s="9">
        <v>1912</v>
      </c>
      <c r="D759" s="10">
        <v>45616</v>
      </c>
      <c r="E759" s="13" t="str">
        <f>+HYPERLINK("http://trademark.i-assist.jp/data/china/image_1912th/80453713.pdf","80453713")</f>
        <v>80453713</v>
      </c>
      <c r="F759" s="9" t="s">
        <v>2168</v>
      </c>
      <c r="G759" s="9" t="s">
        <v>2169</v>
      </c>
      <c r="H759" s="9" t="s">
        <v>2170</v>
      </c>
      <c r="I759" s="10">
        <v>45524</v>
      </c>
    </row>
    <row r="760" spans="1:9" x14ac:dyDescent="0.15">
      <c r="A760" s="9">
        <v>759</v>
      </c>
      <c r="B760" s="9" t="s">
        <v>9</v>
      </c>
      <c r="C760" s="9">
        <v>1912</v>
      </c>
      <c r="D760" s="10">
        <v>45616</v>
      </c>
      <c r="E760" s="13" t="str">
        <f>+HYPERLINK("http://trademark.i-assist.jp/data/china/image_1912th/80454167.pdf","80454167")</f>
        <v>80454167</v>
      </c>
      <c r="F760" s="9" t="s">
        <v>2171</v>
      </c>
      <c r="G760" s="9" t="s">
        <v>2172</v>
      </c>
      <c r="H760" s="12" t="s">
        <v>2173</v>
      </c>
      <c r="I760" s="10">
        <v>45524</v>
      </c>
    </row>
    <row r="761" spans="1:9" x14ac:dyDescent="0.15">
      <c r="A761" s="9">
        <v>760</v>
      </c>
      <c r="B761" s="9" t="s">
        <v>9</v>
      </c>
      <c r="C761" s="9">
        <v>1912</v>
      </c>
      <c r="D761" s="10">
        <v>45616</v>
      </c>
      <c r="E761" s="13" t="str">
        <f>+HYPERLINK("http://trademark.i-assist.jp/data/china/image_1912th/80454963.pdf","80454963")</f>
        <v>80454963</v>
      </c>
      <c r="F761" s="9" t="s">
        <v>2174</v>
      </c>
      <c r="G761" s="12" t="s">
        <v>2175</v>
      </c>
      <c r="H761" s="9" t="s">
        <v>2176</v>
      </c>
      <c r="I761" s="10">
        <v>45524</v>
      </c>
    </row>
    <row r="762" spans="1:9" x14ac:dyDescent="0.15">
      <c r="A762" s="9">
        <v>761</v>
      </c>
      <c r="B762" s="9" t="s">
        <v>9</v>
      </c>
      <c r="C762" s="9">
        <v>1912</v>
      </c>
      <c r="D762" s="10">
        <v>45616</v>
      </c>
      <c r="E762" s="13" t="str">
        <f>+HYPERLINK("http://trademark.i-assist.jp/data/china/image_1912th/80455776.pdf","80455776")</f>
        <v>80455776</v>
      </c>
      <c r="F762" s="9" t="s">
        <v>2177</v>
      </c>
      <c r="G762" s="9" t="s">
        <v>2178</v>
      </c>
      <c r="H762" s="12" t="s">
        <v>2179</v>
      </c>
      <c r="I762" s="10">
        <v>45524</v>
      </c>
    </row>
    <row r="763" spans="1:9" x14ac:dyDescent="0.15">
      <c r="A763" s="9">
        <v>762</v>
      </c>
      <c r="B763" s="9" t="s">
        <v>9</v>
      </c>
      <c r="C763" s="9">
        <v>1912</v>
      </c>
      <c r="D763" s="10">
        <v>45616</v>
      </c>
      <c r="E763" s="13" t="str">
        <f>+HYPERLINK("http://trademark.i-assist.jp/data/china/image_1912th/80455844.pdf","80455844")</f>
        <v>80455844</v>
      </c>
      <c r="F763" s="9" t="s">
        <v>2180</v>
      </c>
      <c r="G763" s="12" t="s">
        <v>2181</v>
      </c>
      <c r="H763" s="9" t="s">
        <v>2182</v>
      </c>
      <c r="I763" s="10">
        <v>45524</v>
      </c>
    </row>
    <row r="764" spans="1:9" x14ac:dyDescent="0.15">
      <c r="A764" s="9">
        <v>763</v>
      </c>
      <c r="B764" s="9" t="s">
        <v>9</v>
      </c>
      <c r="C764" s="9">
        <v>1912</v>
      </c>
      <c r="D764" s="10">
        <v>45616</v>
      </c>
      <c r="E764" s="13" t="str">
        <f>+HYPERLINK("http://trademark.i-assist.jp/data/china/image_1912th/80456010.pdf","80456010")</f>
        <v>80456010</v>
      </c>
      <c r="F764" s="12" t="s">
        <v>2183</v>
      </c>
      <c r="G764" s="9" t="s">
        <v>2184</v>
      </c>
      <c r="H764" s="9" t="s">
        <v>2185</v>
      </c>
      <c r="I764" s="10">
        <v>45524</v>
      </c>
    </row>
    <row r="765" spans="1:9" x14ac:dyDescent="0.15">
      <c r="A765" s="9">
        <v>764</v>
      </c>
      <c r="B765" s="9" t="s">
        <v>9</v>
      </c>
      <c r="C765" s="9">
        <v>1912</v>
      </c>
      <c r="D765" s="10">
        <v>45616</v>
      </c>
      <c r="E765" s="13" t="str">
        <f>+HYPERLINK("http://trademark.i-assist.jp/data/china/image_1912th/80456204.pdf","80456204")</f>
        <v>80456204</v>
      </c>
      <c r="F765" s="9" t="s">
        <v>2186</v>
      </c>
      <c r="G765" s="12" t="s">
        <v>2187</v>
      </c>
      <c r="H765" s="9" t="s">
        <v>2188</v>
      </c>
      <c r="I765" s="10">
        <v>45524</v>
      </c>
    </row>
    <row r="766" spans="1:9" x14ac:dyDescent="0.15">
      <c r="A766" s="9">
        <v>765</v>
      </c>
      <c r="B766" s="9" t="s">
        <v>9</v>
      </c>
      <c r="C766" s="9">
        <v>1912</v>
      </c>
      <c r="D766" s="10">
        <v>45616</v>
      </c>
      <c r="E766" s="13" t="str">
        <f>+HYPERLINK("http://trademark.i-assist.jp/data/china/image_1912th/80456422.pdf","80456422")</f>
        <v>80456422</v>
      </c>
      <c r="F766" s="9" t="s">
        <v>2189</v>
      </c>
      <c r="G766" s="9" t="s">
        <v>2190</v>
      </c>
      <c r="H766" s="12" t="s">
        <v>2191</v>
      </c>
      <c r="I766" s="10">
        <v>45524</v>
      </c>
    </row>
    <row r="767" spans="1:9" x14ac:dyDescent="0.15">
      <c r="A767" s="9">
        <v>766</v>
      </c>
      <c r="B767" s="9" t="s">
        <v>9</v>
      </c>
      <c r="C767" s="9">
        <v>1912</v>
      </c>
      <c r="D767" s="10">
        <v>45616</v>
      </c>
      <c r="E767" s="13" t="str">
        <f>+HYPERLINK("http://trademark.i-assist.jp/data/china/image_1912th/80456794.pdf","80456794")</f>
        <v>80456794</v>
      </c>
      <c r="F767" s="9" t="s">
        <v>2192</v>
      </c>
      <c r="G767" s="9" t="s">
        <v>2193</v>
      </c>
      <c r="H767" s="9" t="s">
        <v>2194</v>
      </c>
      <c r="I767" s="10">
        <v>45524</v>
      </c>
    </row>
    <row r="768" spans="1:9" x14ac:dyDescent="0.15">
      <c r="A768" s="9">
        <v>767</v>
      </c>
      <c r="B768" s="9" t="s">
        <v>9</v>
      </c>
      <c r="C768" s="9">
        <v>1912</v>
      </c>
      <c r="D768" s="10">
        <v>45616</v>
      </c>
      <c r="E768" s="13" t="str">
        <f>+HYPERLINK("http://trademark.i-assist.jp/data/china/image_1912th/80456808.pdf","80456808")</f>
        <v>80456808</v>
      </c>
      <c r="F768" s="9" t="s">
        <v>2195</v>
      </c>
      <c r="G768" s="12" t="s">
        <v>2196</v>
      </c>
      <c r="H768" s="9" t="s">
        <v>2197</v>
      </c>
      <c r="I768" s="10">
        <v>45524</v>
      </c>
    </row>
    <row r="769" spans="1:9" x14ac:dyDescent="0.15">
      <c r="A769" s="9">
        <v>768</v>
      </c>
      <c r="B769" s="9" t="s">
        <v>9</v>
      </c>
      <c r="C769" s="9">
        <v>1912</v>
      </c>
      <c r="D769" s="10">
        <v>45616</v>
      </c>
      <c r="E769" s="13" t="str">
        <f>+HYPERLINK("http://trademark.i-assist.jp/data/china/image_1912th/80457022.pdf","80457022")</f>
        <v>80457022</v>
      </c>
      <c r="F769" s="9" t="s">
        <v>2198</v>
      </c>
      <c r="G769" s="12" t="s">
        <v>2199</v>
      </c>
      <c r="H769" s="9" t="s">
        <v>2200</v>
      </c>
      <c r="I769" s="10">
        <v>45524</v>
      </c>
    </row>
    <row r="770" spans="1:9" x14ac:dyDescent="0.15">
      <c r="A770" s="9">
        <v>769</v>
      </c>
      <c r="B770" s="9" t="s">
        <v>9</v>
      </c>
      <c r="C770" s="9">
        <v>1912</v>
      </c>
      <c r="D770" s="10">
        <v>45616</v>
      </c>
      <c r="E770" s="13" t="str">
        <f>+HYPERLINK("http://trademark.i-assist.jp/data/china/image_1912th/80457140.pdf","80457140")</f>
        <v>80457140</v>
      </c>
      <c r="F770" s="9" t="s">
        <v>2201</v>
      </c>
      <c r="G770" s="9" t="s">
        <v>42</v>
      </c>
      <c r="H770" s="9" t="s">
        <v>2202</v>
      </c>
      <c r="I770" s="10">
        <v>45524</v>
      </c>
    </row>
    <row r="771" spans="1:9" x14ac:dyDescent="0.15">
      <c r="A771" s="9">
        <v>770</v>
      </c>
      <c r="B771" s="9" t="s">
        <v>9</v>
      </c>
      <c r="C771" s="9">
        <v>1912</v>
      </c>
      <c r="D771" s="10">
        <v>45616</v>
      </c>
      <c r="E771" s="13" t="str">
        <f>+HYPERLINK("http://trademark.i-assist.jp/data/china/image_1912th/80457878.pdf","80457878")</f>
        <v>80457878</v>
      </c>
      <c r="F771" s="9" t="s">
        <v>2203</v>
      </c>
      <c r="G771" s="9" t="s">
        <v>2193</v>
      </c>
      <c r="H771" s="9" t="s">
        <v>2204</v>
      </c>
      <c r="I771" s="10">
        <v>45524</v>
      </c>
    </row>
    <row r="772" spans="1:9" x14ac:dyDescent="0.15">
      <c r="A772" s="9">
        <v>771</v>
      </c>
      <c r="B772" s="9" t="s">
        <v>9</v>
      </c>
      <c r="C772" s="9">
        <v>1912</v>
      </c>
      <c r="D772" s="10">
        <v>45616</v>
      </c>
      <c r="E772" s="13" t="str">
        <f>+HYPERLINK("http://trademark.i-assist.jp/data/china/image_1912th/80457894.pdf","80457894")</f>
        <v>80457894</v>
      </c>
      <c r="F772" s="9" t="s">
        <v>2205</v>
      </c>
      <c r="G772" s="9" t="s">
        <v>2206</v>
      </c>
      <c r="H772" s="9" t="s">
        <v>2207</v>
      </c>
      <c r="I772" s="10">
        <v>45524</v>
      </c>
    </row>
    <row r="773" spans="1:9" x14ac:dyDescent="0.15">
      <c r="A773" s="9">
        <v>772</v>
      </c>
      <c r="B773" s="9" t="s">
        <v>9</v>
      </c>
      <c r="C773" s="9">
        <v>1912</v>
      </c>
      <c r="D773" s="10">
        <v>45616</v>
      </c>
      <c r="E773" s="13" t="str">
        <f>+HYPERLINK("http://trademark.i-assist.jp/data/china/image_1912th/80459301.pdf","80459301")</f>
        <v>80459301</v>
      </c>
      <c r="F773" s="9" t="s">
        <v>2208</v>
      </c>
      <c r="G773" s="12" t="s">
        <v>2209</v>
      </c>
      <c r="H773" s="9" t="s">
        <v>2210</v>
      </c>
      <c r="I773" s="10">
        <v>45524</v>
      </c>
    </row>
    <row r="774" spans="1:9" x14ac:dyDescent="0.15">
      <c r="A774" s="9">
        <v>773</v>
      </c>
      <c r="B774" s="9" t="s">
        <v>9</v>
      </c>
      <c r="C774" s="9">
        <v>1912</v>
      </c>
      <c r="D774" s="10">
        <v>45616</v>
      </c>
      <c r="E774" s="13" t="str">
        <f>+HYPERLINK("http://trademark.i-assist.jp/data/china/image_1912th/80459480.pdf","80459480")</f>
        <v>80459480</v>
      </c>
      <c r="F774" s="9" t="s">
        <v>2211</v>
      </c>
      <c r="G774" s="9" t="s">
        <v>2212</v>
      </c>
      <c r="H774" s="9" t="s">
        <v>2213</v>
      </c>
      <c r="I774" s="10">
        <v>45524</v>
      </c>
    </row>
    <row r="775" spans="1:9" x14ac:dyDescent="0.15">
      <c r="A775" s="9">
        <v>774</v>
      </c>
      <c r="B775" s="9" t="s">
        <v>9</v>
      </c>
      <c r="C775" s="9">
        <v>1912</v>
      </c>
      <c r="D775" s="10">
        <v>45616</v>
      </c>
      <c r="E775" s="13" t="str">
        <f>+HYPERLINK("http://trademark.i-assist.jp/data/china/image_1912th/80460190.pdf","80460190")</f>
        <v>80460190</v>
      </c>
      <c r="F775" s="12" t="s">
        <v>2214</v>
      </c>
      <c r="G775" s="9" t="s">
        <v>2215</v>
      </c>
      <c r="H775" s="9" t="s">
        <v>2216</v>
      </c>
      <c r="I775" s="10">
        <v>45524</v>
      </c>
    </row>
    <row r="776" spans="1:9" x14ac:dyDescent="0.15">
      <c r="A776" s="9">
        <v>775</v>
      </c>
      <c r="B776" s="9" t="s">
        <v>9</v>
      </c>
      <c r="C776" s="9">
        <v>1912</v>
      </c>
      <c r="D776" s="10">
        <v>45616</v>
      </c>
      <c r="E776" s="13" t="str">
        <f>+HYPERLINK("http://trademark.i-assist.jp/data/china/image_1912th/80460871.pdf","80460871")</f>
        <v>80460871</v>
      </c>
      <c r="F776" s="9" t="s">
        <v>2217</v>
      </c>
      <c r="G776" s="9" t="s">
        <v>2218</v>
      </c>
      <c r="H776" s="9" t="s">
        <v>2219</v>
      </c>
      <c r="I776" s="10">
        <v>45524</v>
      </c>
    </row>
    <row r="777" spans="1:9" x14ac:dyDescent="0.15">
      <c r="A777" s="9">
        <v>776</v>
      </c>
      <c r="B777" s="9" t="s">
        <v>9</v>
      </c>
      <c r="C777" s="9">
        <v>1912</v>
      </c>
      <c r="D777" s="10">
        <v>45616</v>
      </c>
      <c r="E777" s="13" t="str">
        <f>+HYPERLINK("http://trademark.i-assist.jp/data/china/image_1912th/80460955.pdf","80460955")</f>
        <v>80460955</v>
      </c>
      <c r="F777" s="9" t="s">
        <v>2220</v>
      </c>
      <c r="G777" s="9" t="s">
        <v>2221</v>
      </c>
      <c r="H777" s="9" t="s">
        <v>2222</v>
      </c>
      <c r="I777" s="10">
        <v>45524</v>
      </c>
    </row>
    <row r="778" spans="1:9" x14ac:dyDescent="0.15">
      <c r="A778" s="9">
        <v>777</v>
      </c>
      <c r="B778" s="9" t="s">
        <v>9</v>
      </c>
      <c r="C778" s="9">
        <v>1912</v>
      </c>
      <c r="D778" s="10">
        <v>45616</v>
      </c>
      <c r="E778" s="13" t="str">
        <f>+HYPERLINK("http://trademark.i-assist.jp/data/china/image_1912th/80461209.pdf","80461209")</f>
        <v>80461209</v>
      </c>
      <c r="F778" s="9" t="s">
        <v>2223</v>
      </c>
      <c r="G778" s="9" t="s">
        <v>2224</v>
      </c>
      <c r="H778" s="9" t="s">
        <v>2225</v>
      </c>
      <c r="I778" s="10">
        <v>45524</v>
      </c>
    </row>
    <row r="779" spans="1:9" x14ac:dyDescent="0.15">
      <c r="A779" s="9">
        <v>778</v>
      </c>
      <c r="B779" s="9" t="s">
        <v>9</v>
      </c>
      <c r="C779" s="9">
        <v>1912</v>
      </c>
      <c r="D779" s="10">
        <v>45616</v>
      </c>
      <c r="E779" s="13" t="str">
        <f>+HYPERLINK("http://trademark.i-assist.jp/data/china/image_1912th/80461544.pdf","80461544")</f>
        <v>80461544</v>
      </c>
      <c r="F779" s="9" t="s">
        <v>2226</v>
      </c>
      <c r="G779" s="12" t="s">
        <v>2227</v>
      </c>
      <c r="H779" s="9" t="s">
        <v>2228</v>
      </c>
      <c r="I779" s="10">
        <v>45524</v>
      </c>
    </row>
    <row r="780" spans="1:9" x14ac:dyDescent="0.15">
      <c r="A780" s="9">
        <v>779</v>
      </c>
      <c r="B780" s="9" t="s">
        <v>9</v>
      </c>
      <c r="C780" s="9">
        <v>1912</v>
      </c>
      <c r="D780" s="10">
        <v>45616</v>
      </c>
      <c r="E780" s="13" t="str">
        <f>+HYPERLINK("http://trademark.i-assist.jp/data/china/image_1912th/80461559.pdf","80461559")</f>
        <v>80461559</v>
      </c>
      <c r="F780" s="9" t="s">
        <v>2229</v>
      </c>
      <c r="G780" s="12" t="s">
        <v>2230</v>
      </c>
      <c r="H780" s="9" t="s">
        <v>2231</v>
      </c>
      <c r="I780" s="10">
        <v>45524</v>
      </c>
    </row>
    <row r="781" spans="1:9" x14ac:dyDescent="0.15">
      <c r="A781" s="9">
        <v>780</v>
      </c>
      <c r="B781" s="9" t="s">
        <v>9</v>
      </c>
      <c r="C781" s="9">
        <v>1912</v>
      </c>
      <c r="D781" s="10">
        <v>45616</v>
      </c>
      <c r="E781" s="13" t="str">
        <f>+HYPERLINK("http://trademark.i-assist.jp/data/china/image_1912th/80462521.pdf","80462521")</f>
        <v>80462521</v>
      </c>
      <c r="F781" s="9" t="s">
        <v>2232</v>
      </c>
      <c r="G781" s="9" t="s">
        <v>2233</v>
      </c>
      <c r="H781" s="9" t="s">
        <v>2234</v>
      </c>
      <c r="I781" s="10">
        <v>45524</v>
      </c>
    </row>
    <row r="782" spans="1:9" x14ac:dyDescent="0.15">
      <c r="A782" s="9">
        <v>781</v>
      </c>
      <c r="B782" s="9" t="s">
        <v>9</v>
      </c>
      <c r="C782" s="9">
        <v>1912</v>
      </c>
      <c r="D782" s="10">
        <v>45616</v>
      </c>
      <c r="E782" s="13" t="str">
        <f>+HYPERLINK("http://trademark.i-assist.jp/data/china/image_1912th/80462771.pdf","80462771")</f>
        <v>80462771</v>
      </c>
      <c r="F782" s="9" t="s">
        <v>2235</v>
      </c>
      <c r="G782" s="12" t="s">
        <v>2187</v>
      </c>
      <c r="H782" s="12" t="s">
        <v>2236</v>
      </c>
      <c r="I782" s="10">
        <v>45524</v>
      </c>
    </row>
    <row r="783" spans="1:9" x14ac:dyDescent="0.15">
      <c r="A783" s="9">
        <v>782</v>
      </c>
      <c r="B783" s="9" t="s">
        <v>9</v>
      </c>
      <c r="C783" s="9">
        <v>1912</v>
      </c>
      <c r="D783" s="10">
        <v>45616</v>
      </c>
      <c r="E783" s="13" t="str">
        <f>+HYPERLINK("http://trademark.i-assist.jp/data/china/image_1912th/80462804.pdf","80462804")</f>
        <v>80462804</v>
      </c>
      <c r="F783" s="9" t="s">
        <v>2237</v>
      </c>
      <c r="G783" s="9" t="s">
        <v>2238</v>
      </c>
      <c r="H783" s="9" t="s">
        <v>2239</v>
      </c>
      <c r="I783" s="10">
        <v>45524</v>
      </c>
    </row>
    <row r="784" spans="1:9" x14ac:dyDescent="0.15">
      <c r="A784" s="9">
        <v>783</v>
      </c>
      <c r="B784" s="9" t="s">
        <v>9</v>
      </c>
      <c r="C784" s="9">
        <v>1912</v>
      </c>
      <c r="D784" s="10">
        <v>45616</v>
      </c>
      <c r="E784" s="13" t="str">
        <f>+HYPERLINK("http://trademark.i-assist.jp/data/china/image_1912th/80462890.pdf","80462890")</f>
        <v>80462890</v>
      </c>
      <c r="F784" s="12" t="s">
        <v>2240</v>
      </c>
      <c r="G784" s="9" t="s">
        <v>2241</v>
      </c>
      <c r="H784" s="9" t="s">
        <v>2242</v>
      </c>
      <c r="I784" s="10">
        <v>45524</v>
      </c>
    </row>
    <row r="785" spans="1:9" x14ac:dyDescent="0.15">
      <c r="A785" s="9">
        <v>784</v>
      </c>
      <c r="B785" s="9" t="s">
        <v>9</v>
      </c>
      <c r="C785" s="9">
        <v>1912</v>
      </c>
      <c r="D785" s="10">
        <v>45616</v>
      </c>
      <c r="E785" s="13" t="str">
        <f>+HYPERLINK("http://trademark.i-assist.jp/data/china/image_1912th/80463238.pdf","80463238")</f>
        <v>80463238</v>
      </c>
      <c r="F785" s="9" t="s">
        <v>2243</v>
      </c>
      <c r="G785" s="9" t="s">
        <v>2244</v>
      </c>
      <c r="H785" s="9" t="s">
        <v>2245</v>
      </c>
      <c r="I785" s="10">
        <v>45524</v>
      </c>
    </row>
    <row r="786" spans="1:9" x14ac:dyDescent="0.15">
      <c r="A786" s="9">
        <v>785</v>
      </c>
      <c r="B786" s="9" t="s">
        <v>9</v>
      </c>
      <c r="C786" s="9">
        <v>1912</v>
      </c>
      <c r="D786" s="10">
        <v>45616</v>
      </c>
      <c r="E786" s="13" t="str">
        <f>+HYPERLINK("http://trademark.i-assist.jp/data/china/image_1912th/80463889.pdf","80463889")</f>
        <v>80463889</v>
      </c>
      <c r="F786" s="12" t="s">
        <v>2246</v>
      </c>
      <c r="G786" s="12" t="s">
        <v>2247</v>
      </c>
      <c r="H786" s="9" t="s">
        <v>2248</v>
      </c>
      <c r="I786" s="10">
        <v>45524</v>
      </c>
    </row>
    <row r="787" spans="1:9" x14ac:dyDescent="0.15">
      <c r="A787" s="9">
        <v>786</v>
      </c>
      <c r="B787" s="9" t="s">
        <v>9</v>
      </c>
      <c r="C787" s="9">
        <v>1912</v>
      </c>
      <c r="D787" s="10">
        <v>45616</v>
      </c>
      <c r="E787" s="13" t="str">
        <f>+HYPERLINK("http://trademark.i-assist.jp/data/china/image_1912th/80464104.pdf","80464104")</f>
        <v>80464104</v>
      </c>
      <c r="F787" s="9" t="s">
        <v>2249</v>
      </c>
      <c r="G787" s="9" t="s">
        <v>2250</v>
      </c>
      <c r="H787" s="9" t="s">
        <v>2251</v>
      </c>
      <c r="I787" s="10">
        <v>45524</v>
      </c>
    </row>
    <row r="788" spans="1:9" x14ac:dyDescent="0.15">
      <c r="A788" s="9">
        <v>787</v>
      </c>
      <c r="B788" s="9" t="s">
        <v>9</v>
      </c>
      <c r="C788" s="9">
        <v>1912</v>
      </c>
      <c r="D788" s="10">
        <v>45616</v>
      </c>
      <c r="E788" s="13" t="str">
        <f>+HYPERLINK("http://trademark.i-assist.jp/data/china/image_1912th/80464169.pdf","80464169")</f>
        <v>80464169</v>
      </c>
      <c r="F788" s="9" t="s">
        <v>2252</v>
      </c>
      <c r="G788" s="9" t="s">
        <v>2253</v>
      </c>
      <c r="H788" s="9" t="s">
        <v>2254</v>
      </c>
      <c r="I788" s="10">
        <v>45524</v>
      </c>
    </row>
    <row r="789" spans="1:9" x14ac:dyDescent="0.15">
      <c r="A789" s="9">
        <v>788</v>
      </c>
      <c r="B789" s="9" t="s">
        <v>9</v>
      </c>
      <c r="C789" s="9">
        <v>1912</v>
      </c>
      <c r="D789" s="10">
        <v>45616</v>
      </c>
      <c r="E789" s="13" t="str">
        <f>+HYPERLINK("http://trademark.i-assist.jp/data/china/image_1912th/80464353.pdf","80464353")</f>
        <v>80464353</v>
      </c>
      <c r="F789" s="12" t="s">
        <v>2255</v>
      </c>
      <c r="G789" s="9" t="s">
        <v>2256</v>
      </c>
      <c r="H789" s="9" t="s">
        <v>2257</v>
      </c>
      <c r="I789" s="10">
        <v>45524</v>
      </c>
    </row>
    <row r="790" spans="1:9" x14ac:dyDescent="0.15">
      <c r="A790" s="9">
        <v>789</v>
      </c>
      <c r="B790" s="9" t="s">
        <v>9</v>
      </c>
      <c r="C790" s="9">
        <v>1912</v>
      </c>
      <c r="D790" s="10">
        <v>45616</v>
      </c>
      <c r="E790" s="13" t="str">
        <f>+HYPERLINK("http://trademark.i-assist.jp/data/china/image_1912th/80464403.pdf","80464403")</f>
        <v>80464403</v>
      </c>
      <c r="F790" s="12" t="s">
        <v>15</v>
      </c>
      <c r="G790" s="12" t="s">
        <v>2258</v>
      </c>
      <c r="H790" s="12" t="s">
        <v>2259</v>
      </c>
      <c r="I790" s="10">
        <v>45524</v>
      </c>
    </row>
    <row r="791" spans="1:9" x14ac:dyDescent="0.15">
      <c r="A791" s="9">
        <v>790</v>
      </c>
      <c r="B791" s="9" t="s">
        <v>9</v>
      </c>
      <c r="C791" s="9">
        <v>1912</v>
      </c>
      <c r="D791" s="10">
        <v>45616</v>
      </c>
      <c r="E791" s="13" t="str">
        <f>+HYPERLINK("http://trademark.i-assist.jp/data/china/image_1912th/80464921.pdf","80464921")</f>
        <v>80464921</v>
      </c>
      <c r="F791" s="12" t="s">
        <v>2260</v>
      </c>
      <c r="G791" s="9" t="s">
        <v>2261</v>
      </c>
      <c r="H791" s="9" t="s">
        <v>2262</v>
      </c>
      <c r="I791" s="10">
        <v>45524</v>
      </c>
    </row>
    <row r="792" spans="1:9" x14ac:dyDescent="0.15">
      <c r="A792" s="9">
        <v>791</v>
      </c>
      <c r="B792" s="9" t="s">
        <v>9</v>
      </c>
      <c r="C792" s="9">
        <v>1912</v>
      </c>
      <c r="D792" s="10">
        <v>45616</v>
      </c>
      <c r="E792" s="13" t="str">
        <f>+HYPERLINK("http://trademark.i-assist.jp/data/china/image_1912th/80465095.pdf","80465095")</f>
        <v>80465095</v>
      </c>
      <c r="F792" s="9" t="s">
        <v>2263</v>
      </c>
      <c r="G792" s="9" t="s">
        <v>2264</v>
      </c>
      <c r="H792" s="9" t="s">
        <v>2265</v>
      </c>
      <c r="I792" s="10">
        <v>45524</v>
      </c>
    </row>
    <row r="793" spans="1:9" x14ac:dyDescent="0.15">
      <c r="A793" s="9">
        <v>792</v>
      </c>
      <c r="B793" s="9" t="s">
        <v>9</v>
      </c>
      <c r="C793" s="9">
        <v>1912</v>
      </c>
      <c r="D793" s="10">
        <v>45616</v>
      </c>
      <c r="E793" s="13" t="str">
        <f>+HYPERLINK("http://trademark.i-assist.jp/data/china/image_1912th/80465764.pdf","80465764")</f>
        <v>80465764</v>
      </c>
      <c r="F793" s="9" t="s">
        <v>2266</v>
      </c>
      <c r="G793" s="9" t="s">
        <v>2267</v>
      </c>
      <c r="H793" s="9" t="s">
        <v>2268</v>
      </c>
      <c r="I793" s="10">
        <v>45524</v>
      </c>
    </row>
    <row r="794" spans="1:9" x14ac:dyDescent="0.15">
      <c r="A794" s="9">
        <v>793</v>
      </c>
      <c r="B794" s="9" t="s">
        <v>9</v>
      </c>
      <c r="C794" s="9">
        <v>1912</v>
      </c>
      <c r="D794" s="10">
        <v>45616</v>
      </c>
      <c r="E794" s="13" t="str">
        <f>+HYPERLINK("http://trademark.i-assist.jp/data/china/image_1912th/80466373.pdf","80466373")</f>
        <v>80466373</v>
      </c>
      <c r="F794" s="9" t="s">
        <v>2269</v>
      </c>
      <c r="G794" s="9" t="s">
        <v>2270</v>
      </c>
      <c r="H794" s="9" t="s">
        <v>2271</v>
      </c>
      <c r="I794" s="10">
        <v>45524</v>
      </c>
    </row>
    <row r="795" spans="1:9" x14ac:dyDescent="0.15">
      <c r="A795" s="9">
        <v>794</v>
      </c>
      <c r="B795" s="9" t="s">
        <v>9</v>
      </c>
      <c r="C795" s="9">
        <v>1912</v>
      </c>
      <c r="D795" s="10">
        <v>45616</v>
      </c>
      <c r="E795" s="13" t="str">
        <f>+HYPERLINK("http://trademark.i-assist.jp/data/china/image_1912th/80466384.pdf","80466384")</f>
        <v>80466384</v>
      </c>
      <c r="F795" s="12" t="s">
        <v>2272</v>
      </c>
      <c r="G795" s="9" t="s">
        <v>2273</v>
      </c>
      <c r="H795" s="9" t="s">
        <v>2274</v>
      </c>
      <c r="I795" s="10">
        <v>45524</v>
      </c>
    </row>
    <row r="796" spans="1:9" x14ac:dyDescent="0.15">
      <c r="A796" s="9">
        <v>795</v>
      </c>
      <c r="B796" s="9" t="s">
        <v>9</v>
      </c>
      <c r="C796" s="9">
        <v>1912</v>
      </c>
      <c r="D796" s="10">
        <v>45616</v>
      </c>
      <c r="E796" s="13" t="str">
        <f>+HYPERLINK("http://trademark.i-assist.jp/data/china/image_1912th/80466508.pdf","80466508")</f>
        <v>80466508</v>
      </c>
      <c r="F796" s="9" t="s">
        <v>2275</v>
      </c>
      <c r="G796" s="9" t="s">
        <v>2276</v>
      </c>
      <c r="H796" s="9" t="s">
        <v>2277</v>
      </c>
      <c r="I796" s="10">
        <v>45524</v>
      </c>
    </row>
    <row r="797" spans="1:9" x14ac:dyDescent="0.15">
      <c r="A797" s="9">
        <v>796</v>
      </c>
      <c r="B797" s="9" t="s">
        <v>9</v>
      </c>
      <c r="C797" s="9">
        <v>1912</v>
      </c>
      <c r="D797" s="10">
        <v>45616</v>
      </c>
      <c r="E797" s="13" t="str">
        <f>+HYPERLINK("http://trademark.i-assist.jp/data/china/image_1912th/80466966.pdf","80466966")</f>
        <v>80466966</v>
      </c>
      <c r="F797" s="9" t="s">
        <v>2278</v>
      </c>
      <c r="G797" s="9" t="s">
        <v>2279</v>
      </c>
      <c r="H797" s="9" t="s">
        <v>2280</v>
      </c>
      <c r="I797" s="10">
        <v>45524</v>
      </c>
    </row>
    <row r="798" spans="1:9" x14ac:dyDescent="0.15">
      <c r="A798" s="9">
        <v>797</v>
      </c>
      <c r="B798" s="9" t="s">
        <v>9</v>
      </c>
      <c r="C798" s="9">
        <v>1912</v>
      </c>
      <c r="D798" s="10">
        <v>45616</v>
      </c>
      <c r="E798" s="13" t="str">
        <f>+HYPERLINK("http://trademark.i-assist.jp/data/china/image_1912th/80468027.pdf","80468027")</f>
        <v>80468027</v>
      </c>
      <c r="F798" s="9" t="s">
        <v>2281</v>
      </c>
      <c r="G798" s="9" t="s">
        <v>2282</v>
      </c>
      <c r="H798" s="9" t="s">
        <v>2283</v>
      </c>
      <c r="I798" s="10">
        <v>45524</v>
      </c>
    </row>
    <row r="799" spans="1:9" x14ac:dyDescent="0.15">
      <c r="A799" s="9">
        <v>798</v>
      </c>
      <c r="B799" s="9" t="s">
        <v>9</v>
      </c>
      <c r="C799" s="9">
        <v>1912</v>
      </c>
      <c r="D799" s="10">
        <v>45616</v>
      </c>
      <c r="E799" s="13" t="str">
        <f>+HYPERLINK("http://trademark.i-assist.jp/data/china/image_1912th/80468301.pdf","80468301")</f>
        <v>80468301</v>
      </c>
      <c r="F799" s="9" t="s">
        <v>2284</v>
      </c>
      <c r="G799" s="9" t="s">
        <v>2285</v>
      </c>
      <c r="H799" s="12" t="s">
        <v>2286</v>
      </c>
      <c r="I799" s="10">
        <v>45524</v>
      </c>
    </row>
    <row r="800" spans="1:9" x14ac:dyDescent="0.15">
      <c r="A800" s="9">
        <v>799</v>
      </c>
      <c r="B800" s="9" t="s">
        <v>9</v>
      </c>
      <c r="C800" s="9">
        <v>1912</v>
      </c>
      <c r="D800" s="10">
        <v>45616</v>
      </c>
      <c r="E800" s="13" t="str">
        <f>+HYPERLINK("http://trademark.i-assist.jp/data/china/image_1912th/80468804.pdf","80468804")</f>
        <v>80468804</v>
      </c>
      <c r="F800" s="12" t="s">
        <v>2287</v>
      </c>
      <c r="G800" s="9" t="s">
        <v>2288</v>
      </c>
      <c r="H800" s="9" t="s">
        <v>2289</v>
      </c>
      <c r="I800" s="10">
        <v>45524</v>
      </c>
    </row>
    <row r="801" spans="1:9" x14ac:dyDescent="0.15">
      <c r="A801" s="9">
        <v>800</v>
      </c>
      <c r="B801" s="9" t="s">
        <v>9</v>
      </c>
      <c r="C801" s="9">
        <v>1912</v>
      </c>
      <c r="D801" s="10">
        <v>45616</v>
      </c>
      <c r="E801" s="13" t="str">
        <f>+HYPERLINK("http://trademark.i-assist.jp/data/china/image_1912th/80468845.pdf","80468845")</f>
        <v>80468845</v>
      </c>
      <c r="F801" s="9" t="s">
        <v>2290</v>
      </c>
      <c r="G801" s="9" t="s">
        <v>2291</v>
      </c>
      <c r="H801" s="9" t="s">
        <v>2292</v>
      </c>
      <c r="I801" s="10">
        <v>45524</v>
      </c>
    </row>
    <row r="802" spans="1:9" x14ac:dyDescent="0.15">
      <c r="A802" s="9">
        <v>801</v>
      </c>
      <c r="B802" s="9" t="s">
        <v>9</v>
      </c>
      <c r="C802" s="9">
        <v>1912</v>
      </c>
      <c r="D802" s="10">
        <v>45616</v>
      </c>
      <c r="E802" s="13" t="str">
        <f>+HYPERLINK("http://trademark.i-assist.jp/data/china/image_1912th/80468979.pdf","80468979")</f>
        <v>80468979</v>
      </c>
      <c r="F802" s="12" t="s">
        <v>2293</v>
      </c>
      <c r="G802" s="12" t="s">
        <v>2294</v>
      </c>
      <c r="H802" s="9" t="s">
        <v>2295</v>
      </c>
      <c r="I802" s="10">
        <v>45524</v>
      </c>
    </row>
    <row r="803" spans="1:9" x14ac:dyDescent="0.15">
      <c r="A803" s="9">
        <v>802</v>
      </c>
      <c r="B803" s="9" t="s">
        <v>9</v>
      </c>
      <c r="C803" s="9">
        <v>1912</v>
      </c>
      <c r="D803" s="10">
        <v>45616</v>
      </c>
      <c r="E803" s="13" t="str">
        <f>+HYPERLINK("http://trademark.i-assist.jp/data/china/image_1912th/80469662.pdf","80469662")</f>
        <v>80469662</v>
      </c>
      <c r="F803" s="9" t="s">
        <v>2296</v>
      </c>
      <c r="G803" s="9" t="s">
        <v>2297</v>
      </c>
      <c r="H803" s="9" t="s">
        <v>2298</v>
      </c>
      <c r="I803" s="10">
        <v>45524</v>
      </c>
    </row>
    <row r="804" spans="1:9" x14ac:dyDescent="0.15">
      <c r="A804" s="9">
        <v>803</v>
      </c>
      <c r="B804" s="9" t="s">
        <v>9</v>
      </c>
      <c r="C804" s="9">
        <v>1912</v>
      </c>
      <c r="D804" s="10">
        <v>45616</v>
      </c>
      <c r="E804" s="13" t="str">
        <f>+HYPERLINK("http://trademark.i-assist.jp/data/china/image_1912th/80469745.pdf","80469745")</f>
        <v>80469745</v>
      </c>
      <c r="F804" s="9" t="s">
        <v>2299</v>
      </c>
      <c r="G804" s="12" t="s">
        <v>2300</v>
      </c>
      <c r="H804" s="12" t="s">
        <v>2301</v>
      </c>
      <c r="I804" s="10">
        <v>45524</v>
      </c>
    </row>
    <row r="805" spans="1:9" x14ac:dyDescent="0.15">
      <c r="A805" s="9">
        <v>804</v>
      </c>
      <c r="B805" s="9" t="s">
        <v>9</v>
      </c>
      <c r="C805" s="9">
        <v>1912</v>
      </c>
      <c r="D805" s="10">
        <v>45616</v>
      </c>
      <c r="E805" s="13" t="str">
        <f>+HYPERLINK("http://trademark.i-assist.jp/data/china/image_1912th/80470175.pdf","80470175")</f>
        <v>80470175</v>
      </c>
      <c r="F805" s="12" t="s">
        <v>2302</v>
      </c>
      <c r="G805" s="9" t="s">
        <v>2303</v>
      </c>
      <c r="H805" s="9" t="s">
        <v>2304</v>
      </c>
      <c r="I805" s="10">
        <v>45524</v>
      </c>
    </row>
    <row r="806" spans="1:9" x14ac:dyDescent="0.15">
      <c r="A806" s="9">
        <v>805</v>
      </c>
      <c r="B806" s="9" t="s">
        <v>9</v>
      </c>
      <c r="C806" s="9">
        <v>1912</v>
      </c>
      <c r="D806" s="10">
        <v>45616</v>
      </c>
      <c r="E806" s="13" t="str">
        <f>+HYPERLINK("http://trademark.i-assist.jp/data/china/image_1912th/80470377.pdf","80470377")</f>
        <v>80470377</v>
      </c>
      <c r="F806" s="9" t="s">
        <v>2305</v>
      </c>
      <c r="G806" s="12" t="s">
        <v>2306</v>
      </c>
      <c r="H806" s="9" t="s">
        <v>2307</v>
      </c>
      <c r="I806" s="10">
        <v>45524</v>
      </c>
    </row>
    <row r="807" spans="1:9" x14ac:dyDescent="0.15">
      <c r="A807" s="9">
        <v>806</v>
      </c>
      <c r="B807" s="9" t="s">
        <v>9</v>
      </c>
      <c r="C807" s="9">
        <v>1912</v>
      </c>
      <c r="D807" s="10">
        <v>45616</v>
      </c>
      <c r="E807" s="13" t="str">
        <f>+HYPERLINK("http://trademark.i-assist.jp/data/china/image_1912th/80470432.pdf","80470432")</f>
        <v>80470432</v>
      </c>
      <c r="F807" s="9" t="s">
        <v>2308</v>
      </c>
      <c r="G807" s="9" t="s">
        <v>42</v>
      </c>
      <c r="H807" s="12" t="s">
        <v>2309</v>
      </c>
      <c r="I807" s="10">
        <v>45524</v>
      </c>
    </row>
    <row r="808" spans="1:9" x14ac:dyDescent="0.15">
      <c r="A808" s="9">
        <v>807</v>
      </c>
      <c r="B808" s="9" t="s">
        <v>9</v>
      </c>
      <c r="C808" s="9">
        <v>1912</v>
      </c>
      <c r="D808" s="10">
        <v>45616</v>
      </c>
      <c r="E808" s="13" t="str">
        <f>+HYPERLINK("http://trademark.i-assist.jp/data/china/image_1912th/80470588.pdf","80470588")</f>
        <v>80470588</v>
      </c>
      <c r="F808" s="9" t="s">
        <v>2310</v>
      </c>
      <c r="G808" s="9" t="s">
        <v>2311</v>
      </c>
      <c r="H808" s="9" t="s">
        <v>2312</v>
      </c>
      <c r="I808" s="10">
        <v>45524</v>
      </c>
    </row>
    <row r="809" spans="1:9" x14ac:dyDescent="0.15">
      <c r="A809" s="9">
        <v>808</v>
      </c>
      <c r="B809" s="9" t="s">
        <v>9</v>
      </c>
      <c r="C809" s="9">
        <v>1912</v>
      </c>
      <c r="D809" s="10">
        <v>45616</v>
      </c>
      <c r="E809" s="13" t="str">
        <f>+HYPERLINK("http://trademark.i-assist.jp/data/china/image_1912th/80471325.pdf","80471325")</f>
        <v>80471325</v>
      </c>
      <c r="F809" s="9" t="s">
        <v>2313</v>
      </c>
      <c r="G809" s="9" t="s">
        <v>2276</v>
      </c>
      <c r="H809" s="9" t="s">
        <v>2314</v>
      </c>
      <c r="I809" s="10">
        <v>45524</v>
      </c>
    </row>
    <row r="810" spans="1:9" x14ac:dyDescent="0.15">
      <c r="A810" s="9">
        <v>809</v>
      </c>
      <c r="B810" s="9" t="s">
        <v>9</v>
      </c>
      <c r="C810" s="9">
        <v>1912</v>
      </c>
      <c r="D810" s="10">
        <v>45616</v>
      </c>
      <c r="E810" s="13" t="str">
        <f>+HYPERLINK("http://trademark.i-assist.jp/data/china/image_1912th/80471346.pdf","80471346")</f>
        <v>80471346</v>
      </c>
      <c r="F810" s="9" t="s">
        <v>2315</v>
      </c>
      <c r="G810" s="9" t="s">
        <v>2316</v>
      </c>
      <c r="H810" s="12" t="s">
        <v>2317</v>
      </c>
      <c r="I810" s="10">
        <v>45524</v>
      </c>
    </row>
    <row r="811" spans="1:9" x14ac:dyDescent="0.15">
      <c r="A811" s="9">
        <v>810</v>
      </c>
      <c r="B811" s="9" t="s">
        <v>9</v>
      </c>
      <c r="C811" s="9">
        <v>1912</v>
      </c>
      <c r="D811" s="10">
        <v>45616</v>
      </c>
      <c r="E811" s="13" t="str">
        <f>+HYPERLINK("http://trademark.i-assist.jp/data/china/image_1912th/80471552.pdf","80471552")</f>
        <v>80471552</v>
      </c>
      <c r="F811" s="9" t="s">
        <v>2318</v>
      </c>
      <c r="G811" s="12" t="s">
        <v>2319</v>
      </c>
      <c r="H811" s="12" t="s">
        <v>2320</v>
      </c>
      <c r="I811" s="10">
        <v>45524</v>
      </c>
    </row>
    <row r="812" spans="1:9" x14ac:dyDescent="0.15">
      <c r="A812" s="9">
        <v>811</v>
      </c>
      <c r="B812" s="9" t="s">
        <v>9</v>
      </c>
      <c r="C812" s="9">
        <v>1912</v>
      </c>
      <c r="D812" s="10">
        <v>45616</v>
      </c>
      <c r="E812" s="13" t="str">
        <f>+HYPERLINK("http://trademark.i-assist.jp/data/china/image_1912th/80472177.pdf","80472177")</f>
        <v>80472177</v>
      </c>
      <c r="F812" s="12" t="s">
        <v>2321</v>
      </c>
      <c r="G812" s="9" t="s">
        <v>2322</v>
      </c>
      <c r="H812" s="9" t="s">
        <v>2323</v>
      </c>
      <c r="I812" s="10">
        <v>45524</v>
      </c>
    </row>
    <row r="813" spans="1:9" x14ac:dyDescent="0.15">
      <c r="A813" s="9">
        <v>812</v>
      </c>
      <c r="B813" s="9" t="s">
        <v>9</v>
      </c>
      <c r="C813" s="9">
        <v>1912</v>
      </c>
      <c r="D813" s="10">
        <v>45616</v>
      </c>
      <c r="E813" s="13" t="str">
        <f>+HYPERLINK("http://trademark.i-assist.jp/data/china/image_1912th/80472325.pdf","80472325")</f>
        <v>80472325</v>
      </c>
      <c r="F813" s="12" t="s">
        <v>2324</v>
      </c>
      <c r="G813" s="9" t="s">
        <v>2325</v>
      </c>
      <c r="H813" s="9" t="s">
        <v>2326</v>
      </c>
      <c r="I813" s="10">
        <v>45524</v>
      </c>
    </row>
    <row r="814" spans="1:9" x14ac:dyDescent="0.15">
      <c r="A814" s="9">
        <v>813</v>
      </c>
      <c r="B814" s="9" t="s">
        <v>9</v>
      </c>
      <c r="C814" s="9">
        <v>1912</v>
      </c>
      <c r="D814" s="10">
        <v>45616</v>
      </c>
      <c r="E814" s="13" t="str">
        <f>+HYPERLINK("http://trademark.i-assist.jp/data/china/image_1912th/80472692.pdf","80472692")</f>
        <v>80472692</v>
      </c>
      <c r="F814" s="9" t="s">
        <v>2327</v>
      </c>
      <c r="G814" s="9" t="s">
        <v>2328</v>
      </c>
      <c r="H814" s="9" t="s">
        <v>2329</v>
      </c>
      <c r="I814" s="10">
        <v>45524</v>
      </c>
    </row>
    <row r="815" spans="1:9" x14ac:dyDescent="0.15">
      <c r="A815" s="9">
        <v>814</v>
      </c>
      <c r="B815" s="9" t="s">
        <v>9</v>
      </c>
      <c r="C815" s="9">
        <v>1912</v>
      </c>
      <c r="D815" s="10">
        <v>45616</v>
      </c>
      <c r="E815" s="13" t="str">
        <f>+HYPERLINK("http://trademark.i-assist.jp/data/china/image_1912th/80473220.pdf","80473220")</f>
        <v>80473220</v>
      </c>
      <c r="F815" s="9" t="s">
        <v>2330</v>
      </c>
      <c r="G815" s="9" t="s">
        <v>2206</v>
      </c>
      <c r="H815" s="9" t="s">
        <v>2331</v>
      </c>
      <c r="I815" s="10">
        <v>45524</v>
      </c>
    </row>
    <row r="816" spans="1:9" x14ac:dyDescent="0.15">
      <c r="A816" s="9">
        <v>815</v>
      </c>
      <c r="B816" s="9" t="s">
        <v>9</v>
      </c>
      <c r="C816" s="9">
        <v>1912</v>
      </c>
      <c r="D816" s="10">
        <v>45616</v>
      </c>
      <c r="E816" s="13" t="str">
        <f>+HYPERLINK("http://trademark.i-assist.jp/data/china/image_1912th/80473276.pdf","80473276")</f>
        <v>80473276</v>
      </c>
      <c r="F816" s="12" t="s">
        <v>2332</v>
      </c>
      <c r="G816" s="9" t="s">
        <v>2333</v>
      </c>
      <c r="H816" s="12" t="s">
        <v>2334</v>
      </c>
      <c r="I816" s="10">
        <v>45524</v>
      </c>
    </row>
    <row r="817" spans="1:9" x14ac:dyDescent="0.15">
      <c r="A817" s="9">
        <v>816</v>
      </c>
      <c r="B817" s="9" t="s">
        <v>9</v>
      </c>
      <c r="C817" s="9">
        <v>1912</v>
      </c>
      <c r="D817" s="10">
        <v>45616</v>
      </c>
      <c r="E817" s="13" t="str">
        <f>+HYPERLINK("http://trademark.i-assist.jp/data/china/image_1912th/80474060.pdf","80474060")</f>
        <v>80474060</v>
      </c>
      <c r="F817" s="12" t="s">
        <v>2335</v>
      </c>
      <c r="G817" s="9" t="s">
        <v>2163</v>
      </c>
      <c r="H817" s="9" t="s">
        <v>2336</v>
      </c>
      <c r="I817" s="10">
        <v>45524</v>
      </c>
    </row>
    <row r="818" spans="1:9" x14ac:dyDescent="0.15">
      <c r="A818" s="9">
        <v>817</v>
      </c>
      <c r="B818" s="9" t="s">
        <v>9</v>
      </c>
      <c r="C818" s="9">
        <v>1912</v>
      </c>
      <c r="D818" s="10">
        <v>45616</v>
      </c>
      <c r="E818" s="13" t="str">
        <f>+HYPERLINK("http://trademark.i-assist.jp/data/china/image_1912th/80474752.pdf","80474752")</f>
        <v>80474752</v>
      </c>
      <c r="F818" s="9" t="s">
        <v>2337</v>
      </c>
      <c r="G818" s="12" t="s">
        <v>2338</v>
      </c>
      <c r="H818" s="9" t="s">
        <v>2339</v>
      </c>
      <c r="I818" s="10">
        <v>45525</v>
      </c>
    </row>
    <row r="819" spans="1:9" x14ac:dyDescent="0.15">
      <c r="A819" s="9">
        <v>818</v>
      </c>
      <c r="B819" s="9" t="s">
        <v>9</v>
      </c>
      <c r="C819" s="9">
        <v>1912</v>
      </c>
      <c r="D819" s="10">
        <v>45616</v>
      </c>
      <c r="E819" s="13" t="str">
        <f>+HYPERLINK("http://trademark.i-assist.jp/data/china/image_1912th/80474874.pdf","80474874")</f>
        <v>80474874</v>
      </c>
      <c r="F819" s="9" t="s">
        <v>2340</v>
      </c>
      <c r="G819" s="9" t="s">
        <v>2341</v>
      </c>
      <c r="H819" s="9" t="s">
        <v>2342</v>
      </c>
      <c r="I819" s="10">
        <v>45525</v>
      </c>
    </row>
    <row r="820" spans="1:9" x14ac:dyDescent="0.15">
      <c r="A820" s="9">
        <v>819</v>
      </c>
      <c r="B820" s="9" t="s">
        <v>9</v>
      </c>
      <c r="C820" s="9">
        <v>1912</v>
      </c>
      <c r="D820" s="10">
        <v>45616</v>
      </c>
      <c r="E820" s="13" t="str">
        <f>+HYPERLINK("http://trademark.i-assist.jp/data/china/image_1912th/80474945.pdf","80474945")</f>
        <v>80474945</v>
      </c>
      <c r="F820" s="9" t="s">
        <v>2343</v>
      </c>
      <c r="G820" s="9" t="s">
        <v>2344</v>
      </c>
      <c r="H820" s="9" t="s">
        <v>2345</v>
      </c>
      <c r="I820" s="10">
        <v>45525</v>
      </c>
    </row>
    <row r="821" spans="1:9" x14ac:dyDescent="0.15">
      <c r="A821" s="9">
        <v>820</v>
      </c>
      <c r="B821" s="9" t="s">
        <v>9</v>
      </c>
      <c r="C821" s="9">
        <v>1912</v>
      </c>
      <c r="D821" s="10">
        <v>45616</v>
      </c>
      <c r="E821" s="13" t="str">
        <f>+HYPERLINK("http://trademark.i-assist.jp/data/china/image_1912th/80475164.pdf","80475164")</f>
        <v>80475164</v>
      </c>
      <c r="F821" s="9" t="s">
        <v>2346</v>
      </c>
      <c r="G821" s="9" t="s">
        <v>2347</v>
      </c>
      <c r="H821" s="9" t="s">
        <v>2348</v>
      </c>
      <c r="I821" s="10">
        <v>45525</v>
      </c>
    </row>
    <row r="822" spans="1:9" x14ac:dyDescent="0.15">
      <c r="A822" s="9">
        <v>821</v>
      </c>
      <c r="B822" s="9" t="s">
        <v>9</v>
      </c>
      <c r="C822" s="9">
        <v>1912</v>
      </c>
      <c r="D822" s="10">
        <v>45616</v>
      </c>
      <c r="E822" s="13" t="str">
        <f>+HYPERLINK("http://trademark.i-assist.jp/data/china/image_1912th/80475472.pdf","80475472")</f>
        <v>80475472</v>
      </c>
      <c r="F822" s="12" t="s">
        <v>2349</v>
      </c>
      <c r="G822" s="9" t="s">
        <v>2350</v>
      </c>
      <c r="H822" s="9" t="s">
        <v>2351</v>
      </c>
      <c r="I822" s="10">
        <v>45525</v>
      </c>
    </row>
    <row r="823" spans="1:9" x14ac:dyDescent="0.15">
      <c r="A823" s="9">
        <v>822</v>
      </c>
      <c r="B823" s="9" t="s">
        <v>9</v>
      </c>
      <c r="C823" s="9">
        <v>1912</v>
      </c>
      <c r="D823" s="10">
        <v>45616</v>
      </c>
      <c r="E823" s="13" t="str">
        <f>+HYPERLINK("http://trademark.i-assist.jp/data/china/image_1912th/80475867.pdf","80475867")</f>
        <v>80475867</v>
      </c>
      <c r="F823" s="9" t="s">
        <v>2352</v>
      </c>
      <c r="G823" s="9" t="s">
        <v>2353</v>
      </c>
      <c r="H823" s="9" t="s">
        <v>2354</v>
      </c>
      <c r="I823" s="10">
        <v>45525</v>
      </c>
    </row>
    <row r="824" spans="1:9" x14ac:dyDescent="0.15">
      <c r="A824" s="9">
        <v>823</v>
      </c>
      <c r="B824" s="9" t="s">
        <v>9</v>
      </c>
      <c r="C824" s="9">
        <v>1912</v>
      </c>
      <c r="D824" s="10">
        <v>45616</v>
      </c>
      <c r="E824" s="13" t="str">
        <f>+HYPERLINK("http://trademark.i-assist.jp/data/china/image_1912th/80476526.pdf","80476526")</f>
        <v>80476526</v>
      </c>
      <c r="F824" s="12" t="s">
        <v>15</v>
      </c>
      <c r="G824" s="9" t="s">
        <v>2355</v>
      </c>
      <c r="H824" s="9" t="s">
        <v>2356</v>
      </c>
      <c r="I824" s="10">
        <v>45525</v>
      </c>
    </row>
    <row r="825" spans="1:9" x14ac:dyDescent="0.15">
      <c r="A825" s="9">
        <v>824</v>
      </c>
      <c r="B825" s="9" t="s">
        <v>9</v>
      </c>
      <c r="C825" s="9">
        <v>1912</v>
      </c>
      <c r="D825" s="10">
        <v>45616</v>
      </c>
      <c r="E825" s="13" t="str">
        <f>+HYPERLINK("http://trademark.i-assist.jp/data/china/image_1912th/80477026.pdf","80477026")</f>
        <v>80477026</v>
      </c>
      <c r="F825" s="9" t="s">
        <v>2357</v>
      </c>
      <c r="G825" s="12" t="s">
        <v>2358</v>
      </c>
      <c r="H825" s="9" t="s">
        <v>2359</v>
      </c>
      <c r="I825" s="10">
        <v>45525</v>
      </c>
    </row>
    <row r="826" spans="1:9" x14ac:dyDescent="0.15">
      <c r="A826" s="9">
        <v>825</v>
      </c>
      <c r="B826" s="9" t="s">
        <v>9</v>
      </c>
      <c r="C826" s="9">
        <v>1912</v>
      </c>
      <c r="D826" s="10">
        <v>45616</v>
      </c>
      <c r="E826" s="13" t="str">
        <f>+HYPERLINK("http://trademark.i-assist.jp/data/china/image_1912th/80477894.pdf","80477894")</f>
        <v>80477894</v>
      </c>
      <c r="F826" s="12" t="s">
        <v>15</v>
      </c>
      <c r="G826" s="12" t="s">
        <v>2360</v>
      </c>
      <c r="H826" s="9" t="s">
        <v>2361</v>
      </c>
      <c r="I826" s="10">
        <v>45525</v>
      </c>
    </row>
    <row r="827" spans="1:9" x14ac:dyDescent="0.15">
      <c r="A827" s="9">
        <v>826</v>
      </c>
      <c r="B827" s="9" t="s">
        <v>9</v>
      </c>
      <c r="C827" s="9">
        <v>1912</v>
      </c>
      <c r="D827" s="10">
        <v>45616</v>
      </c>
      <c r="E827" s="13" t="str">
        <f>+HYPERLINK("http://trademark.i-assist.jp/data/china/image_1912th/80478322.pdf","80478322")</f>
        <v>80478322</v>
      </c>
      <c r="F827" s="12" t="s">
        <v>2362</v>
      </c>
      <c r="G827" s="9" t="s">
        <v>2363</v>
      </c>
      <c r="H827" s="9" t="s">
        <v>2364</v>
      </c>
      <c r="I827" s="10">
        <v>45525</v>
      </c>
    </row>
    <row r="828" spans="1:9" x14ac:dyDescent="0.15">
      <c r="A828" s="9">
        <v>827</v>
      </c>
      <c r="B828" s="9" t="s">
        <v>9</v>
      </c>
      <c r="C828" s="9">
        <v>1912</v>
      </c>
      <c r="D828" s="10">
        <v>45616</v>
      </c>
      <c r="E828" s="13" t="str">
        <f>+HYPERLINK("http://trademark.i-assist.jp/data/china/image_1912th/80478799.pdf","80478799")</f>
        <v>80478799</v>
      </c>
      <c r="F828" s="12" t="s">
        <v>2365</v>
      </c>
      <c r="G828" s="9" t="s">
        <v>2366</v>
      </c>
      <c r="H828" s="9" t="s">
        <v>2367</v>
      </c>
      <c r="I828" s="10">
        <v>45525</v>
      </c>
    </row>
    <row r="829" spans="1:9" x14ac:dyDescent="0.15">
      <c r="A829" s="9">
        <v>828</v>
      </c>
      <c r="B829" s="9" t="s">
        <v>9</v>
      </c>
      <c r="C829" s="9">
        <v>1912</v>
      </c>
      <c r="D829" s="10">
        <v>45616</v>
      </c>
      <c r="E829" s="13" t="str">
        <f>+HYPERLINK("http://trademark.i-assist.jp/data/china/image_1912th/80480670.pdf","80480670")</f>
        <v>80480670</v>
      </c>
      <c r="F829" s="12" t="s">
        <v>2368</v>
      </c>
      <c r="G829" s="9" t="s">
        <v>38</v>
      </c>
      <c r="H829" s="9" t="s">
        <v>2369</v>
      </c>
      <c r="I829" s="10">
        <v>45525</v>
      </c>
    </row>
    <row r="830" spans="1:9" x14ac:dyDescent="0.15">
      <c r="A830" s="9">
        <v>829</v>
      </c>
      <c r="B830" s="9" t="s">
        <v>9</v>
      </c>
      <c r="C830" s="9">
        <v>1912</v>
      </c>
      <c r="D830" s="10">
        <v>45616</v>
      </c>
      <c r="E830" s="13" t="str">
        <f>+HYPERLINK("http://trademark.i-assist.jp/data/china/image_1912th/80483277.pdf","80483277")</f>
        <v>80483277</v>
      </c>
      <c r="F830" s="9" t="s">
        <v>2370</v>
      </c>
      <c r="G830" s="12" t="s">
        <v>2371</v>
      </c>
      <c r="H830" s="9" t="s">
        <v>2372</v>
      </c>
      <c r="I830" s="10">
        <v>45525</v>
      </c>
    </row>
    <row r="831" spans="1:9" x14ac:dyDescent="0.15">
      <c r="A831" s="9">
        <v>830</v>
      </c>
      <c r="B831" s="9" t="s">
        <v>9</v>
      </c>
      <c r="C831" s="9">
        <v>1912</v>
      </c>
      <c r="D831" s="10">
        <v>45616</v>
      </c>
      <c r="E831" s="13" t="str">
        <f>+HYPERLINK("http://trademark.i-assist.jp/data/china/image_1912th/80483308.pdf","80483308")</f>
        <v>80483308</v>
      </c>
      <c r="F831" s="12" t="s">
        <v>2373</v>
      </c>
      <c r="G831" s="9" t="s">
        <v>2374</v>
      </c>
      <c r="H831" s="9" t="s">
        <v>2375</v>
      </c>
      <c r="I831" s="10">
        <v>45525</v>
      </c>
    </row>
    <row r="832" spans="1:9" x14ac:dyDescent="0.15">
      <c r="A832" s="9">
        <v>831</v>
      </c>
      <c r="B832" s="9" t="s">
        <v>9</v>
      </c>
      <c r="C832" s="9">
        <v>1912</v>
      </c>
      <c r="D832" s="10">
        <v>45616</v>
      </c>
      <c r="E832" s="13" t="str">
        <f>+HYPERLINK("http://trademark.i-assist.jp/data/china/image_1912th/80483632.pdf","80483632")</f>
        <v>80483632</v>
      </c>
      <c r="F832" s="12" t="s">
        <v>2376</v>
      </c>
      <c r="G832" s="12" t="s">
        <v>2377</v>
      </c>
      <c r="H832" s="9" t="s">
        <v>2378</v>
      </c>
      <c r="I832" s="10">
        <v>45525</v>
      </c>
    </row>
    <row r="833" spans="1:9" x14ac:dyDescent="0.15">
      <c r="A833" s="9">
        <v>832</v>
      </c>
      <c r="B833" s="9" t="s">
        <v>9</v>
      </c>
      <c r="C833" s="9">
        <v>1912</v>
      </c>
      <c r="D833" s="10">
        <v>45616</v>
      </c>
      <c r="E833" s="13" t="str">
        <f>+HYPERLINK("http://trademark.i-assist.jp/data/china/image_1912th/80483912.pdf","80483912")</f>
        <v>80483912</v>
      </c>
      <c r="F833" s="9" t="s">
        <v>2379</v>
      </c>
      <c r="G833" s="9" t="s">
        <v>2380</v>
      </c>
      <c r="H833" s="9" t="s">
        <v>2381</v>
      </c>
      <c r="I833" s="10">
        <v>45525</v>
      </c>
    </row>
    <row r="834" spans="1:9" x14ac:dyDescent="0.15">
      <c r="A834" s="9">
        <v>833</v>
      </c>
      <c r="B834" s="9" t="s">
        <v>9</v>
      </c>
      <c r="C834" s="9">
        <v>1912</v>
      </c>
      <c r="D834" s="10">
        <v>45616</v>
      </c>
      <c r="E834" s="13" t="str">
        <f>+HYPERLINK("http://trademark.i-assist.jp/data/china/image_1912th/80483988.pdf","80483988")</f>
        <v>80483988</v>
      </c>
      <c r="F834" s="9" t="s">
        <v>2382</v>
      </c>
      <c r="G834" s="9" t="s">
        <v>2383</v>
      </c>
      <c r="H834" s="9" t="s">
        <v>2384</v>
      </c>
      <c r="I834" s="10">
        <v>45525</v>
      </c>
    </row>
    <row r="835" spans="1:9" x14ac:dyDescent="0.15">
      <c r="A835" s="9">
        <v>834</v>
      </c>
      <c r="B835" s="9" t="s">
        <v>9</v>
      </c>
      <c r="C835" s="9">
        <v>1912</v>
      </c>
      <c r="D835" s="10">
        <v>45616</v>
      </c>
      <c r="E835" s="13" t="str">
        <f>+HYPERLINK("http://trademark.i-assist.jp/data/china/image_1912th/80484415.pdf","80484415")</f>
        <v>80484415</v>
      </c>
      <c r="F835" s="9" t="s">
        <v>2385</v>
      </c>
      <c r="G835" s="9" t="s">
        <v>2386</v>
      </c>
      <c r="H835" s="9" t="s">
        <v>2387</v>
      </c>
      <c r="I835" s="10">
        <v>45525</v>
      </c>
    </row>
    <row r="836" spans="1:9" x14ac:dyDescent="0.15">
      <c r="A836" s="9">
        <v>835</v>
      </c>
      <c r="B836" s="9" t="s">
        <v>9</v>
      </c>
      <c r="C836" s="9">
        <v>1912</v>
      </c>
      <c r="D836" s="10">
        <v>45616</v>
      </c>
      <c r="E836" s="13" t="str">
        <f>+HYPERLINK("http://trademark.i-assist.jp/data/china/image_1912th/80484429.pdf","80484429")</f>
        <v>80484429</v>
      </c>
      <c r="F836" s="9" t="s">
        <v>2388</v>
      </c>
      <c r="G836" s="12" t="s">
        <v>2389</v>
      </c>
      <c r="H836" s="9" t="s">
        <v>2390</v>
      </c>
      <c r="I836" s="10">
        <v>45525</v>
      </c>
    </row>
    <row r="837" spans="1:9" x14ac:dyDescent="0.15">
      <c r="A837" s="9">
        <v>836</v>
      </c>
      <c r="B837" s="9" t="s">
        <v>9</v>
      </c>
      <c r="C837" s="9">
        <v>1912</v>
      </c>
      <c r="D837" s="10">
        <v>45616</v>
      </c>
      <c r="E837" s="13" t="str">
        <f>+HYPERLINK("http://trademark.i-assist.jp/data/china/image_1912th/80484761.pdf","80484761")</f>
        <v>80484761</v>
      </c>
      <c r="F837" s="9" t="s">
        <v>2391</v>
      </c>
      <c r="G837" s="12" t="s">
        <v>2392</v>
      </c>
      <c r="H837" s="9" t="s">
        <v>2393</v>
      </c>
      <c r="I837" s="10">
        <v>45525</v>
      </c>
    </row>
    <row r="838" spans="1:9" x14ac:dyDescent="0.15">
      <c r="A838" s="9">
        <v>837</v>
      </c>
      <c r="B838" s="9" t="s">
        <v>9</v>
      </c>
      <c r="C838" s="9">
        <v>1912</v>
      </c>
      <c r="D838" s="10">
        <v>45616</v>
      </c>
      <c r="E838" s="13" t="str">
        <f>+HYPERLINK("http://trademark.i-assist.jp/data/china/image_1912th/80484805.pdf","80484805")</f>
        <v>80484805</v>
      </c>
      <c r="F838" s="9" t="s">
        <v>2394</v>
      </c>
      <c r="G838" s="12" t="s">
        <v>2395</v>
      </c>
      <c r="H838" s="9" t="s">
        <v>2396</v>
      </c>
      <c r="I838" s="10">
        <v>45525</v>
      </c>
    </row>
    <row r="839" spans="1:9" x14ac:dyDescent="0.15">
      <c r="A839" s="9">
        <v>838</v>
      </c>
      <c r="B839" s="9" t="s">
        <v>9</v>
      </c>
      <c r="C839" s="9">
        <v>1912</v>
      </c>
      <c r="D839" s="10">
        <v>45616</v>
      </c>
      <c r="E839" s="13" t="str">
        <f>+HYPERLINK("http://trademark.i-assist.jp/data/china/image_1912th/80485108.pdf","80485108")</f>
        <v>80485108</v>
      </c>
      <c r="F839" s="9" t="s">
        <v>2397</v>
      </c>
      <c r="G839" s="9" t="s">
        <v>2398</v>
      </c>
      <c r="H839" s="9" t="s">
        <v>2399</v>
      </c>
      <c r="I839" s="10">
        <v>45525</v>
      </c>
    </row>
    <row r="840" spans="1:9" x14ac:dyDescent="0.15">
      <c r="A840" s="9">
        <v>839</v>
      </c>
      <c r="B840" s="9" t="s">
        <v>9</v>
      </c>
      <c r="C840" s="9">
        <v>1912</v>
      </c>
      <c r="D840" s="10">
        <v>45616</v>
      </c>
      <c r="E840" s="13" t="str">
        <f>+HYPERLINK("http://trademark.i-assist.jp/data/china/image_1912th/80485374.pdf","80485374")</f>
        <v>80485374</v>
      </c>
      <c r="F840" s="9" t="s">
        <v>2400</v>
      </c>
      <c r="G840" s="12" t="s">
        <v>2401</v>
      </c>
      <c r="H840" s="9" t="s">
        <v>2402</v>
      </c>
      <c r="I840" s="10">
        <v>45525</v>
      </c>
    </row>
    <row r="841" spans="1:9" x14ac:dyDescent="0.15">
      <c r="A841" s="9">
        <v>840</v>
      </c>
      <c r="B841" s="9" t="s">
        <v>9</v>
      </c>
      <c r="C841" s="9">
        <v>1912</v>
      </c>
      <c r="D841" s="10">
        <v>45616</v>
      </c>
      <c r="E841" s="13" t="str">
        <f>+HYPERLINK("http://trademark.i-assist.jp/data/china/image_1912th/80485487.pdf","80485487")</f>
        <v>80485487</v>
      </c>
      <c r="F841" s="9" t="s">
        <v>2403</v>
      </c>
      <c r="G841" s="9" t="s">
        <v>2404</v>
      </c>
      <c r="H841" s="9" t="s">
        <v>2405</v>
      </c>
      <c r="I841" s="10">
        <v>45525</v>
      </c>
    </row>
    <row r="842" spans="1:9" x14ac:dyDescent="0.15">
      <c r="A842" s="9">
        <v>841</v>
      </c>
      <c r="B842" s="9" t="s">
        <v>9</v>
      </c>
      <c r="C842" s="9">
        <v>1912</v>
      </c>
      <c r="D842" s="10">
        <v>45616</v>
      </c>
      <c r="E842" s="13" t="str">
        <f>+HYPERLINK("http://trademark.i-assist.jp/data/china/image_1912th/80485771.pdf","80485771")</f>
        <v>80485771</v>
      </c>
      <c r="F842" s="9" t="s">
        <v>2406</v>
      </c>
      <c r="G842" s="9" t="s">
        <v>2407</v>
      </c>
      <c r="H842" s="9" t="s">
        <v>2408</v>
      </c>
      <c r="I842" s="10">
        <v>45525</v>
      </c>
    </row>
    <row r="843" spans="1:9" x14ac:dyDescent="0.15">
      <c r="A843" s="9">
        <v>842</v>
      </c>
      <c r="B843" s="9" t="s">
        <v>9</v>
      </c>
      <c r="C843" s="9">
        <v>1912</v>
      </c>
      <c r="D843" s="10">
        <v>45616</v>
      </c>
      <c r="E843" s="13" t="str">
        <f>+HYPERLINK("http://trademark.i-assist.jp/data/china/image_1912th/80485811.pdf","80485811")</f>
        <v>80485811</v>
      </c>
      <c r="F843" s="9" t="s">
        <v>2409</v>
      </c>
      <c r="G843" s="9" t="s">
        <v>2410</v>
      </c>
      <c r="H843" s="9" t="s">
        <v>2411</v>
      </c>
      <c r="I843" s="10">
        <v>45525</v>
      </c>
    </row>
    <row r="844" spans="1:9" x14ac:dyDescent="0.15">
      <c r="A844" s="9">
        <v>843</v>
      </c>
      <c r="B844" s="9" t="s">
        <v>9</v>
      </c>
      <c r="C844" s="9">
        <v>1912</v>
      </c>
      <c r="D844" s="10">
        <v>45616</v>
      </c>
      <c r="E844" s="13" t="str">
        <f>+HYPERLINK("http://trademark.i-assist.jp/data/china/image_1912th/80485880.pdf","80485880")</f>
        <v>80485880</v>
      </c>
      <c r="F844" s="12" t="s">
        <v>2412</v>
      </c>
      <c r="G844" s="12" t="s">
        <v>2413</v>
      </c>
      <c r="H844" s="9" t="s">
        <v>2414</v>
      </c>
      <c r="I844" s="10">
        <v>45525</v>
      </c>
    </row>
    <row r="845" spans="1:9" x14ac:dyDescent="0.15">
      <c r="A845" s="9">
        <v>844</v>
      </c>
      <c r="B845" s="9" t="s">
        <v>9</v>
      </c>
      <c r="C845" s="9">
        <v>1912</v>
      </c>
      <c r="D845" s="10">
        <v>45616</v>
      </c>
      <c r="E845" s="13" t="str">
        <f>+HYPERLINK("http://trademark.i-assist.jp/data/china/image_1912th/80486045.pdf","80486045")</f>
        <v>80486045</v>
      </c>
      <c r="F845" s="9" t="s">
        <v>2415</v>
      </c>
      <c r="G845" s="12" t="s">
        <v>2392</v>
      </c>
      <c r="H845" s="9" t="s">
        <v>2416</v>
      </c>
      <c r="I845" s="10">
        <v>45525</v>
      </c>
    </row>
    <row r="846" spans="1:9" x14ac:dyDescent="0.15">
      <c r="A846" s="9">
        <v>845</v>
      </c>
      <c r="B846" s="9" t="s">
        <v>9</v>
      </c>
      <c r="C846" s="9">
        <v>1912</v>
      </c>
      <c r="D846" s="10">
        <v>45616</v>
      </c>
      <c r="E846" s="13" t="str">
        <f>+HYPERLINK("http://trademark.i-assist.jp/data/china/image_1912th/80486167.pdf","80486167")</f>
        <v>80486167</v>
      </c>
      <c r="F846" s="9" t="s">
        <v>2417</v>
      </c>
      <c r="G846" s="9" t="s">
        <v>2418</v>
      </c>
      <c r="H846" s="9" t="s">
        <v>2419</v>
      </c>
      <c r="I846" s="10">
        <v>45525</v>
      </c>
    </row>
    <row r="847" spans="1:9" x14ac:dyDescent="0.15">
      <c r="A847" s="9">
        <v>846</v>
      </c>
      <c r="B847" s="9" t="s">
        <v>9</v>
      </c>
      <c r="C847" s="9">
        <v>1912</v>
      </c>
      <c r="D847" s="10">
        <v>45616</v>
      </c>
      <c r="E847" s="13" t="str">
        <f>+HYPERLINK("http://trademark.i-assist.jp/data/china/image_1912th/80486451.pdf","80486451")</f>
        <v>80486451</v>
      </c>
      <c r="F847" s="12" t="s">
        <v>15</v>
      </c>
      <c r="G847" s="12" t="s">
        <v>2420</v>
      </c>
      <c r="H847" s="9" t="s">
        <v>2421</v>
      </c>
      <c r="I847" s="10">
        <v>45525</v>
      </c>
    </row>
    <row r="848" spans="1:9" x14ac:dyDescent="0.15">
      <c r="A848" s="9">
        <v>847</v>
      </c>
      <c r="B848" s="9" t="s">
        <v>9</v>
      </c>
      <c r="C848" s="9">
        <v>1912</v>
      </c>
      <c r="D848" s="10">
        <v>45616</v>
      </c>
      <c r="E848" s="13" t="str">
        <f>+HYPERLINK("http://trademark.i-assist.jp/data/china/image_1912th/80486632.pdf","80486632")</f>
        <v>80486632</v>
      </c>
      <c r="F848" s="9" t="s">
        <v>2422</v>
      </c>
      <c r="G848" s="9" t="s">
        <v>2423</v>
      </c>
      <c r="H848" s="9" t="s">
        <v>2424</v>
      </c>
      <c r="I848" s="10">
        <v>45525</v>
      </c>
    </row>
    <row r="849" spans="1:9" x14ac:dyDescent="0.15">
      <c r="A849" s="9">
        <v>848</v>
      </c>
      <c r="B849" s="9" t="s">
        <v>9</v>
      </c>
      <c r="C849" s="9">
        <v>1912</v>
      </c>
      <c r="D849" s="10">
        <v>45616</v>
      </c>
      <c r="E849" s="13" t="str">
        <f>+HYPERLINK("http://trademark.i-assist.jp/data/china/image_1912th/80487036.pdf","80487036")</f>
        <v>80487036</v>
      </c>
      <c r="F849" s="12" t="s">
        <v>2425</v>
      </c>
      <c r="G849" s="9" t="s">
        <v>2426</v>
      </c>
      <c r="H849" s="9" t="s">
        <v>2427</v>
      </c>
      <c r="I849" s="10">
        <v>45525</v>
      </c>
    </row>
    <row r="850" spans="1:9" x14ac:dyDescent="0.15">
      <c r="A850" s="9">
        <v>849</v>
      </c>
      <c r="B850" s="9" t="s">
        <v>9</v>
      </c>
      <c r="C850" s="9">
        <v>1912</v>
      </c>
      <c r="D850" s="10">
        <v>45616</v>
      </c>
      <c r="E850" s="13" t="str">
        <f>+HYPERLINK("http://trademark.i-assist.jp/data/china/image_1912th/80487615.pdf","80487615")</f>
        <v>80487615</v>
      </c>
      <c r="F850" s="9" t="s">
        <v>2428</v>
      </c>
      <c r="G850" s="9" t="s">
        <v>2429</v>
      </c>
      <c r="H850" s="9" t="s">
        <v>2430</v>
      </c>
      <c r="I850" s="10">
        <v>45525</v>
      </c>
    </row>
    <row r="851" spans="1:9" x14ac:dyDescent="0.15">
      <c r="A851" s="9">
        <v>850</v>
      </c>
      <c r="B851" s="9" t="s">
        <v>9</v>
      </c>
      <c r="C851" s="9">
        <v>1912</v>
      </c>
      <c r="D851" s="10">
        <v>45616</v>
      </c>
      <c r="E851" s="13" t="str">
        <f>+HYPERLINK("http://trademark.i-assist.jp/data/china/image_1912th/80488259.pdf","80488259")</f>
        <v>80488259</v>
      </c>
      <c r="F851" s="12" t="s">
        <v>15</v>
      </c>
      <c r="G851" s="9" t="s">
        <v>2431</v>
      </c>
      <c r="H851" s="9" t="s">
        <v>2432</v>
      </c>
      <c r="I851" s="10">
        <v>45525</v>
      </c>
    </row>
    <row r="852" spans="1:9" x14ac:dyDescent="0.15">
      <c r="A852" s="9">
        <v>851</v>
      </c>
      <c r="B852" s="9" t="s">
        <v>9</v>
      </c>
      <c r="C852" s="9">
        <v>1912</v>
      </c>
      <c r="D852" s="10">
        <v>45616</v>
      </c>
      <c r="E852" s="13" t="str">
        <f>+HYPERLINK("http://trademark.i-assist.jp/data/china/image_1912th/80489100.pdf","80489100")</f>
        <v>80489100</v>
      </c>
      <c r="F852" s="9" t="s">
        <v>2433</v>
      </c>
      <c r="G852" s="12" t="s">
        <v>2434</v>
      </c>
      <c r="H852" s="12" t="s">
        <v>2435</v>
      </c>
      <c r="I852" s="10">
        <v>45525</v>
      </c>
    </row>
    <row r="853" spans="1:9" x14ac:dyDescent="0.15">
      <c r="A853" s="9">
        <v>852</v>
      </c>
      <c r="B853" s="9" t="s">
        <v>9</v>
      </c>
      <c r="C853" s="9">
        <v>1912</v>
      </c>
      <c r="D853" s="10">
        <v>45616</v>
      </c>
      <c r="E853" s="13" t="str">
        <f>+HYPERLINK("http://trademark.i-assist.jp/data/china/image_1912th/80489648.pdf","80489648")</f>
        <v>80489648</v>
      </c>
      <c r="F853" s="9" t="s">
        <v>2436</v>
      </c>
      <c r="G853" s="9" t="s">
        <v>2437</v>
      </c>
      <c r="H853" s="9" t="s">
        <v>2438</v>
      </c>
      <c r="I853" s="10">
        <v>45525</v>
      </c>
    </row>
    <row r="854" spans="1:9" x14ac:dyDescent="0.15">
      <c r="A854" s="9">
        <v>853</v>
      </c>
      <c r="B854" s="9" t="s">
        <v>9</v>
      </c>
      <c r="C854" s="9">
        <v>1912</v>
      </c>
      <c r="D854" s="10">
        <v>45616</v>
      </c>
      <c r="E854" s="13" t="str">
        <f>+HYPERLINK("http://trademark.i-assist.jp/data/china/image_1912th/80489980.pdf","80489980")</f>
        <v>80489980</v>
      </c>
      <c r="F854" s="12" t="s">
        <v>2439</v>
      </c>
      <c r="G854" s="12" t="s">
        <v>2440</v>
      </c>
      <c r="H854" s="9" t="s">
        <v>2441</v>
      </c>
      <c r="I854" s="10">
        <v>45525</v>
      </c>
    </row>
    <row r="855" spans="1:9" x14ac:dyDescent="0.15">
      <c r="A855" s="9">
        <v>854</v>
      </c>
      <c r="B855" s="9" t="s">
        <v>9</v>
      </c>
      <c r="C855" s="9">
        <v>1912</v>
      </c>
      <c r="D855" s="10">
        <v>45616</v>
      </c>
      <c r="E855" s="13" t="str">
        <f>+HYPERLINK("http://trademark.i-assist.jp/data/china/image_1912th/80490134.pdf","80490134")</f>
        <v>80490134</v>
      </c>
      <c r="F855" s="9" t="s">
        <v>2442</v>
      </c>
      <c r="G855" s="9" t="s">
        <v>2443</v>
      </c>
      <c r="H855" s="9" t="s">
        <v>2444</v>
      </c>
      <c r="I855" s="10">
        <v>45525</v>
      </c>
    </row>
    <row r="856" spans="1:9" x14ac:dyDescent="0.15">
      <c r="A856" s="9">
        <v>855</v>
      </c>
      <c r="B856" s="9" t="s">
        <v>9</v>
      </c>
      <c r="C856" s="9">
        <v>1912</v>
      </c>
      <c r="D856" s="10">
        <v>45616</v>
      </c>
      <c r="E856" s="13" t="str">
        <f>+HYPERLINK("http://trademark.i-assist.jp/data/china/image_1912th/80491147.pdf","80491147")</f>
        <v>80491147</v>
      </c>
      <c r="F856" s="12" t="s">
        <v>15</v>
      </c>
      <c r="G856" s="9" t="s">
        <v>2445</v>
      </c>
      <c r="H856" s="12" t="s">
        <v>2446</v>
      </c>
      <c r="I856" s="10">
        <v>45525</v>
      </c>
    </row>
    <row r="857" spans="1:9" x14ac:dyDescent="0.15">
      <c r="A857" s="9">
        <v>856</v>
      </c>
      <c r="B857" s="9" t="s">
        <v>9</v>
      </c>
      <c r="C857" s="9">
        <v>1912</v>
      </c>
      <c r="D857" s="10">
        <v>45616</v>
      </c>
      <c r="E857" s="13" t="str">
        <f>+HYPERLINK("http://trademark.i-assist.jp/data/china/image_1912th/80491492.pdf","80491492")</f>
        <v>80491492</v>
      </c>
      <c r="F857" s="9" t="s">
        <v>2447</v>
      </c>
      <c r="G857" s="9" t="s">
        <v>2448</v>
      </c>
      <c r="H857" s="9" t="s">
        <v>2449</v>
      </c>
      <c r="I857" s="10">
        <v>45525</v>
      </c>
    </row>
    <row r="858" spans="1:9" x14ac:dyDescent="0.15">
      <c r="A858" s="9">
        <v>857</v>
      </c>
      <c r="B858" s="9" t="s">
        <v>9</v>
      </c>
      <c r="C858" s="9">
        <v>1912</v>
      </c>
      <c r="D858" s="10">
        <v>45616</v>
      </c>
      <c r="E858" s="13" t="str">
        <f>+HYPERLINK("http://trademark.i-assist.jp/data/china/image_1912th/80491528.pdf","80491528")</f>
        <v>80491528</v>
      </c>
      <c r="F858" s="9" t="s">
        <v>2450</v>
      </c>
      <c r="G858" s="9" t="s">
        <v>2451</v>
      </c>
      <c r="H858" s="9" t="s">
        <v>2452</v>
      </c>
      <c r="I858" s="10">
        <v>45525</v>
      </c>
    </row>
    <row r="859" spans="1:9" x14ac:dyDescent="0.15">
      <c r="A859" s="9">
        <v>858</v>
      </c>
      <c r="B859" s="9" t="s">
        <v>9</v>
      </c>
      <c r="C859" s="9">
        <v>1912</v>
      </c>
      <c r="D859" s="10">
        <v>45616</v>
      </c>
      <c r="E859" s="13" t="str">
        <f>+HYPERLINK("http://trademark.i-assist.jp/data/china/image_1912th/80492006.pdf","80492006")</f>
        <v>80492006</v>
      </c>
      <c r="F859" s="9" t="s">
        <v>2453</v>
      </c>
      <c r="G859" s="9" t="s">
        <v>2454</v>
      </c>
      <c r="H859" s="9" t="s">
        <v>2455</v>
      </c>
      <c r="I859" s="10">
        <v>45525</v>
      </c>
    </row>
    <row r="860" spans="1:9" x14ac:dyDescent="0.15">
      <c r="A860" s="9">
        <v>859</v>
      </c>
      <c r="B860" s="9" t="s">
        <v>9</v>
      </c>
      <c r="C860" s="9">
        <v>1912</v>
      </c>
      <c r="D860" s="10">
        <v>45616</v>
      </c>
      <c r="E860" s="13" t="str">
        <f>+HYPERLINK("http://trademark.i-assist.jp/data/china/image_1912th/80492514.pdf","80492514")</f>
        <v>80492514</v>
      </c>
      <c r="F860" s="9" t="s">
        <v>2456</v>
      </c>
      <c r="G860" s="12" t="s">
        <v>2457</v>
      </c>
      <c r="H860" s="9" t="s">
        <v>2458</v>
      </c>
      <c r="I860" s="10">
        <v>45525</v>
      </c>
    </row>
    <row r="861" spans="1:9" x14ac:dyDescent="0.15">
      <c r="A861" s="9">
        <v>860</v>
      </c>
      <c r="B861" s="9" t="s">
        <v>9</v>
      </c>
      <c r="C861" s="9">
        <v>1912</v>
      </c>
      <c r="D861" s="10">
        <v>45616</v>
      </c>
      <c r="E861" s="13" t="str">
        <f>+HYPERLINK("http://trademark.i-assist.jp/data/china/image_1912th/80492597.pdf","80492597")</f>
        <v>80492597</v>
      </c>
      <c r="F861" s="9" t="s">
        <v>2459</v>
      </c>
      <c r="G861" s="12" t="s">
        <v>2460</v>
      </c>
      <c r="H861" s="9" t="s">
        <v>2461</v>
      </c>
      <c r="I861" s="10">
        <v>45525</v>
      </c>
    </row>
    <row r="862" spans="1:9" x14ac:dyDescent="0.15">
      <c r="A862" s="9">
        <v>861</v>
      </c>
      <c r="B862" s="9" t="s">
        <v>9</v>
      </c>
      <c r="C862" s="9">
        <v>1912</v>
      </c>
      <c r="D862" s="10">
        <v>45616</v>
      </c>
      <c r="E862" s="13" t="str">
        <f>+HYPERLINK("http://trademark.i-assist.jp/data/china/image_1912th/80492746.pdf","80492746")</f>
        <v>80492746</v>
      </c>
      <c r="F862" s="9" t="s">
        <v>2462</v>
      </c>
      <c r="G862" s="12" t="s">
        <v>2463</v>
      </c>
      <c r="H862" s="9" t="s">
        <v>2464</v>
      </c>
      <c r="I862" s="10">
        <v>45525</v>
      </c>
    </row>
    <row r="863" spans="1:9" x14ac:dyDescent="0.15">
      <c r="A863" s="9">
        <v>862</v>
      </c>
      <c r="B863" s="9" t="s">
        <v>9</v>
      </c>
      <c r="C863" s="9">
        <v>1912</v>
      </c>
      <c r="D863" s="10">
        <v>45616</v>
      </c>
      <c r="E863" s="13" t="str">
        <f>+HYPERLINK("http://trademark.i-assist.jp/data/china/image_1912th/80492920.pdf","80492920")</f>
        <v>80492920</v>
      </c>
      <c r="F863" s="12" t="s">
        <v>2465</v>
      </c>
      <c r="G863" s="9" t="s">
        <v>2466</v>
      </c>
      <c r="H863" s="12" t="s">
        <v>2467</v>
      </c>
      <c r="I863" s="10">
        <v>45525</v>
      </c>
    </row>
    <row r="864" spans="1:9" x14ac:dyDescent="0.15">
      <c r="A864" s="9">
        <v>863</v>
      </c>
      <c r="B864" s="9" t="s">
        <v>9</v>
      </c>
      <c r="C864" s="9">
        <v>1912</v>
      </c>
      <c r="D864" s="10">
        <v>45616</v>
      </c>
      <c r="E864" s="13" t="str">
        <f>+HYPERLINK("http://trademark.i-assist.jp/data/china/image_1912th/80493046.pdf","80493046")</f>
        <v>80493046</v>
      </c>
      <c r="F864" s="9" t="s">
        <v>2468</v>
      </c>
      <c r="G864" s="9" t="s">
        <v>2469</v>
      </c>
      <c r="H864" s="9" t="s">
        <v>2470</v>
      </c>
      <c r="I864" s="10">
        <v>45525</v>
      </c>
    </row>
    <row r="865" spans="1:9" x14ac:dyDescent="0.15">
      <c r="A865" s="9">
        <v>864</v>
      </c>
      <c r="B865" s="9" t="s">
        <v>9</v>
      </c>
      <c r="C865" s="9">
        <v>1912</v>
      </c>
      <c r="D865" s="10">
        <v>45616</v>
      </c>
      <c r="E865" s="13" t="str">
        <f>+HYPERLINK("http://trademark.i-assist.jp/data/china/image_1912th/80493966.pdf","80493966")</f>
        <v>80493966</v>
      </c>
      <c r="F865" s="9" t="s">
        <v>2471</v>
      </c>
      <c r="G865" s="12" t="s">
        <v>2472</v>
      </c>
      <c r="H865" s="9" t="s">
        <v>2473</v>
      </c>
      <c r="I865" s="10">
        <v>45525</v>
      </c>
    </row>
    <row r="866" spans="1:9" x14ac:dyDescent="0.15">
      <c r="A866" s="9">
        <v>865</v>
      </c>
      <c r="B866" s="9" t="s">
        <v>9</v>
      </c>
      <c r="C866" s="9">
        <v>1912</v>
      </c>
      <c r="D866" s="10">
        <v>45616</v>
      </c>
      <c r="E866" s="13" t="str">
        <f>+HYPERLINK("http://trademark.i-assist.jp/data/china/image_1912th/80494087.pdf","80494087")</f>
        <v>80494087</v>
      </c>
      <c r="F866" s="9" t="s">
        <v>2474</v>
      </c>
      <c r="G866" s="9" t="s">
        <v>2475</v>
      </c>
      <c r="H866" s="9" t="s">
        <v>2476</v>
      </c>
      <c r="I866" s="10">
        <v>45525</v>
      </c>
    </row>
    <row r="867" spans="1:9" x14ac:dyDescent="0.15">
      <c r="A867" s="9">
        <v>866</v>
      </c>
      <c r="B867" s="9" t="s">
        <v>9</v>
      </c>
      <c r="C867" s="9">
        <v>1912</v>
      </c>
      <c r="D867" s="10">
        <v>45616</v>
      </c>
      <c r="E867" s="13" t="str">
        <f>+HYPERLINK("http://trademark.i-assist.jp/data/china/image_1912th/80494160.pdf","80494160")</f>
        <v>80494160</v>
      </c>
      <c r="F867" s="9" t="s">
        <v>2477</v>
      </c>
      <c r="G867" s="9" t="s">
        <v>2478</v>
      </c>
      <c r="H867" s="9" t="s">
        <v>2479</v>
      </c>
      <c r="I867" s="10">
        <v>45525</v>
      </c>
    </row>
    <row r="868" spans="1:9" x14ac:dyDescent="0.15">
      <c r="A868" s="9">
        <v>867</v>
      </c>
      <c r="B868" s="9" t="s">
        <v>9</v>
      </c>
      <c r="C868" s="9">
        <v>1912</v>
      </c>
      <c r="D868" s="10">
        <v>45616</v>
      </c>
      <c r="E868" s="13" t="str">
        <f>+HYPERLINK("http://trademark.i-assist.jp/data/china/image_1912th/80494364.pdf","80494364")</f>
        <v>80494364</v>
      </c>
      <c r="F868" s="9" t="s">
        <v>2480</v>
      </c>
      <c r="G868" s="11" t="s">
        <v>2481</v>
      </c>
      <c r="H868" s="9" t="s">
        <v>2482</v>
      </c>
      <c r="I868" s="10">
        <v>45525</v>
      </c>
    </row>
    <row r="869" spans="1:9" x14ac:dyDescent="0.15">
      <c r="A869" s="9">
        <v>868</v>
      </c>
      <c r="B869" s="9" t="s">
        <v>9</v>
      </c>
      <c r="C869" s="9">
        <v>1912</v>
      </c>
      <c r="D869" s="10">
        <v>45616</v>
      </c>
      <c r="E869" s="13" t="str">
        <f>+HYPERLINK("http://trademark.i-assist.jp/data/china/image_1912th/80494769.pdf","80494769")</f>
        <v>80494769</v>
      </c>
      <c r="F869" s="12" t="s">
        <v>2483</v>
      </c>
      <c r="G869" s="12" t="s">
        <v>2484</v>
      </c>
      <c r="H869" s="12" t="s">
        <v>2485</v>
      </c>
      <c r="I869" s="10">
        <v>45525</v>
      </c>
    </row>
    <row r="870" spans="1:9" x14ac:dyDescent="0.15">
      <c r="A870" s="9">
        <v>869</v>
      </c>
      <c r="B870" s="9" t="s">
        <v>9</v>
      </c>
      <c r="C870" s="9">
        <v>1912</v>
      </c>
      <c r="D870" s="10">
        <v>45616</v>
      </c>
      <c r="E870" s="13" t="str">
        <f>+HYPERLINK("http://trademark.i-assist.jp/data/china/image_1912th/80494778.pdf","80494778")</f>
        <v>80494778</v>
      </c>
      <c r="F870" s="9" t="s">
        <v>2486</v>
      </c>
      <c r="G870" s="12" t="s">
        <v>2392</v>
      </c>
      <c r="H870" s="9" t="s">
        <v>2487</v>
      </c>
      <c r="I870" s="10">
        <v>45525</v>
      </c>
    </row>
    <row r="871" spans="1:9" x14ac:dyDescent="0.15">
      <c r="A871" s="9">
        <v>870</v>
      </c>
      <c r="B871" s="9" t="s">
        <v>9</v>
      </c>
      <c r="C871" s="9">
        <v>1912</v>
      </c>
      <c r="D871" s="10">
        <v>45616</v>
      </c>
      <c r="E871" s="13" t="str">
        <f>+HYPERLINK("http://trademark.i-assist.jp/data/china/image_1912th/80494783.pdf","80494783")</f>
        <v>80494783</v>
      </c>
      <c r="F871" s="9" t="s">
        <v>2488</v>
      </c>
      <c r="G871" s="9" t="s">
        <v>2489</v>
      </c>
      <c r="H871" s="9" t="s">
        <v>2490</v>
      </c>
      <c r="I871" s="10">
        <v>45525</v>
      </c>
    </row>
    <row r="872" spans="1:9" x14ac:dyDescent="0.15">
      <c r="A872" s="9">
        <v>871</v>
      </c>
      <c r="B872" s="9" t="s">
        <v>9</v>
      </c>
      <c r="C872" s="9">
        <v>1912</v>
      </c>
      <c r="D872" s="10">
        <v>45616</v>
      </c>
      <c r="E872" s="13" t="str">
        <f>+HYPERLINK("http://trademark.i-assist.jp/data/china/image_1912th/80495308.pdf","80495308")</f>
        <v>80495308</v>
      </c>
      <c r="F872" s="9" t="s">
        <v>2491</v>
      </c>
      <c r="G872" s="9" t="s">
        <v>2492</v>
      </c>
      <c r="H872" s="9" t="s">
        <v>2493</v>
      </c>
      <c r="I872" s="10">
        <v>45525</v>
      </c>
    </row>
    <row r="873" spans="1:9" x14ac:dyDescent="0.15">
      <c r="A873" s="9">
        <v>872</v>
      </c>
      <c r="B873" s="9" t="s">
        <v>9</v>
      </c>
      <c r="C873" s="9">
        <v>1912</v>
      </c>
      <c r="D873" s="10">
        <v>45616</v>
      </c>
      <c r="E873" s="13" t="str">
        <f>+HYPERLINK("http://trademark.i-assist.jp/data/china/image_1912th/80496651.pdf","80496651")</f>
        <v>80496651</v>
      </c>
      <c r="F873" s="9" t="s">
        <v>2494</v>
      </c>
      <c r="G873" s="9" t="s">
        <v>2429</v>
      </c>
      <c r="H873" s="9" t="s">
        <v>2495</v>
      </c>
      <c r="I873" s="10">
        <v>45525</v>
      </c>
    </row>
    <row r="874" spans="1:9" x14ac:dyDescent="0.15">
      <c r="A874" s="9">
        <v>873</v>
      </c>
      <c r="B874" s="9" t="s">
        <v>9</v>
      </c>
      <c r="C874" s="9">
        <v>1912</v>
      </c>
      <c r="D874" s="10">
        <v>45616</v>
      </c>
      <c r="E874" s="13" t="str">
        <f>+HYPERLINK("http://trademark.i-assist.jp/data/china/image_1912th/80496897.pdf","80496897")</f>
        <v>80496897</v>
      </c>
      <c r="F874" s="9" t="s">
        <v>2496</v>
      </c>
      <c r="G874" s="12" t="s">
        <v>36</v>
      </c>
      <c r="H874" s="9" t="s">
        <v>2497</v>
      </c>
      <c r="I874" s="10">
        <v>45525</v>
      </c>
    </row>
    <row r="875" spans="1:9" x14ac:dyDescent="0.15">
      <c r="A875" s="9">
        <v>874</v>
      </c>
      <c r="B875" s="9" t="s">
        <v>9</v>
      </c>
      <c r="C875" s="9">
        <v>1912</v>
      </c>
      <c r="D875" s="10">
        <v>45616</v>
      </c>
      <c r="E875" s="13" t="str">
        <f>+HYPERLINK("http://trademark.i-assist.jp/data/china/image_1912th/80496931.pdf","80496931")</f>
        <v>80496931</v>
      </c>
      <c r="F875" s="12" t="s">
        <v>2498</v>
      </c>
      <c r="G875" s="9" t="s">
        <v>2499</v>
      </c>
      <c r="H875" s="9" t="s">
        <v>2500</v>
      </c>
      <c r="I875" s="10">
        <v>45525</v>
      </c>
    </row>
    <row r="876" spans="1:9" x14ac:dyDescent="0.15">
      <c r="A876" s="9">
        <v>875</v>
      </c>
      <c r="B876" s="9" t="s">
        <v>9</v>
      </c>
      <c r="C876" s="9">
        <v>1912</v>
      </c>
      <c r="D876" s="10">
        <v>45616</v>
      </c>
      <c r="E876" s="13" t="str">
        <f>+HYPERLINK("http://trademark.i-assist.jp/data/china/image_1912th/80497691.pdf","80497691")</f>
        <v>80497691</v>
      </c>
      <c r="F876" s="9" t="s">
        <v>2501</v>
      </c>
      <c r="G876" s="9" t="s">
        <v>57</v>
      </c>
      <c r="H876" s="9" t="s">
        <v>2502</v>
      </c>
      <c r="I876" s="10">
        <v>45526</v>
      </c>
    </row>
    <row r="877" spans="1:9" x14ac:dyDescent="0.15">
      <c r="A877" s="9">
        <v>876</v>
      </c>
      <c r="B877" s="9" t="s">
        <v>9</v>
      </c>
      <c r="C877" s="9">
        <v>1912</v>
      </c>
      <c r="D877" s="10">
        <v>45616</v>
      </c>
      <c r="E877" s="13" t="str">
        <f>+HYPERLINK("http://trademark.i-assist.jp/data/china/image_1912th/80497825.pdf","80497825")</f>
        <v>80497825</v>
      </c>
      <c r="F877" s="9" t="s">
        <v>2503</v>
      </c>
      <c r="G877" s="9" t="s">
        <v>2504</v>
      </c>
      <c r="H877" s="9" t="s">
        <v>2505</v>
      </c>
      <c r="I877" s="10">
        <v>45526</v>
      </c>
    </row>
    <row r="878" spans="1:9" x14ac:dyDescent="0.15">
      <c r="A878" s="9">
        <v>877</v>
      </c>
      <c r="B878" s="9" t="s">
        <v>9</v>
      </c>
      <c r="C878" s="9">
        <v>1912</v>
      </c>
      <c r="D878" s="10">
        <v>45616</v>
      </c>
      <c r="E878" s="13" t="str">
        <f>+HYPERLINK("http://trademark.i-assist.jp/data/china/image_1912th/80498789.pdf","80498789")</f>
        <v>80498789</v>
      </c>
      <c r="F878" s="9" t="s">
        <v>2506</v>
      </c>
      <c r="G878" s="9" t="s">
        <v>2507</v>
      </c>
      <c r="H878" s="9" t="s">
        <v>2508</v>
      </c>
      <c r="I878" s="10">
        <v>45526</v>
      </c>
    </row>
    <row r="879" spans="1:9" x14ac:dyDescent="0.15">
      <c r="A879" s="9">
        <v>878</v>
      </c>
      <c r="B879" s="9" t="s">
        <v>9</v>
      </c>
      <c r="C879" s="9">
        <v>1912</v>
      </c>
      <c r="D879" s="10">
        <v>45616</v>
      </c>
      <c r="E879" s="13" t="str">
        <f>+HYPERLINK("http://trademark.i-assist.jp/data/china/image_1912th/80499138.pdf","80499138")</f>
        <v>80499138</v>
      </c>
      <c r="F879" s="9" t="s">
        <v>2509</v>
      </c>
      <c r="G879" s="9" t="s">
        <v>51</v>
      </c>
      <c r="H879" s="9" t="s">
        <v>2510</v>
      </c>
      <c r="I879" s="10">
        <v>45526</v>
      </c>
    </row>
    <row r="880" spans="1:9" x14ac:dyDescent="0.15">
      <c r="A880" s="9">
        <v>879</v>
      </c>
      <c r="B880" s="9" t="s">
        <v>9</v>
      </c>
      <c r="C880" s="9">
        <v>1912</v>
      </c>
      <c r="D880" s="10">
        <v>45616</v>
      </c>
      <c r="E880" s="13" t="str">
        <f>+HYPERLINK("http://trademark.i-assist.jp/data/china/image_1912th/80499352.pdf","80499352")</f>
        <v>80499352</v>
      </c>
      <c r="F880" s="9" t="s">
        <v>2511</v>
      </c>
      <c r="G880" s="12" t="s">
        <v>2512</v>
      </c>
      <c r="H880" s="9" t="s">
        <v>2513</v>
      </c>
      <c r="I880" s="10">
        <v>45526</v>
      </c>
    </row>
    <row r="881" spans="1:9" x14ac:dyDescent="0.15">
      <c r="A881" s="9">
        <v>880</v>
      </c>
      <c r="B881" s="9" t="s">
        <v>9</v>
      </c>
      <c r="C881" s="9">
        <v>1912</v>
      </c>
      <c r="D881" s="10">
        <v>45616</v>
      </c>
      <c r="E881" s="13" t="str">
        <f>+HYPERLINK("http://trademark.i-assist.jp/data/china/image_1912th/80499518.pdf","80499518")</f>
        <v>80499518</v>
      </c>
      <c r="F881" s="12" t="s">
        <v>15</v>
      </c>
      <c r="G881" s="12" t="s">
        <v>2514</v>
      </c>
      <c r="H881" s="9" t="s">
        <v>2515</v>
      </c>
      <c r="I881" s="10">
        <v>45526</v>
      </c>
    </row>
    <row r="882" spans="1:9" x14ac:dyDescent="0.15">
      <c r="A882" s="9">
        <v>881</v>
      </c>
      <c r="B882" s="9" t="s">
        <v>9</v>
      </c>
      <c r="C882" s="9">
        <v>1912</v>
      </c>
      <c r="D882" s="10">
        <v>45616</v>
      </c>
      <c r="E882" s="13" t="str">
        <f>+HYPERLINK("http://trademark.i-assist.jp/data/china/image_1912th/80499736.pdf","80499736")</f>
        <v>80499736</v>
      </c>
      <c r="F882" s="9" t="s">
        <v>2516</v>
      </c>
      <c r="G882" s="12" t="s">
        <v>2517</v>
      </c>
      <c r="H882" s="9" t="s">
        <v>2518</v>
      </c>
      <c r="I882" s="10">
        <v>45526</v>
      </c>
    </row>
    <row r="883" spans="1:9" x14ac:dyDescent="0.15">
      <c r="A883" s="9">
        <v>882</v>
      </c>
      <c r="B883" s="9" t="s">
        <v>9</v>
      </c>
      <c r="C883" s="9">
        <v>1912</v>
      </c>
      <c r="D883" s="10">
        <v>45616</v>
      </c>
      <c r="E883" s="13" t="str">
        <f>+HYPERLINK("http://trademark.i-assist.jp/data/china/image_1912th/80499830.pdf","80499830")</f>
        <v>80499830</v>
      </c>
      <c r="F883" s="9" t="s">
        <v>2519</v>
      </c>
      <c r="G883" s="9" t="s">
        <v>2520</v>
      </c>
      <c r="H883" s="9" t="s">
        <v>2521</v>
      </c>
      <c r="I883" s="10">
        <v>45526</v>
      </c>
    </row>
    <row r="884" spans="1:9" x14ac:dyDescent="0.15">
      <c r="A884" s="9">
        <v>883</v>
      </c>
      <c r="B884" s="9" t="s">
        <v>9</v>
      </c>
      <c r="C884" s="9">
        <v>1912</v>
      </c>
      <c r="D884" s="10">
        <v>45616</v>
      </c>
      <c r="E884" s="13" t="str">
        <f>+HYPERLINK("http://trademark.i-assist.jp/data/china/image_1912th/80500114.pdf","80500114")</f>
        <v>80500114</v>
      </c>
      <c r="F884" s="9" t="s">
        <v>2522</v>
      </c>
      <c r="G884" s="9" t="s">
        <v>2523</v>
      </c>
      <c r="H884" s="9" t="s">
        <v>13</v>
      </c>
      <c r="I884" s="10">
        <v>45526</v>
      </c>
    </row>
    <row r="885" spans="1:9" x14ac:dyDescent="0.15">
      <c r="A885" s="9">
        <v>884</v>
      </c>
      <c r="B885" s="9" t="s">
        <v>9</v>
      </c>
      <c r="C885" s="9">
        <v>1912</v>
      </c>
      <c r="D885" s="10">
        <v>45616</v>
      </c>
      <c r="E885" s="13" t="str">
        <f>+HYPERLINK("http://trademark.i-assist.jp/data/china/image_1912th/80500329.pdf","80500329")</f>
        <v>80500329</v>
      </c>
      <c r="F885" s="9" t="s">
        <v>2524</v>
      </c>
      <c r="G885" s="12" t="s">
        <v>67</v>
      </c>
      <c r="H885" s="9" t="s">
        <v>2525</v>
      </c>
      <c r="I885" s="10">
        <v>45526</v>
      </c>
    </row>
    <row r="886" spans="1:9" x14ac:dyDescent="0.15">
      <c r="A886" s="9">
        <v>885</v>
      </c>
      <c r="B886" s="9" t="s">
        <v>9</v>
      </c>
      <c r="C886" s="9">
        <v>1912</v>
      </c>
      <c r="D886" s="10">
        <v>45616</v>
      </c>
      <c r="E886" s="13" t="str">
        <f>+HYPERLINK("http://trademark.i-assist.jp/data/china/image_1912th/80500514.pdf","80500514")</f>
        <v>80500514</v>
      </c>
      <c r="F886" s="12" t="s">
        <v>2526</v>
      </c>
      <c r="G886" s="12" t="s">
        <v>47</v>
      </c>
      <c r="H886" s="9" t="s">
        <v>2527</v>
      </c>
      <c r="I886" s="10">
        <v>45526</v>
      </c>
    </row>
    <row r="887" spans="1:9" x14ac:dyDescent="0.15">
      <c r="A887" s="9">
        <v>886</v>
      </c>
      <c r="B887" s="9" t="s">
        <v>9</v>
      </c>
      <c r="C887" s="9">
        <v>1912</v>
      </c>
      <c r="D887" s="10">
        <v>45616</v>
      </c>
      <c r="E887" s="13" t="str">
        <f>+HYPERLINK("http://trademark.i-assist.jp/data/china/image_1912th/80500652.pdf","80500652")</f>
        <v>80500652</v>
      </c>
      <c r="F887" s="9" t="s">
        <v>2528</v>
      </c>
      <c r="G887" s="12" t="s">
        <v>2529</v>
      </c>
      <c r="H887" s="9" t="s">
        <v>2530</v>
      </c>
      <c r="I887" s="10">
        <v>45526</v>
      </c>
    </row>
    <row r="888" spans="1:9" x14ac:dyDescent="0.15">
      <c r="A888" s="9">
        <v>887</v>
      </c>
      <c r="B888" s="9" t="s">
        <v>9</v>
      </c>
      <c r="C888" s="9">
        <v>1912</v>
      </c>
      <c r="D888" s="10">
        <v>45616</v>
      </c>
      <c r="E888" s="13" t="str">
        <f>+HYPERLINK("http://trademark.i-assist.jp/data/china/image_1912th/80500791.pdf","80500791")</f>
        <v>80500791</v>
      </c>
      <c r="F888" s="9" t="s">
        <v>2531</v>
      </c>
      <c r="G888" s="9" t="s">
        <v>2532</v>
      </c>
      <c r="H888" s="9" t="s">
        <v>2533</v>
      </c>
      <c r="I888" s="10">
        <v>45526</v>
      </c>
    </row>
    <row r="889" spans="1:9" x14ac:dyDescent="0.15">
      <c r="A889" s="9">
        <v>888</v>
      </c>
      <c r="B889" s="9" t="s">
        <v>9</v>
      </c>
      <c r="C889" s="9">
        <v>1912</v>
      </c>
      <c r="D889" s="10">
        <v>45616</v>
      </c>
      <c r="E889" s="13" t="str">
        <f>+HYPERLINK("http://trademark.i-assist.jp/data/china/image_1912th/80500829.pdf","80500829")</f>
        <v>80500829</v>
      </c>
      <c r="F889" s="9" t="s">
        <v>2534</v>
      </c>
      <c r="G889" s="9" t="s">
        <v>2532</v>
      </c>
      <c r="H889" s="9" t="s">
        <v>2535</v>
      </c>
      <c r="I889" s="10">
        <v>45526</v>
      </c>
    </row>
    <row r="890" spans="1:9" x14ac:dyDescent="0.15">
      <c r="A890" s="9">
        <v>889</v>
      </c>
      <c r="B890" s="9" t="s">
        <v>9</v>
      </c>
      <c r="C890" s="9">
        <v>1912</v>
      </c>
      <c r="D890" s="10">
        <v>45616</v>
      </c>
      <c r="E890" s="13" t="str">
        <f>+HYPERLINK("http://trademark.i-assist.jp/data/china/image_1912th/80500832.pdf","80500832")</f>
        <v>80500832</v>
      </c>
      <c r="F890" s="9" t="s">
        <v>2536</v>
      </c>
      <c r="G890" s="9" t="s">
        <v>51</v>
      </c>
      <c r="H890" s="12" t="s">
        <v>2537</v>
      </c>
      <c r="I890" s="10">
        <v>45526</v>
      </c>
    </row>
    <row r="891" spans="1:9" x14ac:dyDescent="0.15">
      <c r="A891" s="9">
        <v>890</v>
      </c>
      <c r="B891" s="9" t="s">
        <v>9</v>
      </c>
      <c r="C891" s="9">
        <v>1912</v>
      </c>
      <c r="D891" s="10">
        <v>45616</v>
      </c>
      <c r="E891" s="13" t="str">
        <f>+HYPERLINK("http://trademark.i-assist.jp/data/china/image_1912th/80501180.pdf","80501180")</f>
        <v>80501180</v>
      </c>
      <c r="F891" s="9" t="s">
        <v>2538</v>
      </c>
      <c r="G891" s="12" t="s">
        <v>2539</v>
      </c>
      <c r="H891" s="9" t="s">
        <v>2540</v>
      </c>
      <c r="I891" s="10">
        <v>45526</v>
      </c>
    </row>
    <row r="892" spans="1:9" x14ac:dyDescent="0.15">
      <c r="A892" s="9">
        <v>891</v>
      </c>
      <c r="B892" s="9" t="s">
        <v>9</v>
      </c>
      <c r="C892" s="9">
        <v>1912</v>
      </c>
      <c r="D892" s="10">
        <v>45616</v>
      </c>
      <c r="E892" s="13" t="str">
        <f>+HYPERLINK("http://trademark.i-assist.jp/data/china/image_1912th/80501331.pdf","80501331")</f>
        <v>80501331</v>
      </c>
      <c r="F892" s="12" t="s">
        <v>2541</v>
      </c>
      <c r="G892" s="9" t="s">
        <v>2542</v>
      </c>
      <c r="H892" s="12" t="s">
        <v>2543</v>
      </c>
      <c r="I892" s="10">
        <v>45526</v>
      </c>
    </row>
    <row r="893" spans="1:9" x14ac:dyDescent="0.15">
      <c r="A893" s="9">
        <v>892</v>
      </c>
      <c r="B893" s="9" t="s">
        <v>9</v>
      </c>
      <c r="C893" s="9">
        <v>1912</v>
      </c>
      <c r="D893" s="10">
        <v>45616</v>
      </c>
      <c r="E893" s="13" t="str">
        <f>+HYPERLINK("http://trademark.i-assist.jp/data/china/image_1912th/80501416.pdf","80501416")</f>
        <v>80501416</v>
      </c>
      <c r="F893" s="12" t="s">
        <v>2544</v>
      </c>
      <c r="G893" s="9" t="s">
        <v>2545</v>
      </c>
      <c r="H893" s="9" t="s">
        <v>2546</v>
      </c>
      <c r="I893" s="10">
        <v>45526</v>
      </c>
    </row>
    <row r="894" spans="1:9" x14ac:dyDescent="0.15">
      <c r="A894" s="9">
        <v>893</v>
      </c>
      <c r="B894" s="9" t="s">
        <v>9</v>
      </c>
      <c r="C894" s="9">
        <v>1912</v>
      </c>
      <c r="D894" s="10">
        <v>45616</v>
      </c>
      <c r="E894" s="13" t="str">
        <f>+HYPERLINK("http://trademark.i-assist.jp/data/china/image_1912th/80501491.pdf","80501491")</f>
        <v>80501491</v>
      </c>
      <c r="F894" s="12" t="s">
        <v>15</v>
      </c>
      <c r="G894" s="9" t="s">
        <v>2547</v>
      </c>
      <c r="H894" s="9" t="s">
        <v>2548</v>
      </c>
      <c r="I894" s="10">
        <v>45526</v>
      </c>
    </row>
    <row r="895" spans="1:9" x14ac:dyDescent="0.15">
      <c r="A895" s="9">
        <v>894</v>
      </c>
      <c r="B895" s="9" t="s">
        <v>9</v>
      </c>
      <c r="C895" s="9">
        <v>1912</v>
      </c>
      <c r="D895" s="10">
        <v>45616</v>
      </c>
      <c r="E895" s="13" t="str">
        <f>+HYPERLINK("http://trademark.i-assist.jp/data/china/image_1912th/80501661.pdf","80501661")</f>
        <v>80501661</v>
      </c>
      <c r="F895" s="9" t="s">
        <v>2549</v>
      </c>
      <c r="G895" s="9" t="s">
        <v>2550</v>
      </c>
      <c r="H895" s="9" t="s">
        <v>2551</v>
      </c>
      <c r="I895" s="10">
        <v>45526</v>
      </c>
    </row>
    <row r="896" spans="1:9" x14ac:dyDescent="0.15">
      <c r="A896" s="9">
        <v>895</v>
      </c>
      <c r="B896" s="9" t="s">
        <v>9</v>
      </c>
      <c r="C896" s="9">
        <v>1912</v>
      </c>
      <c r="D896" s="10">
        <v>45616</v>
      </c>
      <c r="E896" s="13" t="str">
        <f>+HYPERLINK("http://trademark.i-assist.jp/data/china/image_1912th/80501714.pdf","80501714")</f>
        <v>80501714</v>
      </c>
      <c r="F896" s="9" t="s">
        <v>2552</v>
      </c>
      <c r="G896" s="12" t="s">
        <v>2517</v>
      </c>
      <c r="H896" s="9" t="s">
        <v>2553</v>
      </c>
      <c r="I896" s="10">
        <v>45526</v>
      </c>
    </row>
    <row r="897" spans="1:9" x14ac:dyDescent="0.15">
      <c r="A897" s="9">
        <v>896</v>
      </c>
      <c r="B897" s="9" t="s">
        <v>9</v>
      </c>
      <c r="C897" s="9">
        <v>1912</v>
      </c>
      <c r="D897" s="10">
        <v>45616</v>
      </c>
      <c r="E897" s="13" t="str">
        <f>+HYPERLINK("http://trademark.i-assist.jp/data/china/image_1912th/80501894.pdf","80501894")</f>
        <v>80501894</v>
      </c>
      <c r="F897" s="9" t="s">
        <v>2554</v>
      </c>
      <c r="G897" s="9" t="s">
        <v>2555</v>
      </c>
      <c r="H897" s="9" t="s">
        <v>2556</v>
      </c>
      <c r="I897" s="10">
        <v>45526</v>
      </c>
    </row>
    <row r="898" spans="1:9" x14ac:dyDescent="0.15">
      <c r="A898" s="9">
        <v>897</v>
      </c>
      <c r="B898" s="9" t="s">
        <v>9</v>
      </c>
      <c r="C898" s="9">
        <v>1912</v>
      </c>
      <c r="D898" s="10">
        <v>45616</v>
      </c>
      <c r="E898" s="13" t="str">
        <f>+HYPERLINK("http://trademark.i-assist.jp/data/china/image_1912th/80502478.pdf","80502478")</f>
        <v>80502478</v>
      </c>
      <c r="F898" s="9" t="s">
        <v>2557</v>
      </c>
      <c r="G898" s="12" t="s">
        <v>2558</v>
      </c>
      <c r="H898" s="9" t="s">
        <v>2559</v>
      </c>
      <c r="I898" s="10">
        <v>45526</v>
      </c>
    </row>
    <row r="899" spans="1:9" x14ac:dyDescent="0.15">
      <c r="A899" s="9">
        <v>898</v>
      </c>
      <c r="B899" s="9" t="s">
        <v>9</v>
      </c>
      <c r="C899" s="9">
        <v>1912</v>
      </c>
      <c r="D899" s="10">
        <v>45616</v>
      </c>
      <c r="E899" s="13" t="str">
        <f>+HYPERLINK("http://trademark.i-assist.jp/data/china/image_1912th/80503155.pdf","80503155")</f>
        <v>80503155</v>
      </c>
      <c r="F899" s="9" t="s">
        <v>2560</v>
      </c>
      <c r="G899" s="9" t="s">
        <v>2561</v>
      </c>
      <c r="H899" s="9" t="s">
        <v>2562</v>
      </c>
      <c r="I899" s="10">
        <v>45526</v>
      </c>
    </row>
    <row r="900" spans="1:9" x14ac:dyDescent="0.15">
      <c r="A900" s="9">
        <v>899</v>
      </c>
      <c r="B900" s="9" t="s">
        <v>9</v>
      </c>
      <c r="C900" s="9">
        <v>1912</v>
      </c>
      <c r="D900" s="10">
        <v>45616</v>
      </c>
      <c r="E900" s="13" t="str">
        <f>+HYPERLINK("http://trademark.i-assist.jp/data/china/image_1912th/80503443.pdf","80503443")</f>
        <v>80503443</v>
      </c>
      <c r="F900" s="12" t="s">
        <v>2563</v>
      </c>
      <c r="G900" s="12" t="s">
        <v>2564</v>
      </c>
      <c r="H900" s="9" t="s">
        <v>2565</v>
      </c>
      <c r="I900" s="10">
        <v>45526</v>
      </c>
    </row>
    <row r="901" spans="1:9" x14ac:dyDescent="0.15">
      <c r="A901" s="9">
        <v>900</v>
      </c>
      <c r="B901" s="9" t="s">
        <v>9</v>
      </c>
      <c r="C901" s="9">
        <v>1912</v>
      </c>
      <c r="D901" s="10">
        <v>45616</v>
      </c>
      <c r="E901" s="13" t="str">
        <f>+HYPERLINK("http://trademark.i-assist.jp/data/china/image_1912th/80503452.pdf","80503452")</f>
        <v>80503452</v>
      </c>
      <c r="F901" s="9" t="s">
        <v>2566</v>
      </c>
      <c r="G901" s="9" t="s">
        <v>2567</v>
      </c>
      <c r="H901" s="9" t="s">
        <v>2568</v>
      </c>
      <c r="I901" s="10">
        <v>45526</v>
      </c>
    </row>
    <row r="902" spans="1:9" x14ac:dyDescent="0.15">
      <c r="A902" s="9">
        <v>901</v>
      </c>
      <c r="B902" s="9" t="s">
        <v>9</v>
      </c>
      <c r="C902" s="9">
        <v>1912</v>
      </c>
      <c r="D902" s="10">
        <v>45616</v>
      </c>
      <c r="E902" s="13" t="str">
        <f>+HYPERLINK("http://trademark.i-assist.jp/data/china/image_1912th/80503470.pdf","80503470")</f>
        <v>80503470</v>
      </c>
      <c r="F902" s="9" t="s">
        <v>2569</v>
      </c>
      <c r="G902" s="9" t="s">
        <v>2570</v>
      </c>
      <c r="H902" s="9" t="s">
        <v>2571</v>
      </c>
      <c r="I902" s="10">
        <v>45526</v>
      </c>
    </row>
    <row r="903" spans="1:9" x14ac:dyDescent="0.15">
      <c r="A903" s="9">
        <v>902</v>
      </c>
      <c r="B903" s="9" t="s">
        <v>9</v>
      </c>
      <c r="C903" s="9">
        <v>1912</v>
      </c>
      <c r="D903" s="10">
        <v>45616</v>
      </c>
      <c r="E903" s="13" t="str">
        <f>+HYPERLINK("http://trademark.i-assist.jp/data/china/image_1912th/80503706.pdf","80503706")</f>
        <v>80503706</v>
      </c>
      <c r="F903" s="9" t="s">
        <v>2572</v>
      </c>
      <c r="G903" s="9" t="s">
        <v>62</v>
      </c>
      <c r="H903" s="9" t="s">
        <v>2573</v>
      </c>
      <c r="I903" s="10">
        <v>45526</v>
      </c>
    </row>
    <row r="904" spans="1:9" x14ac:dyDescent="0.15">
      <c r="A904" s="9">
        <v>903</v>
      </c>
      <c r="B904" s="9" t="s">
        <v>9</v>
      </c>
      <c r="C904" s="9">
        <v>1912</v>
      </c>
      <c r="D904" s="10">
        <v>45616</v>
      </c>
      <c r="E904" s="13" t="str">
        <f>+HYPERLINK("http://trademark.i-assist.jp/data/china/image_1912th/80504051.pdf","80504051")</f>
        <v>80504051</v>
      </c>
      <c r="F904" s="9" t="s">
        <v>2574</v>
      </c>
      <c r="G904" s="9" t="s">
        <v>2575</v>
      </c>
      <c r="H904" s="9" t="s">
        <v>2576</v>
      </c>
      <c r="I904" s="10">
        <v>45526</v>
      </c>
    </row>
    <row r="905" spans="1:9" x14ac:dyDescent="0.15">
      <c r="A905" s="9">
        <v>904</v>
      </c>
      <c r="B905" s="9" t="s">
        <v>9</v>
      </c>
      <c r="C905" s="9">
        <v>1912</v>
      </c>
      <c r="D905" s="10">
        <v>45616</v>
      </c>
      <c r="E905" s="13" t="str">
        <f>+HYPERLINK("http://trademark.i-assist.jp/data/china/image_1912th/80504602.pdf","80504602")</f>
        <v>80504602</v>
      </c>
      <c r="F905" s="9" t="s">
        <v>2577</v>
      </c>
      <c r="G905" s="9" t="s">
        <v>2520</v>
      </c>
      <c r="H905" s="9" t="s">
        <v>2578</v>
      </c>
      <c r="I905" s="10">
        <v>45526</v>
      </c>
    </row>
    <row r="906" spans="1:9" x14ac:dyDescent="0.15">
      <c r="A906" s="9">
        <v>905</v>
      </c>
      <c r="B906" s="9" t="s">
        <v>9</v>
      </c>
      <c r="C906" s="9">
        <v>1912</v>
      </c>
      <c r="D906" s="10">
        <v>45616</v>
      </c>
      <c r="E906" s="13" t="str">
        <f>+HYPERLINK("http://trademark.i-assist.jp/data/china/image_1912th/80505350.pdf","80505350")</f>
        <v>80505350</v>
      </c>
      <c r="F906" s="9" t="s">
        <v>2579</v>
      </c>
      <c r="G906" s="12" t="s">
        <v>84</v>
      </c>
      <c r="H906" s="9" t="s">
        <v>2580</v>
      </c>
      <c r="I906" s="10">
        <v>45526</v>
      </c>
    </row>
    <row r="907" spans="1:9" x14ac:dyDescent="0.15">
      <c r="A907" s="9">
        <v>906</v>
      </c>
      <c r="B907" s="9" t="s">
        <v>9</v>
      </c>
      <c r="C907" s="9">
        <v>1912</v>
      </c>
      <c r="D907" s="10">
        <v>45616</v>
      </c>
      <c r="E907" s="13" t="str">
        <f>+HYPERLINK("http://trademark.i-assist.jp/data/china/image_1912th/80505418.pdf","80505418")</f>
        <v>80505418</v>
      </c>
      <c r="F907" s="9" t="s">
        <v>2581</v>
      </c>
      <c r="G907" s="9" t="s">
        <v>62</v>
      </c>
      <c r="H907" s="9" t="s">
        <v>2582</v>
      </c>
      <c r="I907" s="10">
        <v>45526</v>
      </c>
    </row>
    <row r="908" spans="1:9" x14ac:dyDescent="0.15">
      <c r="A908" s="9">
        <v>907</v>
      </c>
      <c r="B908" s="9" t="s">
        <v>9</v>
      </c>
      <c r="C908" s="9">
        <v>1912</v>
      </c>
      <c r="D908" s="10">
        <v>45616</v>
      </c>
      <c r="E908" s="13" t="str">
        <f>+HYPERLINK("http://trademark.i-assist.jp/data/china/image_1912th/80505428.pdf","80505428")</f>
        <v>80505428</v>
      </c>
      <c r="F908" s="9" t="s">
        <v>2583</v>
      </c>
      <c r="G908" s="12" t="s">
        <v>2584</v>
      </c>
      <c r="H908" s="9" t="s">
        <v>2585</v>
      </c>
      <c r="I908" s="10">
        <v>45526</v>
      </c>
    </row>
    <row r="909" spans="1:9" x14ac:dyDescent="0.15">
      <c r="A909" s="9">
        <v>908</v>
      </c>
      <c r="B909" s="9" t="s">
        <v>9</v>
      </c>
      <c r="C909" s="9">
        <v>1912</v>
      </c>
      <c r="D909" s="10">
        <v>45616</v>
      </c>
      <c r="E909" s="13" t="str">
        <f>+HYPERLINK("http://trademark.i-assist.jp/data/china/image_1912th/80505596.pdf","80505596")</f>
        <v>80505596</v>
      </c>
      <c r="F909" s="9" t="s">
        <v>2586</v>
      </c>
      <c r="G909" s="9" t="s">
        <v>2587</v>
      </c>
      <c r="H909" s="9" t="s">
        <v>2588</v>
      </c>
      <c r="I909" s="10">
        <v>45526</v>
      </c>
    </row>
    <row r="910" spans="1:9" x14ac:dyDescent="0.15">
      <c r="A910" s="9">
        <v>909</v>
      </c>
      <c r="B910" s="9" t="s">
        <v>9</v>
      </c>
      <c r="C910" s="9">
        <v>1912</v>
      </c>
      <c r="D910" s="10">
        <v>45616</v>
      </c>
      <c r="E910" s="13" t="str">
        <f>+HYPERLINK("http://trademark.i-assist.jp/data/china/image_1912th/80505645.pdf","80505645")</f>
        <v>80505645</v>
      </c>
      <c r="F910" s="9" t="s">
        <v>2589</v>
      </c>
      <c r="G910" s="9" t="s">
        <v>2590</v>
      </c>
      <c r="H910" s="9" t="s">
        <v>2591</v>
      </c>
      <c r="I910" s="10">
        <v>45526</v>
      </c>
    </row>
    <row r="911" spans="1:9" x14ac:dyDescent="0.15">
      <c r="A911" s="9">
        <v>910</v>
      </c>
      <c r="B911" s="9" t="s">
        <v>9</v>
      </c>
      <c r="C911" s="9">
        <v>1912</v>
      </c>
      <c r="D911" s="10">
        <v>45616</v>
      </c>
      <c r="E911" s="13" t="str">
        <f>+HYPERLINK("http://trademark.i-assist.jp/data/china/image_1912th/80505689.pdf","80505689")</f>
        <v>80505689</v>
      </c>
      <c r="F911" s="9" t="s">
        <v>2592</v>
      </c>
      <c r="G911" s="9" t="s">
        <v>2570</v>
      </c>
      <c r="H911" s="9" t="s">
        <v>2593</v>
      </c>
      <c r="I911" s="10">
        <v>45526</v>
      </c>
    </row>
    <row r="912" spans="1:9" x14ac:dyDescent="0.15">
      <c r="A912" s="9">
        <v>911</v>
      </c>
      <c r="B912" s="9" t="s">
        <v>9</v>
      </c>
      <c r="C912" s="9">
        <v>1912</v>
      </c>
      <c r="D912" s="10">
        <v>45616</v>
      </c>
      <c r="E912" s="13" t="str">
        <f>+HYPERLINK("http://trademark.i-assist.jp/data/china/image_1912th/80506063.pdf","80506063")</f>
        <v>80506063</v>
      </c>
      <c r="F912" s="12" t="s">
        <v>2594</v>
      </c>
      <c r="G912" s="9" t="s">
        <v>2542</v>
      </c>
      <c r="H912" s="12" t="s">
        <v>2595</v>
      </c>
      <c r="I912" s="10">
        <v>45526</v>
      </c>
    </row>
    <row r="913" spans="1:9" x14ac:dyDescent="0.15">
      <c r="A913" s="9">
        <v>912</v>
      </c>
      <c r="B913" s="9" t="s">
        <v>9</v>
      </c>
      <c r="C913" s="9">
        <v>1912</v>
      </c>
      <c r="D913" s="10">
        <v>45616</v>
      </c>
      <c r="E913" s="13" t="str">
        <f>+HYPERLINK("http://trademark.i-assist.jp/data/china/image_1912th/80506351.pdf","80506351")</f>
        <v>80506351</v>
      </c>
      <c r="F913" s="12" t="s">
        <v>2596</v>
      </c>
      <c r="G913" s="12" t="s">
        <v>2597</v>
      </c>
      <c r="H913" s="9" t="s">
        <v>2598</v>
      </c>
      <c r="I913" s="10">
        <v>45526</v>
      </c>
    </row>
    <row r="914" spans="1:9" x14ac:dyDescent="0.15">
      <c r="A914" s="9">
        <v>913</v>
      </c>
      <c r="B914" s="9" t="s">
        <v>9</v>
      </c>
      <c r="C914" s="9">
        <v>1912</v>
      </c>
      <c r="D914" s="10">
        <v>45616</v>
      </c>
      <c r="E914" s="13" t="str">
        <f>+HYPERLINK("http://trademark.i-assist.jp/data/china/image_1912th/80506479.pdf","80506479")</f>
        <v>80506479</v>
      </c>
      <c r="F914" s="9" t="s">
        <v>2599</v>
      </c>
      <c r="G914" s="9" t="s">
        <v>2600</v>
      </c>
      <c r="H914" s="9" t="s">
        <v>2601</v>
      </c>
      <c r="I914" s="10">
        <v>45526</v>
      </c>
    </row>
    <row r="915" spans="1:9" x14ac:dyDescent="0.15">
      <c r="A915" s="9">
        <v>914</v>
      </c>
      <c r="B915" s="9" t="s">
        <v>9</v>
      </c>
      <c r="C915" s="9">
        <v>1912</v>
      </c>
      <c r="D915" s="10">
        <v>45616</v>
      </c>
      <c r="E915" s="13" t="str">
        <f>+HYPERLINK("http://trademark.i-assist.jp/data/china/image_1912th/80506874.pdf","80506874")</f>
        <v>80506874</v>
      </c>
      <c r="F915" s="12" t="s">
        <v>15</v>
      </c>
      <c r="G915" s="9" t="s">
        <v>2602</v>
      </c>
      <c r="H915" s="9" t="s">
        <v>2603</v>
      </c>
      <c r="I915" s="10">
        <v>45526</v>
      </c>
    </row>
    <row r="916" spans="1:9" x14ac:dyDescent="0.15">
      <c r="A916" s="9">
        <v>915</v>
      </c>
      <c r="B916" s="9" t="s">
        <v>9</v>
      </c>
      <c r="C916" s="9">
        <v>1912</v>
      </c>
      <c r="D916" s="10">
        <v>45616</v>
      </c>
      <c r="E916" s="13" t="str">
        <f>+HYPERLINK("http://trademark.i-assist.jp/data/china/image_1912th/80507571.pdf","80507571")</f>
        <v>80507571</v>
      </c>
      <c r="F916" s="9" t="s">
        <v>2604</v>
      </c>
      <c r="G916" s="9" t="s">
        <v>2605</v>
      </c>
      <c r="H916" s="9" t="s">
        <v>2606</v>
      </c>
      <c r="I916" s="10">
        <v>45526</v>
      </c>
    </row>
    <row r="917" spans="1:9" x14ac:dyDescent="0.15">
      <c r="A917" s="9">
        <v>916</v>
      </c>
      <c r="B917" s="9" t="s">
        <v>9</v>
      </c>
      <c r="C917" s="9">
        <v>1912</v>
      </c>
      <c r="D917" s="10">
        <v>45616</v>
      </c>
      <c r="E917" s="13" t="str">
        <f>+HYPERLINK("http://trademark.i-assist.jp/data/china/image_1912th/80507796.pdf","80507796")</f>
        <v>80507796</v>
      </c>
      <c r="F917" s="9" t="s">
        <v>2607</v>
      </c>
      <c r="G917" s="9" t="s">
        <v>57</v>
      </c>
      <c r="H917" s="9" t="s">
        <v>2608</v>
      </c>
      <c r="I917" s="10">
        <v>45526</v>
      </c>
    </row>
    <row r="918" spans="1:9" x14ac:dyDescent="0.15">
      <c r="A918" s="9">
        <v>917</v>
      </c>
      <c r="B918" s="9" t="s">
        <v>9</v>
      </c>
      <c r="C918" s="9">
        <v>1912</v>
      </c>
      <c r="D918" s="10">
        <v>45616</v>
      </c>
      <c r="E918" s="13" t="str">
        <f>+HYPERLINK("http://trademark.i-assist.jp/data/china/image_1912th/80508159.pdf","80508159")</f>
        <v>80508159</v>
      </c>
      <c r="F918" s="9" t="s">
        <v>2609</v>
      </c>
      <c r="G918" s="9" t="s">
        <v>2610</v>
      </c>
      <c r="H918" s="9" t="s">
        <v>2611</v>
      </c>
      <c r="I918" s="10">
        <v>45526</v>
      </c>
    </row>
    <row r="919" spans="1:9" x14ac:dyDescent="0.15">
      <c r="A919" s="9">
        <v>918</v>
      </c>
      <c r="B919" s="9" t="s">
        <v>9</v>
      </c>
      <c r="C919" s="9">
        <v>1912</v>
      </c>
      <c r="D919" s="10">
        <v>45616</v>
      </c>
      <c r="E919" s="13" t="str">
        <f>+HYPERLINK("http://trademark.i-assist.jp/data/china/image_1912th/80508457.pdf","80508457")</f>
        <v>80508457</v>
      </c>
      <c r="F919" s="12" t="s">
        <v>2612</v>
      </c>
      <c r="G919" s="9" t="s">
        <v>2613</v>
      </c>
      <c r="H919" s="9" t="s">
        <v>2614</v>
      </c>
      <c r="I919" s="10">
        <v>45526</v>
      </c>
    </row>
    <row r="920" spans="1:9" x14ac:dyDescent="0.15">
      <c r="A920" s="9">
        <v>919</v>
      </c>
      <c r="B920" s="9" t="s">
        <v>9</v>
      </c>
      <c r="C920" s="9">
        <v>1912</v>
      </c>
      <c r="D920" s="10">
        <v>45616</v>
      </c>
      <c r="E920" s="13" t="str">
        <f>+HYPERLINK("http://trademark.i-assist.jp/data/china/image_1912th/80508741.pdf","80508741")</f>
        <v>80508741</v>
      </c>
      <c r="F920" s="9" t="s">
        <v>2615</v>
      </c>
      <c r="G920" s="12" t="s">
        <v>2199</v>
      </c>
      <c r="H920" s="9" t="s">
        <v>2616</v>
      </c>
      <c r="I920" s="10">
        <v>45526</v>
      </c>
    </row>
    <row r="921" spans="1:9" x14ac:dyDescent="0.15">
      <c r="A921" s="9">
        <v>920</v>
      </c>
      <c r="B921" s="9" t="s">
        <v>9</v>
      </c>
      <c r="C921" s="9">
        <v>1912</v>
      </c>
      <c r="D921" s="10">
        <v>45616</v>
      </c>
      <c r="E921" s="13" t="str">
        <f>+HYPERLINK("http://trademark.i-assist.jp/data/china/image_1912th/80508907.pdf","80508907")</f>
        <v>80508907</v>
      </c>
      <c r="F921" s="9" t="s">
        <v>2617</v>
      </c>
      <c r="G921" s="9" t="s">
        <v>2618</v>
      </c>
      <c r="H921" s="12" t="s">
        <v>2619</v>
      </c>
      <c r="I921" s="10">
        <v>45526</v>
      </c>
    </row>
    <row r="922" spans="1:9" x14ac:dyDescent="0.15">
      <c r="A922" s="9">
        <v>921</v>
      </c>
      <c r="B922" s="9" t="s">
        <v>9</v>
      </c>
      <c r="C922" s="9">
        <v>1912</v>
      </c>
      <c r="D922" s="10">
        <v>45616</v>
      </c>
      <c r="E922" s="13" t="str">
        <f>+HYPERLINK("http://trademark.i-assist.jp/data/china/image_1912th/80508966.pdf","80508966")</f>
        <v>80508966</v>
      </c>
      <c r="F922" s="9" t="s">
        <v>2620</v>
      </c>
      <c r="G922" s="9" t="s">
        <v>2621</v>
      </c>
      <c r="H922" s="9" t="s">
        <v>2622</v>
      </c>
      <c r="I922" s="10">
        <v>45526</v>
      </c>
    </row>
    <row r="923" spans="1:9" x14ac:dyDescent="0.15">
      <c r="A923" s="9">
        <v>922</v>
      </c>
      <c r="B923" s="9" t="s">
        <v>9</v>
      </c>
      <c r="C923" s="9">
        <v>1912</v>
      </c>
      <c r="D923" s="10">
        <v>45616</v>
      </c>
      <c r="E923" s="13" t="str">
        <f>+HYPERLINK("http://trademark.i-assist.jp/data/china/image_1912th/80509113.pdf","80509113")</f>
        <v>80509113</v>
      </c>
      <c r="F923" s="12" t="s">
        <v>2623</v>
      </c>
      <c r="G923" s="9" t="s">
        <v>2624</v>
      </c>
      <c r="H923" s="9" t="s">
        <v>2625</v>
      </c>
      <c r="I923" s="10">
        <v>45526</v>
      </c>
    </row>
    <row r="924" spans="1:9" x14ac:dyDescent="0.15">
      <c r="A924" s="9">
        <v>923</v>
      </c>
      <c r="B924" s="9" t="s">
        <v>9</v>
      </c>
      <c r="C924" s="9">
        <v>1912</v>
      </c>
      <c r="D924" s="10">
        <v>45616</v>
      </c>
      <c r="E924" s="13" t="str">
        <f>+HYPERLINK("http://trademark.i-assist.jp/data/china/image_1912th/80509219.pdf","80509219")</f>
        <v>80509219</v>
      </c>
      <c r="F924" s="9" t="s">
        <v>2626</v>
      </c>
      <c r="G924" s="9" t="s">
        <v>2627</v>
      </c>
      <c r="H924" s="9" t="s">
        <v>2628</v>
      </c>
      <c r="I924" s="10">
        <v>45526</v>
      </c>
    </row>
    <row r="925" spans="1:9" x14ac:dyDescent="0.15">
      <c r="A925" s="9">
        <v>924</v>
      </c>
      <c r="B925" s="9" t="s">
        <v>9</v>
      </c>
      <c r="C925" s="9">
        <v>1912</v>
      </c>
      <c r="D925" s="10">
        <v>45616</v>
      </c>
      <c r="E925" s="13" t="str">
        <f>+HYPERLINK("http://trademark.i-assist.jp/data/china/image_1912th/80509325.pdf","80509325")</f>
        <v>80509325</v>
      </c>
      <c r="F925" s="9" t="s">
        <v>2629</v>
      </c>
      <c r="G925" s="12" t="s">
        <v>67</v>
      </c>
      <c r="H925" s="9" t="s">
        <v>2630</v>
      </c>
      <c r="I925" s="10">
        <v>45526</v>
      </c>
    </row>
    <row r="926" spans="1:9" x14ac:dyDescent="0.15">
      <c r="A926" s="9">
        <v>925</v>
      </c>
      <c r="B926" s="9" t="s">
        <v>9</v>
      </c>
      <c r="C926" s="9">
        <v>1912</v>
      </c>
      <c r="D926" s="10">
        <v>45616</v>
      </c>
      <c r="E926" s="13" t="str">
        <f>+HYPERLINK("http://trademark.i-assist.jp/data/china/image_1912th/80509387.pdf","80509387")</f>
        <v>80509387</v>
      </c>
      <c r="F926" s="12" t="s">
        <v>2631</v>
      </c>
      <c r="G926" s="9" t="s">
        <v>2632</v>
      </c>
      <c r="H926" s="9" t="s">
        <v>2633</v>
      </c>
      <c r="I926" s="10">
        <v>45526</v>
      </c>
    </row>
    <row r="927" spans="1:9" x14ac:dyDescent="0.15">
      <c r="A927" s="9">
        <v>926</v>
      </c>
      <c r="B927" s="9" t="s">
        <v>9</v>
      </c>
      <c r="C927" s="9">
        <v>1912</v>
      </c>
      <c r="D927" s="10">
        <v>45616</v>
      </c>
      <c r="E927" s="13" t="str">
        <f>+HYPERLINK("http://trademark.i-assist.jp/data/china/image_1912th/80509398.pdf","80509398")</f>
        <v>80509398</v>
      </c>
      <c r="F927" s="9" t="s">
        <v>2534</v>
      </c>
      <c r="G927" s="9" t="s">
        <v>2532</v>
      </c>
      <c r="H927" s="9" t="s">
        <v>2634</v>
      </c>
      <c r="I927" s="10">
        <v>45526</v>
      </c>
    </row>
    <row r="928" spans="1:9" x14ac:dyDescent="0.15">
      <c r="A928" s="9">
        <v>927</v>
      </c>
      <c r="B928" s="9" t="s">
        <v>9</v>
      </c>
      <c r="C928" s="9">
        <v>1912</v>
      </c>
      <c r="D928" s="10">
        <v>45616</v>
      </c>
      <c r="E928" s="13" t="str">
        <f>+HYPERLINK("http://trademark.i-assist.jp/data/china/image_1912th/80509407.pdf","80509407")</f>
        <v>80509407</v>
      </c>
      <c r="F928" s="9" t="s">
        <v>2635</v>
      </c>
      <c r="G928" s="9" t="s">
        <v>2532</v>
      </c>
      <c r="H928" s="9" t="s">
        <v>2636</v>
      </c>
      <c r="I928" s="10">
        <v>45526</v>
      </c>
    </row>
    <row r="929" spans="1:9" x14ac:dyDescent="0.15">
      <c r="A929" s="9">
        <v>928</v>
      </c>
      <c r="B929" s="9" t="s">
        <v>9</v>
      </c>
      <c r="C929" s="9">
        <v>1912</v>
      </c>
      <c r="D929" s="10">
        <v>45616</v>
      </c>
      <c r="E929" s="13" t="str">
        <f>+HYPERLINK("http://trademark.i-assist.jp/data/china/image_1912th/80509973.pdf","80509973")</f>
        <v>80509973</v>
      </c>
      <c r="F929" s="12" t="s">
        <v>2637</v>
      </c>
      <c r="G929" s="9" t="s">
        <v>2632</v>
      </c>
      <c r="H929" s="9" t="s">
        <v>2638</v>
      </c>
      <c r="I929" s="10">
        <v>45526</v>
      </c>
    </row>
    <row r="930" spans="1:9" x14ac:dyDescent="0.15">
      <c r="A930" s="9">
        <v>929</v>
      </c>
      <c r="B930" s="9" t="s">
        <v>9</v>
      </c>
      <c r="C930" s="9">
        <v>1912</v>
      </c>
      <c r="D930" s="10">
        <v>45616</v>
      </c>
      <c r="E930" s="13" t="str">
        <f>+HYPERLINK("http://trademark.i-assist.jp/data/china/image_1912th/80510018.pdf","80510018")</f>
        <v>80510018</v>
      </c>
      <c r="F930" s="9" t="s">
        <v>2639</v>
      </c>
      <c r="G930" s="9" t="s">
        <v>2640</v>
      </c>
      <c r="H930" s="9" t="s">
        <v>2641</v>
      </c>
      <c r="I930" s="10">
        <v>45526</v>
      </c>
    </row>
    <row r="931" spans="1:9" x14ac:dyDescent="0.15">
      <c r="A931" s="9">
        <v>930</v>
      </c>
      <c r="B931" s="9" t="s">
        <v>9</v>
      </c>
      <c r="C931" s="9">
        <v>1912</v>
      </c>
      <c r="D931" s="10">
        <v>45616</v>
      </c>
      <c r="E931" s="13" t="str">
        <f>+HYPERLINK("http://trademark.i-assist.jp/data/china/image_1912th/80510220.pdf","80510220")</f>
        <v>80510220</v>
      </c>
      <c r="F931" s="12" t="s">
        <v>2642</v>
      </c>
      <c r="G931" s="9" t="s">
        <v>2643</v>
      </c>
      <c r="H931" s="9" t="s">
        <v>2644</v>
      </c>
      <c r="I931" s="10">
        <v>45526</v>
      </c>
    </row>
    <row r="932" spans="1:9" x14ac:dyDescent="0.15">
      <c r="A932" s="9">
        <v>931</v>
      </c>
      <c r="B932" s="9" t="s">
        <v>9</v>
      </c>
      <c r="C932" s="9">
        <v>1912</v>
      </c>
      <c r="D932" s="10">
        <v>45616</v>
      </c>
      <c r="E932" s="13" t="str">
        <f>+HYPERLINK("http://trademark.i-assist.jp/data/china/image_1912th/80510637.pdf","80510637")</f>
        <v>80510637</v>
      </c>
      <c r="F932" s="9" t="s">
        <v>2645</v>
      </c>
      <c r="G932" s="9" t="s">
        <v>51</v>
      </c>
      <c r="H932" s="9" t="s">
        <v>2646</v>
      </c>
      <c r="I932" s="10">
        <v>45526</v>
      </c>
    </row>
    <row r="933" spans="1:9" x14ac:dyDescent="0.15">
      <c r="A933" s="9">
        <v>932</v>
      </c>
      <c r="B933" s="9" t="s">
        <v>9</v>
      </c>
      <c r="C933" s="9">
        <v>1912</v>
      </c>
      <c r="D933" s="10">
        <v>45616</v>
      </c>
      <c r="E933" s="13" t="str">
        <f>+HYPERLINK("http://trademark.i-assist.jp/data/china/image_1912th/80511354.pdf","80511354")</f>
        <v>80511354</v>
      </c>
      <c r="F933" s="9" t="s">
        <v>2647</v>
      </c>
      <c r="G933" s="9" t="s">
        <v>2648</v>
      </c>
      <c r="H933" s="9" t="s">
        <v>2649</v>
      </c>
      <c r="I933" s="10">
        <v>45526</v>
      </c>
    </row>
    <row r="934" spans="1:9" x14ac:dyDescent="0.15">
      <c r="A934" s="9">
        <v>933</v>
      </c>
      <c r="B934" s="9" t="s">
        <v>9</v>
      </c>
      <c r="C934" s="9">
        <v>1912</v>
      </c>
      <c r="D934" s="10">
        <v>45616</v>
      </c>
      <c r="E934" s="13" t="str">
        <f>+HYPERLINK("http://trademark.i-assist.jp/data/china/image_1912th/80511917.pdf","80511917")</f>
        <v>80511917</v>
      </c>
      <c r="F934" s="9" t="s">
        <v>2650</v>
      </c>
      <c r="G934" s="9" t="s">
        <v>2651</v>
      </c>
      <c r="H934" s="9" t="s">
        <v>2652</v>
      </c>
      <c r="I934" s="10">
        <v>45526</v>
      </c>
    </row>
    <row r="935" spans="1:9" x14ac:dyDescent="0.15">
      <c r="A935" s="9">
        <v>934</v>
      </c>
      <c r="B935" s="9" t="s">
        <v>9</v>
      </c>
      <c r="C935" s="9">
        <v>1912</v>
      </c>
      <c r="D935" s="10">
        <v>45616</v>
      </c>
      <c r="E935" s="13" t="str">
        <f>+HYPERLINK("http://trademark.i-assist.jp/data/china/image_1912th/80512117.pdf","80512117")</f>
        <v>80512117</v>
      </c>
      <c r="F935" s="9" t="s">
        <v>2653</v>
      </c>
      <c r="G935" s="9" t="s">
        <v>2654</v>
      </c>
      <c r="H935" s="9" t="s">
        <v>2655</v>
      </c>
      <c r="I935" s="10">
        <v>45526</v>
      </c>
    </row>
    <row r="936" spans="1:9" x14ac:dyDescent="0.15">
      <c r="A936" s="9">
        <v>935</v>
      </c>
      <c r="B936" s="9" t="s">
        <v>9</v>
      </c>
      <c r="C936" s="9">
        <v>1912</v>
      </c>
      <c r="D936" s="10">
        <v>45616</v>
      </c>
      <c r="E936" s="13" t="str">
        <f>+HYPERLINK("http://trademark.i-assist.jp/data/china/image_1912th/80512261.pdf","80512261")</f>
        <v>80512261</v>
      </c>
      <c r="F936" s="9" t="s">
        <v>2656</v>
      </c>
      <c r="G936" s="9" t="s">
        <v>2657</v>
      </c>
      <c r="H936" s="9" t="s">
        <v>2658</v>
      </c>
      <c r="I936" s="10">
        <v>45526</v>
      </c>
    </row>
    <row r="937" spans="1:9" x14ac:dyDescent="0.15">
      <c r="A937" s="9">
        <v>936</v>
      </c>
      <c r="B937" s="9" t="s">
        <v>9</v>
      </c>
      <c r="C937" s="9">
        <v>1912</v>
      </c>
      <c r="D937" s="10">
        <v>45616</v>
      </c>
      <c r="E937" s="13" t="str">
        <f>+HYPERLINK("http://trademark.i-assist.jp/data/china/image_1912th/80512582.pdf","80512582")</f>
        <v>80512582</v>
      </c>
      <c r="F937" s="9" t="s">
        <v>2659</v>
      </c>
      <c r="G937" s="12" t="s">
        <v>2660</v>
      </c>
      <c r="H937" s="9" t="s">
        <v>2661</v>
      </c>
      <c r="I937" s="10">
        <v>45526</v>
      </c>
    </row>
    <row r="938" spans="1:9" x14ac:dyDescent="0.15">
      <c r="A938" s="9">
        <v>937</v>
      </c>
      <c r="B938" s="9" t="s">
        <v>9</v>
      </c>
      <c r="C938" s="9">
        <v>1912</v>
      </c>
      <c r="D938" s="10">
        <v>45616</v>
      </c>
      <c r="E938" s="13" t="str">
        <f>+HYPERLINK("http://trademark.i-assist.jp/data/china/image_1912th/80512659.pdf","80512659")</f>
        <v>80512659</v>
      </c>
      <c r="F938" s="9" t="s">
        <v>2662</v>
      </c>
      <c r="G938" s="12" t="s">
        <v>2663</v>
      </c>
      <c r="H938" s="9" t="s">
        <v>2664</v>
      </c>
      <c r="I938" s="10">
        <v>45526</v>
      </c>
    </row>
    <row r="939" spans="1:9" x14ac:dyDescent="0.15">
      <c r="A939" s="9">
        <v>938</v>
      </c>
      <c r="B939" s="9" t="s">
        <v>9</v>
      </c>
      <c r="C939" s="9">
        <v>1912</v>
      </c>
      <c r="D939" s="10">
        <v>45616</v>
      </c>
      <c r="E939" s="13" t="str">
        <f>+HYPERLINK("http://trademark.i-assist.jp/data/china/image_1912th/80512765.pdf","80512765")</f>
        <v>80512765</v>
      </c>
      <c r="F939" s="9" t="s">
        <v>2665</v>
      </c>
      <c r="G939" s="9" t="s">
        <v>2666</v>
      </c>
      <c r="H939" s="9" t="s">
        <v>2667</v>
      </c>
      <c r="I939" s="10">
        <v>45526</v>
      </c>
    </row>
    <row r="940" spans="1:9" x14ac:dyDescent="0.15">
      <c r="A940" s="9">
        <v>939</v>
      </c>
      <c r="B940" s="9" t="s">
        <v>9</v>
      </c>
      <c r="C940" s="9">
        <v>1912</v>
      </c>
      <c r="D940" s="10">
        <v>45616</v>
      </c>
      <c r="E940" s="13" t="str">
        <f>+HYPERLINK("http://trademark.i-assist.jp/data/china/image_1912th/80512833.pdf","80512833")</f>
        <v>80512833</v>
      </c>
      <c r="F940" s="9" t="s">
        <v>2668</v>
      </c>
      <c r="G940" s="9" t="s">
        <v>51</v>
      </c>
      <c r="H940" s="9" t="s">
        <v>2669</v>
      </c>
      <c r="I940" s="10">
        <v>45526</v>
      </c>
    </row>
    <row r="941" spans="1:9" x14ac:dyDescent="0.15">
      <c r="A941" s="9">
        <v>940</v>
      </c>
      <c r="B941" s="9" t="s">
        <v>9</v>
      </c>
      <c r="C941" s="9">
        <v>1912</v>
      </c>
      <c r="D941" s="10">
        <v>45616</v>
      </c>
      <c r="E941" s="13" t="str">
        <f>+HYPERLINK("http://trademark.i-assist.jp/data/china/image_1912th/80512885.pdf","80512885")</f>
        <v>80512885</v>
      </c>
      <c r="F941" s="9" t="s">
        <v>2670</v>
      </c>
      <c r="G941" s="9" t="s">
        <v>2671</v>
      </c>
      <c r="H941" s="9" t="s">
        <v>2672</v>
      </c>
      <c r="I941" s="10">
        <v>45526</v>
      </c>
    </row>
    <row r="942" spans="1:9" x14ac:dyDescent="0.15">
      <c r="A942" s="9">
        <v>941</v>
      </c>
      <c r="B942" s="9" t="s">
        <v>9</v>
      </c>
      <c r="C942" s="9">
        <v>1912</v>
      </c>
      <c r="D942" s="10">
        <v>45616</v>
      </c>
      <c r="E942" s="13" t="str">
        <f>+HYPERLINK("http://trademark.i-assist.jp/data/china/image_1912th/80513223.pdf","80513223")</f>
        <v>80513223</v>
      </c>
      <c r="F942" s="12" t="s">
        <v>2673</v>
      </c>
      <c r="G942" s="12" t="s">
        <v>2517</v>
      </c>
      <c r="H942" s="9" t="s">
        <v>2674</v>
      </c>
      <c r="I942" s="10">
        <v>45526</v>
      </c>
    </row>
    <row r="943" spans="1:9" x14ac:dyDescent="0.15">
      <c r="A943" s="9">
        <v>942</v>
      </c>
      <c r="B943" s="9" t="s">
        <v>9</v>
      </c>
      <c r="C943" s="9">
        <v>1912</v>
      </c>
      <c r="D943" s="10">
        <v>45616</v>
      </c>
      <c r="E943" s="13" t="str">
        <f>+HYPERLINK("http://trademark.i-assist.jp/data/china/image_1912th/80513234.pdf","80513234")</f>
        <v>80513234</v>
      </c>
      <c r="F943" s="9" t="s">
        <v>2675</v>
      </c>
      <c r="G943" s="12" t="s">
        <v>2517</v>
      </c>
      <c r="H943" s="9" t="s">
        <v>2676</v>
      </c>
      <c r="I943" s="10">
        <v>45526</v>
      </c>
    </row>
    <row r="944" spans="1:9" x14ac:dyDescent="0.15">
      <c r="A944" s="9">
        <v>943</v>
      </c>
      <c r="B944" s="9" t="s">
        <v>9</v>
      </c>
      <c r="C944" s="9">
        <v>1912</v>
      </c>
      <c r="D944" s="10">
        <v>45616</v>
      </c>
      <c r="E944" s="13" t="str">
        <f>+HYPERLINK("http://trademark.i-assist.jp/data/china/image_1912th/80513591.pdf","80513591")</f>
        <v>80513591</v>
      </c>
      <c r="F944" s="9" t="s">
        <v>2677</v>
      </c>
      <c r="G944" s="9" t="s">
        <v>2678</v>
      </c>
      <c r="H944" s="12" t="s">
        <v>2679</v>
      </c>
      <c r="I944" s="10">
        <v>45526</v>
      </c>
    </row>
    <row r="945" spans="1:9" x14ac:dyDescent="0.15">
      <c r="A945" s="9">
        <v>944</v>
      </c>
      <c r="B945" s="9" t="s">
        <v>9</v>
      </c>
      <c r="C945" s="9">
        <v>1912</v>
      </c>
      <c r="D945" s="10">
        <v>45616</v>
      </c>
      <c r="E945" s="13" t="str">
        <f>+HYPERLINK("http://trademark.i-assist.jp/data/china/image_1912th/80514385.pdf","80514385")</f>
        <v>80514385</v>
      </c>
      <c r="F945" s="9" t="s">
        <v>2680</v>
      </c>
      <c r="G945" s="12" t="s">
        <v>67</v>
      </c>
      <c r="H945" s="9" t="s">
        <v>2681</v>
      </c>
      <c r="I945" s="10">
        <v>45526</v>
      </c>
    </row>
    <row r="946" spans="1:9" x14ac:dyDescent="0.15">
      <c r="A946" s="9">
        <v>945</v>
      </c>
      <c r="B946" s="9" t="s">
        <v>9</v>
      </c>
      <c r="C946" s="9">
        <v>1912</v>
      </c>
      <c r="D946" s="10">
        <v>45616</v>
      </c>
      <c r="E946" s="13" t="str">
        <f>+HYPERLINK("http://trademark.i-assist.jp/data/china/image_1912th/80514931.pdf","80514931")</f>
        <v>80514931</v>
      </c>
      <c r="F946" s="9" t="s">
        <v>2682</v>
      </c>
      <c r="G946" s="9" t="s">
        <v>2683</v>
      </c>
      <c r="H946" s="9" t="s">
        <v>2684</v>
      </c>
      <c r="I946" s="10">
        <v>45526</v>
      </c>
    </row>
    <row r="947" spans="1:9" x14ac:dyDescent="0.15">
      <c r="A947" s="9">
        <v>946</v>
      </c>
      <c r="B947" s="9" t="s">
        <v>9</v>
      </c>
      <c r="C947" s="9">
        <v>1912</v>
      </c>
      <c r="D947" s="10">
        <v>45616</v>
      </c>
      <c r="E947" s="13" t="str">
        <f>+HYPERLINK("http://trademark.i-assist.jp/data/china/image_1912th/80515222.pdf","80515222")</f>
        <v>80515222</v>
      </c>
      <c r="F947" s="9" t="s">
        <v>2685</v>
      </c>
      <c r="G947" s="9" t="s">
        <v>2602</v>
      </c>
      <c r="H947" s="9" t="s">
        <v>2686</v>
      </c>
      <c r="I947" s="10">
        <v>45526</v>
      </c>
    </row>
    <row r="948" spans="1:9" x14ac:dyDescent="0.15">
      <c r="A948" s="9">
        <v>947</v>
      </c>
      <c r="B948" s="9" t="s">
        <v>9</v>
      </c>
      <c r="C948" s="9">
        <v>1912</v>
      </c>
      <c r="D948" s="10">
        <v>45616</v>
      </c>
      <c r="E948" s="13" t="str">
        <f>+HYPERLINK("http://trademark.i-assist.jp/data/china/image_1912th/80515376.pdf","80515376")</f>
        <v>80515376</v>
      </c>
      <c r="F948" s="12" t="s">
        <v>2687</v>
      </c>
      <c r="G948" s="9" t="s">
        <v>2688</v>
      </c>
      <c r="H948" s="9" t="s">
        <v>2689</v>
      </c>
      <c r="I948" s="10">
        <v>45526</v>
      </c>
    </row>
    <row r="949" spans="1:9" x14ac:dyDescent="0.15">
      <c r="A949" s="9">
        <v>948</v>
      </c>
      <c r="B949" s="9" t="s">
        <v>9</v>
      </c>
      <c r="C949" s="9">
        <v>1912</v>
      </c>
      <c r="D949" s="10">
        <v>45616</v>
      </c>
      <c r="E949" s="13" t="str">
        <f>+HYPERLINK("http://trademark.i-assist.jp/data/china/image_1912th/80515586.pdf","80515586")</f>
        <v>80515586</v>
      </c>
      <c r="F949" s="9" t="s">
        <v>2690</v>
      </c>
      <c r="G949" s="9" t="s">
        <v>2532</v>
      </c>
      <c r="H949" s="9" t="s">
        <v>2691</v>
      </c>
      <c r="I949" s="10">
        <v>45526</v>
      </c>
    </row>
    <row r="950" spans="1:9" x14ac:dyDescent="0.15">
      <c r="A950" s="9">
        <v>949</v>
      </c>
      <c r="B950" s="9" t="s">
        <v>9</v>
      </c>
      <c r="C950" s="9">
        <v>1912</v>
      </c>
      <c r="D950" s="10">
        <v>45616</v>
      </c>
      <c r="E950" s="13" t="str">
        <f>+HYPERLINK("http://trademark.i-assist.jp/data/china/image_1912th/80516239.pdf","80516239")</f>
        <v>80516239</v>
      </c>
      <c r="F950" s="9" t="s">
        <v>2692</v>
      </c>
      <c r="G950" s="12" t="s">
        <v>2693</v>
      </c>
      <c r="H950" s="9" t="s">
        <v>2694</v>
      </c>
      <c r="I950" s="10">
        <v>45526</v>
      </c>
    </row>
    <row r="951" spans="1:9" x14ac:dyDescent="0.15">
      <c r="A951" s="9">
        <v>950</v>
      </c>
      <c r="B951" s="9" t="s">
        <v>9</v>
      </c>
      <c r="C951" s="9">
        <v>1912</v>
      </c>
      <c r="D951" s="10">
        <v>45616</v>
      </c>
      <c r="E951" s="13" t="str">
        <f>+HYPERLINK("http://trademark.i-assist.jp/data/china/image_1912th/80516652.pdf","80516652")</f>
        <v>80516652</v>
      </c>
      <c r="F951" s="9" t="s">
        <v>2695</v>
      </c>
      <c r="G951" s="9" t="s">
        <v>2696</v>
      </c>
      <c r="H951" s="9" t="s">
        <v>2697</v>
      </c>
      <c r="I951" s="10">
        <v>45526</v>
      </c>
    </row>
    <row r="952" spans="1:9" x14ac:dyDescent="0.15">
      <c r="A952" s="9">
        <v>951</v>
      </c>
      <c r="B952" s="9" t="s">
        <v>9</v>
      </c>
      <c r="C952" s="9">
        <v>1912</v>
      </c>
      <c r="D952" s="10">
        <v>45616</v>
      </c>
      <c r="E952" s="13" t="str">
        <f>+HYPERLINK("http://trademark.i-assist.jp/data/china/image_1912th/80517014.pdf","80517014")</f>
        <v>80517014</v>
      </c>
      <c r="F952" s="9" t="s">
        <v>2698</v>
      </c>
      <c r="G952" s="12" t="s">
        <v>2517</v>
      </c>
      <c r="H952" s="9" t="s">
        <v>2699</v>
      </c>
      <c r="I952" s="10">
        <v>45526</v>
      </c>
    </row>
    <row r="953" spans="1:9" x14ac:dyDescent="0.15">
      <c r="A953" s="9">
        <v>952</v>
      </c>
      <c r="B953" s="9" t="s">
        <v>9</v>
      </c>
      <c r="C953" s="9">
        <v>1912</v>
      </c>
      <c r="D953" s="10">
        <v>45616</v>
      </c>
      <c r="E953" s="13" t="str">
        <f>+HYPERLINK("http://trademark.i-assist.jp/data/china/image_1912th/80517090.pdf","80517090")</f>
        <v>80517090</v>
      </c>
      <c r="F953" s="9" t="s">
        <v>2700</v>
      </c>
      <c r="G953" s="9" t="s">
        <v>2701</v>
      </c>
      <c r="H953" s="9" t="s">
        <v>2702</v>
      </c>
      <c r="I953" s="10">
        <v>45526</v>
      </c>
    </row>
    <row r="954" spans="1:9" x14ac:dyDescent="0.15">
      <c r="A954" s="9">
        <v>953</v>
      </c>
      <c r="B954" s="9" t="s">
        <v>9</v>
      </c>
      <c r="C954" s="9">
        <v>1912</v>
      </c>
      <c r="D954" s="10">
        <v>45616</v>
      </c>
      <c r="E954" s="13" t="str">
        <f>+HYPERLINK("http://trademark.i-assist.jp/data/china/image_1912th/80517100.pdf","80517100")</f>
        <v>80517100</v>
      </c>
      <c r="F954" s="9" t="s">
        <v>2703</v>
      </c>
      <c r="G954" s="12" t="s">
        <v>2704</v>
      </c>
      <c r="H954" s="9" t="s">
        <v>2705</v>
      </c>
      <c r="I954" s="10">
        <v>45526</v>
      </c>
    </row>
    <row r="955" spans="1:9" x14ac:dyDescent="0.15">
      <c r="A955" s="9">
        <v>954</v>
      </c>
      <c r="B955" s="9" t="s">
        <v>9</v>
      </c>
      <c r="C955" s="9">
        <v>1912</v>
      </c>
      <c r="D955" s="10">
        <v>45616</v>
      </c>
      <c r="E955" s="13" t="str">
        <f>+HYPERLINK("http://trademark.i-assist.jp/data/china/image_1912th/80517211.pdf","80517211")</f>
        <v>80517211</v>
      </c>
      <c r="F955" s="9" t="s">
        <v>2706</v>
      </c>
      <c r="G955" s="12" t="s">
        <v>2707</v>
      </c>
      <c r="H955" s="9" t="s">
        <v>2708</v>
      </c>
      <c r="I955" s="10">
        <v>45526</v>
      </c>
    </row>
    <row r="956" spans="1:9" x14ac:dyDescent="0.15">
      <c r="A956" s="9">
        <v>955</v>
      </c>
      <c r="B956" s="9" t="s">
        <v>9</v>
      </c>
      <c r="C956" s="9">
        <v>1912</v>
      </c>
      <c r="D956" s="10">
        <v>45616</v>
      </c>
      <c r="E956" s="13" t="str">
        <f>+HYPERLINK("http://trademark.i-assist.jp/data/china/image_1912th/80517310.pdf","80517310")</f>
        <v>80517310</v>
      </c>
      <c r="F956" s="9" t="s">
        <v>2709</v>
      </c>
      <c r="G956" s="9" t="s">
        <v>2710</v>
      </c>
      <c r="H956" s="9" t="s">
        <v>2711</v>
      </c>
      <c r="I956" s="10">
        <v>45526</v>
      </c>
    </row>
    <row r="957" spans="1:9" x14ac:dyDescent="0.15">
      <c r="A957" s="9">
        <v>956</v>
      </c>
      <c r="B957" s="9" t="s">
        <v>9</v>
      </c>
      <c r="C957" s="9">
        <v>1912</v>
      </c>
      <c r="D957" s="10">
        <v>45616</v>
      </c>
      <c r="E957" s="13" t="str">
        <f>+HYPERLINK("http://trademark.i-assist.jp/data/china/image_1912th/80517510.pdf","80517510")</f>
        <v>80517510</v>
      </c>
      <c r="F957" s="9" t="s">
        <v>2712</v>
      </c>
      <c r="G957" s="9" t="s">
        <v>2570</v>
      </c>
      <c r="H957" s="9" t="s">
        <v>2713</v>
      </c>
      <c r="I957" s="10">
        <v>45526</v>
      </c>
    </row>
    <row r="958" spans="1:9" x14ac:dyDescent="0.15">
      <c r="A958" s="9">
        <v>957</v>
      </c>
      <c r="B958" s="9" t="s">
        <v>9</v>
      </c>
      <c r="C958" s="9">
        <v>1912</v>
      </c>
      <c r="D958" s="10">
        <v>45616</v>
      </c>
      <c r="E958" s="13" t="str">
        <f>+HYPERLINK("http://trademark.i-assist.jp/data/china/image_1912th/80517562.pdf","80517562")</f>
        <v>80517562</v>
      </c>
      <c r="F958" s="9" t="s">
        <v>2714</v>
      </c>
      <c r="G958" s="12" t="s">
        <v>58</v>
      </c>
      <c r="H958" s="9" t="s">
        <v>2715</v>
      </c>
      <c r="I958" s="10">
        <v>45526</v>
      </c>
    </row>
    <row r="959" spans="1:9" x14ac:dyDescent="0.15">
      <c r="A959" s="9">
        <v>958</v>
      </c>
      <c r="B959" s="9" t="s">
        <v>9</v>
      </c>
      <c r="C959" s="9">
        <v>1912</v>
      </c>
      <c r="D959" s="10">
        <v>45616</v>
      </c>
      <c r="E959" s="13" t="str">
        <f>+HYPERLINK("http://trademark.i-assist.jp/data/china/image_1912th/80517719.pdf","80517719")</f>
        <v>80517719</v>
      </c>
      <c r="F959" s="9" t="s">
        <v>2534</v>
      </c>
      <c r="G959" s="9" t="s">
        <v>2532</v>
      </c>
      <c r="H959" s="9" t="s">
        <v>2716</v>
      </c>
      <c r="I959" s="10">
        <v>45526</v>
      </c>
    </row>
    <row r="960" spans="1:9" x14ac:dyDescent="0.15">
      <c r="A960" s="9">
        <v>959</v>
      </c>
      <c r="B960" s="9" t="s">
        <v>9</v>
      </c>
      <c r="C960" s="9">
        <v>1912</v>
      </c>
      <c r="D960" s="10">
        <v>45616</v>
      </c>
      <c r="E960" s="13" t="str">
        <f>+HYPERLINK("http://trademark.i-assist.jp/data/china/image_1912th/80517752.pdf","80517752")</f>
        <v>80517752</v>
      </c>
      <c r="F960" s="9" t="s">
        <v>2534</v>
      </c>
      <c r="G960" s="9" t="s">
        <v>2532</v>
      </c>
      <c r="H960" s="9" t="s">
        <v>2717</v>
      </c>
      <c r="I960" s="10">
        <v>45526</v>
      </c>
    </row>
    <row r="961" spans="1:9" x14ac:dyDescent="0.15">
      <c r="A961" s="9">
        <v>960</v>
      </c>
      <c r="B961" s="9" t="s">
        <v>9</v>
      </c>
      <c r="C961" s="9">
        <v>1912</v>
      </c>
      <c r="D961" s="10">
        <v>45616</v>
      </c>
      <c r="E961" s="13" t="str">
        <f>+HYPERLINK("http://trademark.i-assist.jp/data/china/image_1912th/80518286.pdf","80518286")</f>
        <v>80518286</v>
      </c>
      <c r="F961" s="9" t="s">
        <v>2718</v>
      </c>
      <c r="G961" s="9" t="s">
        <v>2618</v>
      </c>
      <c r="H961" s="9" t="s">
        <v>2719</v>
      </c>
      <c r="I961" s="10">
        <v>45526</v>
      </c>
    </row>
    <row r="962" spans="1:9" x14ac:dyDescent="0.15">
      <c r="A962" s="9">
        <v>961</v>
      </c>
      <c r="B962" s="9" t="s">
        <v>9</v>
      </c>
      <c r="C962" s="9">
        <v>1912</v>
      </c>
      <c r="D962" s="10">
        <v>45616</v>
      </c>
      <c r="E962" s="13" t="str">
        <f>+HYPERLINK("http://trademark.i-assist.jp/data/china/image_1912th/80518584.pdf","80518584")</f>
        <v>80518584</v>
      </c>
      <c r="F962" s="9" t="s">
        <v>2720</v>
      </c>
      <c r="G962" s="9" t="s">
        <v>2721</v>
      </c>
      <c r="H962" s="9" t="s">
        <v>2722</v>
      </c>
      <c r="I962" s="10">
        <v>45526</v>
      </c>
    </row>
    <row r="963" spans="1:9" x14ac:dyDescent="0.15">
      <c r="A963" s="9">
        <v>962</v>
      </c>
      <c r="B963" s="9" t="s">
        <v>9</v>
      </c>
      <c r="C963" s="9">
        <v>1912</v>
      </c>
      <c r="D963" s="10">
        <v>45616</v>
      </c>
      <c r="E963" s="13" t="str">
        <f>+HYPERLINK("http://trademark.i-assist.jp/data/china/image_1912th/80518914.pdf","80518914")</f>
        <v>80518914</v>
      </c>
      <c r="F963" s="9" t="s">
        <v>2723</v>
      </c>
      <c r="G963" s="9" t="s">
        <v>2724</v>
      </c>
      <c r="H963" s="9" t="s">
        <v>2725</v>
      </c>
      <c r="I963" s="10">
        <v>45526</v>
      </c>
    </row>
    <row r="964" spans="1:9" x14ac:dyDescent="0.15">
      <c r="A964" s="9">
        <v>963</v>
      </c>
      <c r="B964" s="9" t="s">
        <v>9</v>
      </c>
      <c r="C964" s="9">
        <v>1912</v>
      </c>
      <c r="D964" s="10">
        <v>45616</v>
      </c>
      <c r="E964" s="13" t="str">
        <f>+HYPERLINK("http://trademark.i-assist.jp/data/china/image_1912th/80519579.pdf","80519579")</f>
        <v>80519579</v>
      </c>
      <c r="F964" s="9" t="s">
        <v>2726</v>
      </c>
      <c r="G964" s="9" t="s">
        <v>2727</v>
      </c>
      <c r="H964" s="9" t="s">
        <v>2728</v>
      </c>
      <c r="I964" s="10">
        <v>45526</v>
      </c>
    </row>
    <row r="965" spans="1:9" x14ac:dyDescent="0.15">
      <c r="A965" s="9">
        <v>964</v>
      </c>
      <c r="B965" s="9" t="s">
        <v>9</v>
      </c>
      <c r="C965" s="9">
        <v>1912</v>
      </c>
      <c r="D965" s="10">
        <v>45616</v>
      </c>
      <c r="E965" s="13" t="str">
        <f>+HYPERLINK("http://trademark.i-assist.jp/data/china/image_1912th/80519642.pdf","80519642")</f>
        <v>80519642</v>
      </c>
      <c r="F965" s="9" t="s">
        <v>2729</v>
      </c>
      <c r="G965" s="9" t="s">
        <v>2632</v>
      </c>
      <c r="H965" s="9" t="s">
        <v>2730</v>
      </c>
      <c r="I965" s="10">
        <v>45526</v>
      </c>
    </row>
    <row r="966" spans="1:9" x14ac:dyDescent="0.15">
      <c r="A966" s="9">
        <v>965</v>
      </c>
      <c r="B966" s="9" t="s">
        <v>9</v>
      </c>
      <c r="C966" s="9">
        <v>1912</v>
      </c>
      <c r="D966" s="10">
        <v>45616</v>
      </c>
      <c r="E966" s="13" t="str">
        <f>+HYPERLINK("http://trademark.i-assist.jp/data/china/image_1912th/80519944.pdf","80519944")</f>
        <v>80519944</v>
      </c>
      <c r="F966" s="9" t="s">
        <v>2731</v>
      </c>
      <c r="G966" s="9" t="s">
        <v>2732</v>
      </c>
      <c r="H966" s="9" t="s">
        <v>2733</v>
      </c>
      <c r="I966" s="10">
        <v>45526</v>
      </c>
    </row>
    <row r="967" spans="1:9" x14ac:dyDescent="0.15">
      <c r="A967" s="9">
        <v>966</v>
      </c>
      <c r="B967" s="9" t="s">
        <v>9</v>
      </c>
      <c r="C967" s="9">
        <v>1912</v>
      </c>
      <c r="D967" s="10">
        <v>45616</v>
      </c>
      <c r="E967" s="13" t="str">
        <f>+HYPERLINK("http://trademark.i-assist.jp/data/china/image_1912th/80520166.pdf","80520166")</f>
        <v>80520166</v>
      </c>
      <c r="F967" s="9" t="s">
        <v>2734</v>
      </c>
      <c r="G967" s="9" t="s">
        <v>2735</v>
      </c>
      <c r="H967" s="12" t="s">
        <v>2736</v>
      </c>
      <c r="I967" s="10">
        <v>45526</v>
      </c>
    </row>
    <row r="968" spans="1:9" x14ac:dyDescent="0.15">
      <c r="A968" s="9">
        <v>967</v>
      </c>
      <c r="B968" s="9" t="s">
        <v>9</v>
      </c>
      <c r="C968" s="9">
        <v>1912</v>
      </c>
      <c r="D968" s="10">
        <v>45616</v>
      </c>
      <c r="E968" s="13" t="str">
        <f>+HYPERLINK("http://trademark.i-assist.jp/data/china/image_1912th/80520233.pdf","80520233")</f>
        <v>80520233</v>
      </c>
      <c r="F968" s="9" t="s">
        <v>2737</v>
      </c>
      <c r="G968" s="12" t="s">
        <v>2738</v>
      </c>
      <c r="H968" s="9" t="s">
        <v>2739</v>
      </c>
      <c r="I968" s="10">
        <v>45526</v>
      </c>
    </row>
    <row r="969" spans="1:9" x14ac:dyDescent="0.15">
      <c r="A969" s="9">
        <v>968</v>
      </c>
      <c r="B969" s="9" t="s">
        <v>9</v>
      </c>
      <c r="C969" s="9">
        <v>1912</v>
      </c>
      <c r="D969" s="10">
        <v>45616</v>
      </c>
      <c r="E969" s="13" t="str">
        <f>+HYPERLINK("http://trademark.i-assist.jp/data/china/image_1912th/80520306.pdf","80520306")</f>
        <v>80520306</v>
      </c>
      <c r="F969" s="9" t="s">
        <v>2740</v>
      </c>
      <c r="G969" s="9" t="s">
        <v>2605</v>
      </c>
      <c r="H969" s="9" t="s">
        <v>2741</v>
      </c>
      <c r="I969" s="10">
        <v>45526</v>
      </c>
    </row>
    <row r="970" spans="1:9" x14ac:dyDescent="0.15">
      <c r="A970" s="9">
        <v>969</v>
      </c>
      <c r="B970" s="9" t="s">
        <v>9</v>
      </c>
      <c r="C970" s="9">
        <v>1912</v>
      </c>
      <c r="D970" s="10">
        <v>45616</v>
      </c>
      <c r="E970" s="13" t="str">
        <f>+HYPERLINK("http://trademark.i-assist.jp/data/china/image_1912th/80520633.pdf","80520633")</f>
        <v>80520633</v>
      </c>
      <c r="F970" s="9" t="s">
        <v>2742</v>
      </c>
      <c r="G970" s="12" t="s">
        <v>2584</v>
      </c>
      <c r="H970" s="9" t="s">
        <v>2743</v>
      </c>
      <c r="I970" s="10">
        <v>45526</v>
      </c>
    </row>
    <row r="971" spans="1:9" x14ac:dyDescent="0.15">
      <c r="A971" s="9">
        <v>970</v>
      </c>
      <c r="B971" s="9" t="s">
        <v>9</v>
      </c>
      <c r="C971" s="9">
        <v>1912</v>
      </c>
      <c r="D971" s="10">
        <v>45616</v>
      </c>
      <c r="E971" s="13" t="str">
        <f>+HYPERLINK("http://trademark.i-assist.jp/data/china/image_1912th/80520901.pdf","80520901")</f>
        <v>80520901</v>
      </c>
      <c r="F971" s="9" t="s">
        <v>2744</v>
      </c>
      <c r="G971" s="12" t="s">
        <v>46</v>
      </c>
      <c r="H971" s="9" t="s">
        <v>2745</v>
      </c>
      <c r="I971" s="10">
        <v>45526</v>
      </c>
    </row>
    <row r="972" spans="1:9" x14ac:dyDescent="0.15">
      <c r="A972" s="9">
        <v>971</v>
      </c>
      <c r="B972" s="9" t="s">
        <v>9</v>
      </c>
      <c r="C972" s="9">
        <v>1912</v>
      </c>
      <c r="D972" s="10">
        <v>45616</v>
      </c>
      <c r="E972" s="13" t="str">
        <f>+HYPERLINK("http://trademark.i-assist.jp/data/china/image_1912th/80520980.pdf","80520980")</f>
        <v>80520980</v>
      </c>
      <c r="F972" s="12" t="s">
        <v>2746</v>
      </c>
      <c r="G972" s="12" t="s">
        <v>2517</v>
      </c>
      <c r="H972" s="9" t="s">
        <v>2747</v>
      </c>
      <c r="I972" s="10">
        <v>45526</v>
      </c>
    </row>
    <row r="973" spans="1:9" x14ac:dyDescent="0.15">
      <c r="A973" s="9">
        <v>972</v>
      </c>
      <c r="B973" s="9" t="s">
        <v>9</v>
      </c>
      <c r="C973" s="9">
        <v>1912</v>
      </c>
      <c r="D973" s="10">
        <v>45616</v>
      </c>
      <c r="E973" s="13" t="str">
        <f>+HYPERLINK("http://trademark.i-assist.jp/data/china/image_1912th/80521131.pdf","80521131")</f>
        <v>80521131</v>
      </c>
      <c r="F973" s="9" t="s">
        <v>2748</v>
      </c>
      <c r="G973" s="12" t="s">
        <v>2749</v>
      </c>
      <c r="H973" s="9" t="s">
        <v>2750</v>
      </c>
      <c r="I973" s="10">
        <v>45526</v>
      </c>
    </row>
    <row r="974" spans="1:9" x14ac:dyDescent="0.15">
      <c r="A974" s="9">
        <v>973</v>
      </c>
      <c r="B974" s="9" t="s">
        <v>9</v>
      </c>
      <c r="C974" s="9">
        <v>1912</v>
      </c>
      <c r="D974" s="10">
        <v>45616</v>
      </c>
      <c r="E974" s="13" t="str">
        <f>+HYPERLINK("http://trademark.i-assist.jp/data/china/image_1912th/80521860.pdf","80521860")</f>
        <v>80521860</v>
      </c>
      <c r="F974" s="9" t="s">
        <v>2751</v>
      </c>
      <c r="G974" s="9" t="s">
        <v>2752</v>
      </c>
      <c r="H974" s="9" t="s">
        <v>2753</v>
      </c>
      <c r="I974" s="10">
        <v>45527</v>
      </c>
    </row>
    <row r="975" spans="1:9" x14ac:dyDescent="0.15">
      <c r="A975" s="9">
        <v>974</v>
      </c>
      <c r="B975" s="9" t="s">
        <v>9</v>
      </c>
      <c r="C975" s="9">
        <v>1912</v>
      </c>
      <c r="D975" s="10">
        <v>45616</v>
      </c>
      <c r="E975" s="13" t="str">
        <f>+HYPERLINK("http://trademark.i-assist.jp/data/china/image_1912th/80522734.pdf","80522734")</f>
        <v>80522734</v>
      </c>
      <c r="F975" s="12" t="s">
        <v>2754</v>
      </c>
      <c r="G975" s="9" t="s">
        <v>2755</v>
      </c>
      <c r="H975" s="9" t="s">
        <v>2756</v>
      </c>
      <c r="I975" s="10">
        <v>45527</v>
      </c>
    </row>
    <row r="976" spans="1:9" x14ac:dyDescent="0.15">
      <c r="A976" s="9">
        <v>975</v>
      </c>
      <c r="B976" s="9" t="s">
        <v>9</v>
      </c>
      <c r="C976" s="9">
        <v>1912</v>
      </c>
      <c r="D976" s="10">
        <v>45616</v>
      </c>
      <c r="E976" s="13" t="str">
        <f>+HYPERLINK("http://trademark.i-assist.jp/data/china/image_1912th/80523081.pdf","80523081")</f>
        <v>80523081</v>
      </c>
      <c r="F976" s="12" t="s">
        <v>15</v>
      </c>
      <c r="G976" s="9" t="s">
        <v>2757</v>
      </c>
      <c r="H976" s="9" t="s">
        <v>2758</v>
      </c>
      <c r="I976" s="10">
        <v>45527</v>
      </c>
    </row>
    <row r="977" spans="1:9" x14ac:dyDescent="0.15">
      <c r="A977" s="9">
        <v>976</v>
      </c>
      <c r="B977" s="9" t="s">
        <v>9</v>
      </c>
      <c r="C977" s="9">
        <v>1912</v>
      </c>
      <c r="D977" s="10">
        <v>45616</v>
      </c>
      <c r="E977" s="13" t="str">
        <f>+HYPERLINK("http://trademark.i-assist.jp/data/china/image_1912th/80523210.pdf","80523210")</f>
        <v>80523210</v>
      </c>
      <c r="F977" s="9" t="s">
        <v>2759</v>
      </c>
      <c r="G977" s="9" t="s">
        <v>2760</v>
      </c>
      <c r="H977" s="9" t="s">
        <v>2761</v>
      </c>
      <c r="I977" s="10">
        <v>45527</v>
      </c>
    </row>
    <row r="978" spans="1:9" x14ac:dyDescent="0.15">
      <c r="A978" s="9">
        <v>977</v>
      </c>
      <c r="B978" s="9" t="s">
        <v>9</v>
      </c>
      <c r="C978" s="9">
        <v>1912</v>
      </c>
      <c r="D978" s="10">
        <v>45616</v>
      </c>
      <c r="E978" s="13" t="str">
        <f>+HYPERLINK("http://trademark.i-assist.jp/data/china/image_1912th/80523283.pdf","80523283")</f>
        <v>80523283</v>
      </c>
      <c r="F978" s="9" t="s">
        <v>2762</v>
      </c>
      <c r="G978" s="9" t="s">
        <v>2763</v>
      </c>
      <c r="H978" s="9" t="s">
        <v>2764</v>
      </c>
      <c r="I978" s="10">
        <v>45527</v>
      </c>
    </row>
    <row r="979" spans="1:9" x14ac:dyDescent="0.15">
      <c r="A979" s="9">
        <v>978</v>
      </c>
      <c r="B979" s="9" t="s">
        <v>9</v>
      </c>
      <c r="C979" s="9">
        <v>1912</v>
      </c>
      <c r="D979" s="10">
        <v>45616</v>
      </c>
      <c r="E979" s="13" t="str">
        <f>+HYPERLINK("http://trademark.i-assist.jp/data/china/image_1912th/80523529.pdf","80523529")</f>
        <v>80523529</v>
      </c>
      <c r="F979" s="9" t="s">
        <v>2765</v>
      </c>
      <c r="G979" s="12" t="s">
        <v>2766</v>
      </c>
      <c r="H979" s="9" t="s">
        <v>2767</v>
      </c>
      <c r="I979" s="10">
        <v>45527</v>
      </c>
    </row>
    <row r="980" spans="1:9" x14ac:dyDescent="0.15">
      <c r="A980" s="9">
        <v>979</v>
      </c>
      <c r="B980" s="9" t="s">
        <v>9</v>
      </c>
      <c r="C980" s="9">
        <v>1912</v>
      </c>
      <c r="D980" s="10">
        <v>45616</v>
      </c>
      <c r="E980" s="13" t="str">
        <f>+HYPERLINK("http://trademark.i-assist.jp/data/china/image_1912th/80523563.pdf","80523563")</f>
        <v>80523563</v>
      </c>
      <c r="F980" s="9" t="s">
        <v>2768</v>
      </c>
      <c r="G980" s="9" t="s">
        <v>2769</v>
      </c>
      <c r="H980" s="9" t="s">
        <v>2770</v>
      </c>
      <c r="I980" s="10">
        <v>45527</v>
      </c>
    </row>
    <row r="981" spans="1:9" x14ac:dyDescent="0.15">
      <c r="A981" s="9">
        <v>980</v>
      </c>
      <c r="B981" s="9" t="s">
        <v>9</v>
      </c>
      <c r="C981" s="9">
        <v>1912</v>
      </c>
      <c r="D981" s="10">
        <v>45616</v>
      </c>
      <c r="E981" s="13" t="str">
        <f>+HYPERLINK("http://trademark.i-assist.jp/data/china/image_1912th/80524079.pdf","80524079")</f>
        <v>80524079</v>
      </c>
      <c r="F981" s="12" t="s">
        <v>2771</v>
      </c>
      <c r="G981" s="9" t="s">
        <v>2772</v>
      </c>
      <c r="H981" s="9" t="s">
        <v>2773</v>
      </c>
      <c r="I981" s="10">
        <v>45527</v>
      </c>
    </row>
    <row r="982" spans="1:9" x14ac:dyDescent="0.15">
      <c r="A982" s="9">
        <v>981</v>
      </c>
      <c r="B982" s="9" t="s">
        <v>9</v>
      </c>
      <c r="C982" s="9">
        <v>1912</v>
      </c>
      <c r="D982" s="10">
        <v>45616</v>
      </c>
      <c r="E982" s="13" t="str">
        <f>+HYPERLINK("http://trademark.i-assist.jp/data/china/image_1912th/80524253.pdf","80524253")</f>
        <v>80524253</v>
      </c>
      <c r="F982" s="12" t="s">
        <v>2774</v>
      </c>
      <c r="G982" s="12" t="s">
        <v>2775</v>
      </c>
      <c r="H982" s="9" t="s">
        <v>2776</v>
      </c>
      <c r="I982" s="10">
        <v>45527</v>
      </c>
    </row>
    <row r="983" spans="1:9" x14ac:dyDescent="0.15">
      <c r="A983" s="9">
        <v>982</v>
      </c>
      <c r="B983" s="9" t="s">
        <v>9</v>
      </c>
      <c r="C983" s="9">
        <v>1912</v>
      </c>
      <c r="D983" s="10">
        <v>45616</v>
      </c>
      <c r="E983" s="13" t="str">
        <f>+HYPERLINK("http://trademark.i-assist.jp/data/china/image_1912th/80525323.pdf","80525323")</f>
        <v>80525323</v>
      </c>
      <c r="F983" s="9" t="s">
        <v>2777</v>
      </c>
      <c r="G983" s="12" t="s">
        <v>2778</v>
      </c>
      <c r="H983" s="9" t="s">
        <v>2779</v>
      </c>
      <c r="I983" s="10">
        <v>45527</v>
      </c>
    </row>
    <row r="984" spans="1:9" x14ac:dyDescent="0.15">
      <c r="A984" s="9">
        <v>983</v>
      </c>
      <c r="B984" s="9" t="s">
        <v>9</v>
      </c>
      <c r="C984" s="9">
        <v>1912</v>
      </c>
      <c r="D984" s="10">
        <v>45616</v>
      </c>
      <c r="E984" s="13" t="str">
        <f>+HYPERLINK("http://trademark.i-assist.jp/data/china/image_1912th/80525424.pdf","80525424")</f>
        <v>80525424</v>
      </c>
      <c r="F984" s="12" t="s">
        <v>2780</v>
      </c>
      <c r="G984" s="9" t="s">
        <v>2781</v>
      </c>
      <c r="H984" s="9" t="s">
        <v>2782</v>
      </c>
      <c r="I984" s="10">
        <v>45527</v>
      </c>
    </row>
    <row r="985" spans="1:9" x14ac:dyDescent="0.15">
      <c r="A985" s="9">
        <v>984</v>
      </c>
      <c r="B985" s="9" t="s">
        <v>9</v>
      </c>
      <c r="C985" s="9">
        <v>1912</v>
      </c>
      <c r="D985" s="10">
        <v>45616</v>
      </c>
      <c r="E985" s="13" t="str">
        <f>+HYPERLINK("http://trademark.i-assist.jp/data/china/image_1912th/80526194.pdf","80526194")</f>
        <v>80526194</v>
      </c>
      <c r="F985" s="9" t="s">
        <v>2783</v>
      </c>
      <c r="G985" s="9" t="s">
        <v>2784</v>
      </c>
      <c r="H985" s="9" t="s">
        <v>2785</v>
      </c>
      <c r="I985" s="10">
        <v>45527</v>
      </c>
    </row>
    <row r="986" spans="1:9" x14ac:dyDescent="0.15">
      <c r="A986" s="9">
        <v>985</v>
      </c>
      <c r="B986" s="9" t="s">
        <v>9</v>
      </c>
      <c r="C986" s="9">
        <v>1912</v>
      </c>
      <c r="D986" s="10">
        <v>45616</v>
      </c>
      <c r="E986" s="13" t="str">
        <f>+HYPERLINK("http://trademark.i-assist.jp/data/china/image_1912th/80526213.pdf","80526213")</f>
        <v>80526213</v>
      </c>
      <c r="F986" s="9" t="s">
        <v>2786</v>
      </c>
      <c r="G986" s="9" t="s">
        <v>2787</v>
      </c>
      <c r="H986" s="9" t="s">
        <v>2788</v>
      </c>
      <c r="I986" s="10">
        <v>45527</v>
      </c>
    </row>
    <row r="987" spans="1:9" x14ac:dyDescent="0.15">
      <c r="A987" s="9">
        <v>986</v>
      </c>
      <c r="B987" s="9" t="s">
        <v>9</v>
      </c>
      <c r="C987" s="9">
        <v>1912</v>
      </c>
      <c r="D987" s="10">
        <v>45616</v>
      </c>
      <c r="E987" s="13" t="str">
        <f>+HYPERLINK("http://trademark.i-assist.jp/data/china/image_1912th/80526405.pdf","80526405")</f>
        <v>80526405</v>
      </c>
      <c r="F987" s="12" t="s">
        <v>2789</v>
      </c>
      <c r="G987" s="9" t="s">
        <v>2790</v>
      </c>
      <c r="H987" s="9" t="s">
        <v>2791</v>
      </c>
      <c r="I987" s="10">
        <v>45527</v>
      </c>
    </row>
    <row r="988" spans="1:9" x14ac:dyDescent="0.15">
      <c r="A988" s="9">
        <v>987</v>
      </c>
      <c r="B988" s="9" t="s">
        <v>9</v>
      </c>
      <c r="C988" s="9">
        <v>1912</v>
      </c>
      <c r="D988" s="10">
        <v>45616</v>
      </c>
      <c r="E988" s="13" t="str">
        <f>+HYPERLINK("http://trademark.i-assist.jp/data/china/image_1912th/80526932.pdf","80526932")</f>
        <v>80526932</v>
      </c>
      <c r="F988" s="9" t="s">
        <v>2792</v>
      </c>
      <c r="G988" s="12" t="s">
        <v>2793</v>
      </c>
      <c r="H988" s="12" t="s">
        <v>2794</v>
      </c>
      <c r="I988" s="10">
        <v>45527</v>
      </c>
    </row>
    <row r="989" spans="1:9" x14ac:dyDescent="0.15">
      <c r="A989" s="9">
        <v>988</v>
      </c>
      <c r="B989" s="9" t="s">
        <v>9</v>
      </c>
      <c r="C989" s="9">
        <v>1912</v>
      </c>
      <c r="D989" s="10">
        <v>45616</v>
      </c>
      <c r="E989" s="13" t="str">
        <f>+HYPERLINK("http://trademark.i-assist.jp/data/china/image_1912th/80527299.pdf","80527299")</f>
        <v>80527299</v>
      </c>
      <c r="F989" s="12" t="s">
        <v>2795</v>
      </c>
      <c r="G989" s="11" t="s">
        <v>2796</v>
      </c>
      <c r="H989" s="9" t="s">
        <v>2797</v>
      </c>
      <c r="I989" s="10">
        <v>45527</v>
      </c>
    </row>
    <row r="990" spans="1:9" x14ac:dyDescent="0.15">
      <c r="A990" s="9">
        <v>989</v>
      </c>
      <c r="B990" s="9" t="s">
        <v>9</v>
      </c>
      <c r="C990" s="9">
        <v>1912</v>
      </c>
      <c r="D990" s="10">
        <v>45616</v>
      </c>
      <c r="E990" s="13" t="str">
        <f>+HYPERLINK("http://trademark.i-assist.jp/data/china/image_1912th/80527406.pdf","80527406")</f>
        <v>80527406</v>
      </c>
      <c r="F990" s="9" t="s">
        <v>2798</v>
      </c>
      <c r="G990" s="12" t="s">
        <v>2799</v>
      </c>
      <c r="H990" s="9" t="s">
        <v>2800</v>
      </c>
      <c r="I990" s="10">
        <v>45527</v>
      </c>
    </row>
    <row r="991" spans="1:9" x14ac:dyDescent="0.15">
      <c r="A991" s="9">
        <v>990</v>
      </c>
      <c r="B991" s="9" t="s">
        <v>9</v>
      </c>
      <c r="C991" s="9">
        <v>1912</v>
      </c>
      <c r="D991" s="10">
        <v>45616</v>
      </c>
      <c r="E991" s="13" t="str">
        <f>+HYPERLINK("http://trademark.i-assist.jp/data/china/image_1912th/80527445.pdf","80527445")</f>
        <v>80527445</v>
      </c>
      <c r="F991" s="9" t="s">
        <v>2801</v>
      </c>
      <c r="G991" s="9" t="s">
        <v>2802</v>
      </c>
      <c r="H991" s="9" t="s">
        <v>2803</v>
      </c>
      <c r="I991" s="10">
        <v>45527</v>
      </c>
    </row>
    <row r="992" spans="1:9" x14ac:dyDescent="0.15">
      <c r="A992" s="9">
        <v>991</v>
      </c>
      <c r="B992" s="9" t="s">
        <v>9</v>
      </c>
      <c r="C992" s="9">
        <v>1912</v>
      </c>
      <c r="D992" s="10">
        <v>45616</v>
      </c>
      <c r="E992" s="13" t="str">
        <f>+HYPERLINK("http://trademark.i-assist.jp/data/china/image_1912th/80527903.pdf","80527903")</f>
        <v>80527903</v>
      </c>
      <c r="F992" s="9" t="s">
        <v>2804</v>
      </c>
      <c r="G992" s="12" t="s">
        <v>2805</v>
      </c>
      <c r="H992" s="9" t="s">
        <v>2806</v>
      </c>
      <c r="I992" s="10">
        <v>45527</v>
      </c>
    </row>
    <row r="993" spans="1:9" x14ac:dyDescent="0.15">
      <c r="A993" s="9">
        <v>992</v>
      </c>
      <c r="B993" s="9" t="s">
        <v>9</v>
      </c>
      <c r="C993" s="9">
        <v>1912</v>
      </c>
      <c r="D993" s="10">
        <v>45616</v>
      </c>
      <c r="E993" s="13" t="str">
        <f>+HYPERLINK("http://trademark.i-assist.jp/data/china/image_1912th/80528360.pdf","80528360")</f>
        <v>80528360</v>
      </c>
      <c r="F993" s="9" t="s">
        <v>2807</v>
      </c>
      <c r="G993" s="12" t="s">
        <v>2808</v>
      </c>
      <c r="H993" s="9" t="s">
        <v>2809</v>
      </c>
      <c r="I993" s="10">
        <v>45527</v>
      </c>
    </row>
    <row r="994" spans="1:9" x14ac:dyDescent="0.15">
      <c r="A994" s="9">
        <v>993</v>
      </c>
      <c r="B994" s="9" t="s">
        <v>9</v>
      </c>
      <c r="C994" s="9">
        <v>1912</v>
      </c>
      <c r="D994" s="10">
        <v>45616</v>
      </c>
      <c r="E994" s="13" t="str">
        <f>+HYPERLINK("http://trademark.i-assist.jp/data/china/image_1912th/80528409.pdf","80528409")</f>
        <v>80528409</v>
      </c>
      <c r="F994" s="9" t="s">
        <v>2810</v>
      </c>
      <c r="G994" s="9" t="s">
        <v>2757</v>
      </c>
      <c r="H994" s="9" t="s">
        <v>2811</v>
      </c>
      <c r="I994" s="10">
        <v>45527</v>
      </c>
    </row>
    <row r="995" spans="1:9" x14ac:dyDescent="0.15">
      <c r="A995" s="9">
        <v>994</v>
      </c>
      <c r="B995" s="9" t="s">
        <v>9</v>
      </c>
      <c r="C995" s="9">
        <v>1912</v>
      </c>
      <c r="D995" s="10">
        <v>45616</v>
      </c>
      <c r="E995" s="13" t="str">
        <f>+HYPERLINK("http://trademark.i-assist.jp/data/china/image_1912th/80528549.pdf","80528549")</f>
        <v>80528549</v>
      </c>
      <c r="F995" s="9" t="s">
        <v>2812</v>
      </c>
      <c r="G995" s="9" t="s">
        <v>2813</v>
      </c>
      <c r="H995" s="12" t="s">
        <v>2814</v>
      </c>
      <c r="I995" s="10">
        <v>45527</v>
      </c>
    </row>
    <row r="996" spans="1:9" x14ac:dyDescent="0.15">
      <c r="A996" s="9">
        <v>995</v>
      </c>
      <c r="B996" s="9" t="s">
        <v>9</v>
      </c>
      <c r="C996" s="9">
        <v>1912</v>
      </c>
      <c r="D996" s="10">
        <v>45616</v>
      </c>
      <c r="E996" s="13" t="str">
        <f>+HYPERLINK("http://trademark.i-assist.jp/data/china/image_1912th/80529017.pdf","80529017")</f>
        <v>80529017</v>
      </c>
      <c r="F996" s="9" t="s">
        <v>2815</v>
      </c>
      <c r="G996" s="9" t="s">
        <v>2816</v>
      </c>
      <c r="H996" s="9" t="s">
        <v>2817</v>
      </c>
      <c r="I996" s="10">
        <v>45527</v>
      </c>
    </row>
    <row r="997" spans="1:9" x14ac:dyDescent="0.15">
      <c r="A997" s="9">
        <v>996</v>
      </c>
      <c r="B997" s="9" t="s">
        <v>9</v>
      </c>
      <c r="C997" s="9">
        <v>1912</v>
      </c>
      <c r="D997" s="10">
        <v>45616</v>
      </c>
      <c r="E997" s="13" t="str">
        <f>+HYPERLINK("http://trademark.i-assist.jp/data/china/image_1912th/80529390.pdf","80529390")</f>
        <v>80529390</v>
      </c>
      <c r="F997" s="9" t="s">
        <v>2818</v>
      </c>
      <c r="G997" s="12" t="s">
        <v>2819</v>
      </c>
      <c r="H997" s="9" t="s">
        <v>2820</v>
      </c>
      <c r="I997" s="10">
        <v>45527</v>
      </c>
    </row>
    <row r="998" spans="1:9" x14ac:dyDescent="0.15">
      <c r="A998" s="9">
        <v>997</v>
      </c>
      <c r="B998" s="9" t="s">
        <v>9</v>
      </c>
      <c r="C998" s="9">
        <v>1912</v>
      </c>
      <c r="D998" s="10">
        <v>45616</v>
      </c>
      <c r="E998" s="13" t="str">
        <f>+HYPERLINK("http://trademark.i-assist.jp/data/china/image_1912th/80530076.pdf","80530076")</f>
        <v>80530076</v>
      </c>
      <c r="F998" s="9" t="s">
        <v>2821</v>
      </c>
      <c r="G998" s="12" t="s">
        <v>2822</v>
      </c>
      <c r="H998" s="9" t="s">
        <v>2823</v>
      </c>
      <c r="I998" s="10">
        <v>45527</v>
      </c>
    </row>
    <row r="999" spans="1:9" x14ac:dyDescent="0.15">
      <c r="A999" s="9">
        <v>998</v>
      </c>
      <c r="B999" s="9" t="s">
        <v>9</v>
      </c>
      <c r="C999" s="9">
        <v>1912</v>
      </c>
      <c r="D999" s="10">
        <v>45616</v>
      </c>
      <c r="E999" s="13" t="str">
        <f>+HYPERLINK("http://trademark.i-assist.jp/data/china/image_1912th/80530092.pdf","80530092")</f>
        <v>80530092</v>
      </c>
      <c r="F999" s="9" t="s">
        <v>2824</v>
      </c>
      <c r="G999" s="9" t="s">
        <v>2802</v>
      </c>
      <c r="H999" s="9" t="s">
        <v>2825</v>
      </c>
      <c r="I999" s="10">
        <v>45527</v>
      </c>
    </row>
    <row r="1000" spans="1:9" x14ac:dyDescent="0.15">
      <c r="A1000" s="9">
        <v>999</v>
      </c>
      <c r="B1000" s="9" t="s">
        <v>9</v>
      </c>
      <c r="C1000" s="9">
        <v>1912</v>
      </c>
      <c r="D1000" s="10">
        <v>45616</v>
      </c>
      <c r="E1000" s="13" t="str">
        <f>+HYPERLINK("http://trademark.i-assist.jp/data/china/image_1912th/80531764.pdf","80531764")</f>
        <v>80531764</v>
      </c>
      <c r="F1000" s="9" t="s">
        <v>2826</v>
      </c>
      <c r="G1000" s="9" t="s">
        <v>2827</v>
      </c>
      <c r="H1000" s="9" t="s">
        <v>2828</v>
      </c>
      <c r="I1000" s="10">
        <v>45527</v>
      </c>
    </row>
    <row r="1001" spans="1:9" x14ac:dyDescent="0.15">
      <c r="A1001" s="9">
        <v>1000</v>
      </c>
      <c r="B1001" s="9" t="s">
        <v>9</v>
      </c>
      <c r="C1001" s="9">
        <v>1912</v>
      </c>
      <c r="D1001" s="10">
        <v>45616</v>
      </c>
      <c r="E1001" s="13" t="str">
        <f>+HYPERLINK("http://trademark.i-assist.jp/data/china/image_1912th/80532232.pdf","80532232")</f>
        <v>80532232</v>
      </c>
      <c r="F1001" s="9" t="s">
        <v>2829</v>
      </c>
      <c r="G1001" s="12" t="s">
        <v>2830</v>
      </c>
      <c r="H1001" s="9" t="s">
        <v>2831</v>
      </c>
      <c r="I1001" s="10">
        <v>45527</v>
      </c>
    </row>
    <row r="1002" spans="1:9" x14ac:dyDescent="0.15">
      <c r="A1002" s="9">
        <v>1001</v>
      </c>
      <c r="B1002" s="9" t="s">
        <v>9</v>
      </c>
      <c r="C1002" s="9">
        <v>1912</v>
      </c>
      <c r="D1002" s="10">
        <v>45616</v>
      </c>
      <c r="E1002" s="13" t="str">
        <f>+HYPERLINK("http://trademark.i-assist.jp/data/china/image_1912th/80532377.pdf","80532377")</f>
        <v>80532377</v>
      </c>
      <c r="F1002" s="12" t="s">
        <v>2832</v>
      </c>
      <c r="G1002" s="9" t="s">
        <v>2833</v>
      </c>
      <c r="H1002" s="9" t="s">
        <v>2834</v>
      </c>
      <c r="I1002" s="10">
        <v>45527</v>
      </c>
    </row>
    <row r="1003" spans="1:9" x14ac:dyDescent="0.15">
      <c r="A1003" s="9">
        <v>1002</v>
      </c>
      <c r="B1003" s="9" t="s">
        <v>9</v>
      </c>
      <c r="C1003" s="9">
        <v>1912</v>
      </c>
      <c r="D1003" s="10">
        <v>45616</v>
      </c>
      <c r="E1003" s="13" t="str">
        <f>+HYPERLINK("http://trademark.i-assist.jp/data/china/image_1912th/80532440.pdf","80532440")</f>
        <v>80532440</v>
      </c>
      <c r="F1003" s="9" t="s">
        <v>2835</v>
      </c>
      <c r="G1003" s="12" t="s">
        <v>2836</v>
      </c>
      <c r="H1003" s="9" t="s">
        <v>2837</v>
      </c>
      <c r="I1003" s="10">
        <v>45527</v>
      </c>
    </row>
    <row r="1004" spans="1:9" x14ac:dyDescent="0.15">
      <c r="A1004" s="9">
        <v>1003</v>
      </c>
      <c r="B1004" s="9" t="s">
        <v>9</v>
      </c>
      <c r="C1004" s="9">
        <v>1912</v>
      </c>
      <c r="D1004" s="10">
        <v>45616</v>
      </c>
      <c r="E1004" s="13" t="str">
        <f>+HYPERLINK("http://trademark.i-assist.jp/data/china/image_1912th/80532856.pdf","80532856")</f>
        <v>80532856</v>
      </c>
      <c r="F1004" s="12" t="s">
        <v>2838</v>
      </c>
      <c r="G1004" s="9" t="s">
        <v>2839</v>
      </c>
      <c r="H1004" s="9" t="s">
        <v>2840</v>
      </c>
      <c r="I1004" s="10">
        <v>45527</v>
      </c>
    </row>
    <row r="1005" spans="1:9" x14ac:dyDescent="0.15">
      <c r="A1005" s="9">
        <v>1004</v>
      </c>
      <c r="B1005" s="9" t="s">
        <v>9</v>
      </c>
      <c r="C1005" s="9">
        <v>1912</v>
      </c>
      <c r="D1005" s="10">
        <v>45616</v>
      </c>
      <c r="E1005" s="13" t="str">
        <f>+HYPERLINK("http://trademark.i-assist.jp/data/china/image_1912th/80532947.pdf","80532947")</f>
        <v>80532947</v>
      </c>
      <c r="F1005" s="12" t="s">
        <v>2841</v>
      </c>
      <c r="G1005" s="9" t="s">
        <v>2787</v>
      </c>
      <c r="H1005" s="9" t="s">
        <v>2842</v>
      </c>
      <c r="I1005" s="10">
        <v>45527</v>
      </c>
    </row>
    <row r="1006" spans="1:9" x14ac:dyDescent="0.15">
      <c r="A1006" s="9">
        <v>1005</v>
      </c>
      <c r="B1006" s="9" t="s">
        <v>9</v>
      </c>
      <c r="C1006" s="9">
        <v>1912</v>
      </c>
      <c r="D1006" s="10">
        <v>45616</v>
      </c>
      <c r="E1006" s="13" t="str">
        <f>+HYPERLINK("http://trademark.i-assist.jp/data/china/image_1912th/80533112.pdf","80533112")</f>
        <v>80533112</v>
      </c>
      <c r="F1006" s="12" t="s">
        <v>2843</v>
      </c>
      <c r="G1006" s="9" t="s">
        <v>2844</v>
      </c>
      <c r="H1006" s="9" t="s">
        <v>2845</v>
      </c>
      <c r="I1006" s="10">
        <v>45527</v>
      </c>
    </row>
    <row r="1007" spans="1:9" x14ac:dyDescent="0.15">
      <c r="A1007" s="9">
        <v>1006</v>
      </c>
      <c r="B1007" s="9" t="s">
        <v>9</v>
      </c>
      <c r="C1007" s="9">
        <v>1912</v>
      </c>
      <c r="D1007" s="10">
        <v>45616</v>
      </c>
      <c r="E1007" s="13" t="str">
        <f>+HYPERLINK("http://trademark.i-assist.jp/data/china/image_1912th/80533414.pdf","80533414")</f>
        <v>80533414</v>
      </c>
      <c r="F1007" s="9" t="s">
        <v>2846</v>
      </c>
      <c r="G1007" s="9" t="s">
        <v>2847</v>
      </c>
      <c r="H1007" s="9" t="s">
        <v>2848</v>
      </c>
      <c r="I1007" s="10">
        <v>45527</v>
      </c>
    </row>
    <row r="1008" spans="1:9" x14ac:dyDescent="0.15">
      <c r="A1008" s="9">
        <v>1007</v>
      </c>
      <c r="B1008" s="9" t="s">
        <v>9</v>
      </c>
      <c r="C1008" s="9">
        <v>1912</v>
      </c>
      <c r="D1008" s="10">
        <v>45616</v>
      </c>
      <c r="E1008" s="13" t="str">
        <f>+HYPERLINK("http://trademark.i-assist.jp/data/china/image_1912th/80533552.pdf","80533552")</f>
        <v>80533552</v>
      </c>
      <c r="F1008" s="9" t="s">
        <v>2849</v>
      </c>
      <c r="G1008" s="9" t="s">
        <v>2850</v>
      </c>
      <c r="H1008" s="12" t="s">
        <v>2851</v>
      </c>
      <c r="I1008" s="10">
        <v>45527</v>
      </c>
    </row>
    <row r="1009" spans="1:9" x14ac:dyDescent="0.15">
      <c r="A1009" s="9">
        <v>1008</v>
      </c>
      <c r="B1009" s="9" t="s">
        <v>9</v>
      </c>
      <c r="C1009" s="9">
        <v>1912</v>
      </c>
      <c r="D1009" s="10">
        <v>45616</v>
      </c>
      <c r="E1009" s="13" t="str">
        <f>+HYPERLINK("http://trademark.i-assist.jp/data/china/image_1912th/80533596.pdf","80533596")</f>
        <v>80533596</v>
      </c>
      <c r="F1009" s="12" t="s">
        <v>15</v>
      </c>
      <c r="G1009" s="9" t="s">
        <v>2852</v>
      </c>
      <c r="H1009" s="9" t="s">
        <v>2853</v>
      </c>
      <c r="I1009" s="10">
        <v>45527</v>
      </c>
    </row>
    <row r="1010" spans="1:9" x14ac:dyDescent="0.15">
      <c r="A1010" s="9">
        <v>1009</v>
      </c>
      <c r="B1010" s="9" t="s">
        <v>9</v>
      </c>
      <c r="C1010" s="9">
        <v>1912</v>
      </c>
      <c r="D1010" s="10">
        <v>45616</v>
      </c>
      <c r="E1010" s="13" t="str">
        <f>+HYPERLINK("http://trademark.i-assist.jp/data/china/image_1912th/80534236.pdf","80534236")</f>
        <v>80534236</v>
      </c>
      <c r="F1010" s="9" t="s">
        <v>2854</v>
      </c>
      <c r="G1010" s="9" t="s">
        <v>2855</v>
      </c>
      <c r="H1010" s="9" t="s">
        <v>2856</v>
      </c>
      <c r="I1010" s="10">
        <v>45527</v>
      </c>
    </row>
    <row r="1011" spans="1:9" x14ac:dyDescent="0.15">
      <c r="A1011" s="9">
        <v>1010</v>
      </c>
      <c r="B1011" s="9" t="s">
        <v>9</v>
      </c>
      <c r="C1011" s="9">
        <v>1912</v>
      </c>
      <c r="D1011" s="10">
        <v>45616</v>
      </c>
      <c r="E1011" s="13" t="str">
        <f>+HYPERLINK("http://trademark.i-assist.jp/data/china/image_1912th/80534605.pdf","80534605")</f>
        <v>80534605</v>
      </c>
      <c r="F1011" s="12" t="s">
        <v>2857</v>
      </c>
      <c r="G1011" s="9" t="s">
        <v>2833</v>
      </c>
      <c r="H1011" s="9" t="s">
        <v>2858</v>
      </c>
      <c r="I1011" s="10">
        <v>45527</v>
      </c>
    </row>
    <row r="1012" spans="1:9" x14ac:dyDescent="0.15">
      <c r="A1012" s="9">
        <v>1011</v>
      </c>
      <c r="B1012" s="9" t="s">
        <v>9</v>
      </c>
      <c r="C1012" s="9">
        <v>1912</v>
      </c>
      <c r="D1012" s="10">
        <v>45616</v>
      </c>
      <c r="E1012" s="13" t="str">
        <f>+HYPERLINK("http://trademark.i-assist.jp/data/china/image_1912th/80534634.pdf","80534634")</f>
        <v>80534634</v>
      </c>
      <c r="F1012" s="9" t="s">
        <v>2859</v>
      </c>
      <c r="G1012" s="9" t="s">
        <v>2860</v>
      </c>
      <c r="H1012" s="9" t="s">
        <v>2861</v>
      </c>
      <c r="I1012" s="10">
        <v>45527</v>
      </c>
    </row>
    <row r="1013" spans="1:9" x14ac:dyDescent="0.15">
      <c r="A1013" s="9">
        <v>1012</v>
      </c>
      <c r="B1013" s="9" t="s">
        <v>9</v>
      </c>
      <c r="C1013" s="9">
        <v>1912</v>
      </c>
      <c r="D1013" s="10">
        <v>45616</v>
      </c>
      <c r="E1013" s="13" t="str">
        <f>+HYPERLINK("http://trademark.i-assist.jp/data/china/image_1912th/80534756.pdf","80534756")</f>
        <v>80534756</v>
      </c>
      <c r="F1013" s="12" t="s">
        <v>2862</v>
      </c>
      <c r="G1013" s="9" t="s">
        <v>2863</v>
      </c>
      <c r="H1013" s="12" t="s">
        <v>2864</v>
      </c>
      <c r="I1013" s="10">
        <v>45527</v>
      </c>
    </row>
    <row r="1014" spans="1:9" x14ac:dyDescent="0.15">
      <c r="A1014" s="9">
        <v>1013</v>
      </c>
      <c r="B1014" s="9" t="s">
        <v>9</v>
      </c>
      <c r="C1014" s="9">
        <v>1912</v>
      </c>
      <c r="D1014" s="10">
        <v>45616</v>
      </c>
      <c r="E1014" s="13" t="str">
        <f>+HYPERLINK("http://trademark.i-assist.jp/data/china/image_1912th/80535203.pdf","80535203")</f>
        <v>80535203</v>
      </c>
      <c r="F1014" s="9" t="s">
        <v>2865</v>
      </c>
      <c r="G1014" s="12" t="s">
        <v>2805</v>
      </c>
      <c r="H1014" s="9" t="s">
        <v>2866</v>
      </c>
      <c r="I1014" s="10">
        <v>45527</v>
      </c>
    </row>
    <row r="1015" spans="1:9" x14ac:dyDescent="0.15">
      <c r="A1015" s="9">
        <v>1014</v>
      </c>
      <c r="B1015" s="9" t="s">
        <v>9</v>
      </c>
      <c r="C1015" s="9">
        <v>1912</v>
      </c>
      <c r="D1015" s="10">
        <v>45616</v>
      </c>
      <c r="E1015" s="13" t="str">
        <f>+HYPERLINK("http://trademark.i-assist.jp/data/china/image_1912th/80535595.pdf","80535595")</f>
        <v>80535595</v>
      </c>
      <c r="F1015" s="9" t="s">
        <v>2867</v>
      </c>
      <c r="G1015" s="9" t="s">
        <v>2868</v>
      </c>
      <c r="H1015" s="9" t="s">
        <v>2869</v>
      </c>
      <c r="I1015" s="10">
        <v>45527</v>
      </c>
    </row>
    <row r="1016" spans="1:9" x14ac:dyDescent="0.15">
      <c r="A1016" s="9">
        <v>1015</v>
      </c>
      <c r="B1016" s="9" t="s">
        <v>9</v>
      </c>
      <c r="C1016" s="9">
        <v>1912</v>
      </c>
      <c r="D1016" s="10">
        <v>45616</v>
      </c>
      <c r="E1016" s="13" t="str">
        <f>+HYPERLINK("http://trademark.i-assist.jp/data/china/image_1912th/80535936.pdf","80535936")</f>
        <v>80535936</v>
      </c>
      <c r="F1016" s="9" t="s">
        <v>2870</v>
      </c>
      <c r="G1016" s="9" t="s">
        <v>27</v>
      </c>
      <c r="H1016" s="9" t="s">
        <v>2871</v>
      </c>
      <c r="I1016" s="10">
        <v>45527</v>
      </c>
    </row>
    <row r="1017" spans="1:9" x14ac:dyDescent="0.15">
      <c r="A1017" s="9">
        <v>1016</v>
      </c>
      <c r="B1017" s="9" t="s">
        <v>9</v>
      </c>
      <c r="C1017" s="9">
        <v>1912</v>
      </c>
      <c r="D1017" s="10">
        <v>45616</v>
      </c>
      <c r="E1017" s="13" t="str">
        <f>+HYPERLINK("http://trademark.i-assist.jp/data/china/image_1912th/80536356.pdf","80536356")</f>
        <v>80536356</v>
      </c>
      <c r="F1017" s="12" t="s">
        <v>2872</v>
      </c>
      <c r="G1017" s="9" t="s">
        <v>2873</v>
      </c>
      <c r="H1017" s="9" t="s">
        <v>2874</v>
      </c>
      <c r="I1017" s="10">
        <v>45527</v>
      </c>
    </row>
    <row r="1018" spans="1:9" x14ac:dyDescent="0.15">
      <c r="A1018" s="9">
        <v>1017</v>
      </c>
      <c r="B1018" s="9" t="s">
        <v>9</v>
      </c>
      <c r="C1018" s="9">
        <v>1912</v>
      </c>
      <c r="D1018" s="10">
        <v>45616</v>
      </c>
      <c r="E1018" s="13" t="str">
        <f>+HYPERLINK("http://trademark.i-assist.jp/data/china/image_1912th/80536464.pdf","80536464")</f>
        <v>80536464</v>
      </c>
      <c r="F1018" s="9" t="s">
        <v>2875</v>
      </c>
      <c r="G1018" s="12" t="s">
        <v>2799</v>
      </c>
      <c r="H1018" s="9" t="s">
        <v>2876</v>
      </c>
      <c r="I1018" s="10">
        <v>45527</v>
      </c>
    </row>
    <row r="1019" spans="1:9" x14ac:dyDescent="0.15">
      <c r="A1019" s="9">
        <v>1018</v>
      </c>
      <c r="B1019" s="9" t="s">
        <v>9</v>
      </c>
      <c r="C1019" s="9">
        <v>1912</v>
      </c>
      <c r="D1019" s="10">
        <v>45616</v>
      </c>
      <c r="E1019" s="13" t="str">
        <f>+HYPERLINK("http://trademark.i-assist.jp/data/china/image_1912th/80537454.pdf","80537454")</f>
        <v>80537454</v>
      </c>
      <c r="F1019" s="9" t="s">
        <v>2877</v>
      </c>
      <c r="G1019" s="12" t="s">
        <v>2878</v>
      </c>
      <c r="H1019" s="9" t="s">
        <v>2879</v>
      </c>
      <c r="I1019" s="10">
        <v>45527</v>
      </c>
    </row>
    <row r="1020" spans="1:9" x14ac:dyDescent="0.15">
      <c r="A1020" s="9">
        <v>1019</v>
      </c>
      <c r="B1020" s="9" t="s">
        <v>9</v>
      </c>
      <c r="C1020" s="9">
        <v>1912</v>
      </c>
      <c r="D1020" s="10">
        <v>45616</v>
      </c>
      <c r="E1020" s="13" t="str">
        <f>+HYPERLINK("http://trademark.i-assist.jp/data/china/image_1912th/80537949.pdf","80537949")</f>
        <v>80537949</v>
      </c>
      <c r="F1020" s="9" t="s">
        <v>2880</v>
      </c>
      <c r="G1020" s="9" t="s">
        <v>2881</v>
      </c>
      <c r="H1020" s="9" t="s">
        <v>2882</v>
      </c>
      <c r="I1020" s="10">
        <v>45527</v>
      </c>
    </row>
    <row r="1021" spans="1:9" x14ac:dyDescent="0.15">
      <c r="A1021" s="9">
        <v>1020</v>
      </c>
      <c r="B1021" s="9" t="s">
        <v>9</v>
      </c>
      <c r="C1021" s="9">
        <v>1912</v>
      </c>
      <c r="D1021" s="10">
        <v>45616</v>
      </c>
      <c r="E1021" s="13" t="str">
        <f>+HYPERLINK("http://trademark.i-assist.jp/data/china/image_1912th/80538381.pdf","80538381")</f>
        <v>80538381</v>
      </c>
      <c r="F1021" s="9" t="s">
        <v>2883</v>
      </c>
      <c r="G1021" s="9" t="s">
        <v>2884</v>
      </c>
      <c r="H1021" s="9" t="s">
        <v>2885</v>
      </c>
      <c r="I1021" s="10">
        <v>45527</v>
      </c>
    </row>
    <row r="1022" spans="1:9" x14ac:dyDescent="0.15">
      <c r="A1022" s="9">
        <v>1021</v>
      </c>
      <c r="B1022" s="9" t="s">
        <v>9</v>
      </c>
      <c r="C1022" s="9">
        <v>1912</v>
      </c>
      <c r="D1022" s="10">
        <v>45616</v>
      </c>
      <c r="E1022" s="13" t="str">
        <f>+HYPERLINK("http://trademark.i-assist.jp/data/china/image_1912th/80538657.pdf","80538657")</f>
        <v>80538657</v>
      </c>
      <c r="F1022" s="9" t="s">
        <v>2886</v>
      </c>
      <c r="G1022" s="9" t="s">
        <v>2887</v>
      </c>
      <c r="H1022" s="9" t="s">
        <v>2888</v>
      </c>
      <c r="I1022" s="10">
        <v>45527</v>
      </c>
    </row>
    <row r="1023" spans="1:9" x14ac:dyDescent="0.15">
      <c r="A1023" s="9">
        <v>1022</v>
      </c>
      <c r="B1023" s="9" t="s">
        <v>9</v>
      </c>
      <c r="C1023" s="9">
        <v>1912</v>
      </c>
      <c r="D1023" s="10">
        <v>45616</v>
      </c>
      <c r="E1023" s="13" t="str">
        <f>+HYPERLINK("http://trademark.i-assist.jp/data/china/image_1912th/80539192.pdf","80539192")</f>
        <v>80539192</v>
      </c>
      <c r="F1023" s="12" t="s">
        <v>15</v>
      </c>
      <c r="G1023" s="9" t="s">
        <v>2889</v>
      </c>
      <c r="H1023" s="9" t="s">
        <v>2890</v>
      </c>
      <c r="I1023" s="10">
        <v>45527</v>
      </c>
    </row>
    <row r="1024" spans="1:9" x14ac:dyDescent="0.15">
      <c r="A1024" s="9">
        <v>1023</v>
      </c>
      <c r="B1024" s="9" t="s">
        <v>9</v>
      </c>
      <c r="C1024" s="9">
        <v>1912</v>
      </c>
      <c r="D1024" s="10">
        <v>45616</v>
      </c>
      <c r="E1024" s="13" t="str">
        <f>+HYPERLINK("http://trademark.i-assist.jp/data/china/image_1912th/80539667.pdf","80539667")</f>
        <v>80539667</v>
      </c>
      <c r="F1024" s="9" t="s">
        <v>2891</v>
      </c>
      <c r="G1024" s="9" t="s">
        <v>2787</v>
      </c>
      <c r="H1024" s="9" t="s">
        <v>2892</v>
      </c>
      <c r="I1024" s="10">
        <v>45527</v>
      </c>
    </row>
    <row r="1025" spans="1:9" x14ac:dyDescent="0.15">
      <c r="A1025" s="9">
        <v>1024</v>
      </c>
      <c r="B1025" s="9" t="s">
        <v>9</v>
      </c>
      <c r="C1025" s="9">
        <v>1912</v>
      </c>
      <c r="D1025" s="10">
        <v>45616</v>
      </c>
      <c r="E1025" s="13" t="str">
        <f>+HYPERLINK("http://trademark.i-assist.jp/data/china/image_1912th/80539837.pdf","80539837")</f>
        <v>80539837</v>
      </c>
      <c r="F1025" s="9" t="s">
        <v>2893</v>
      </c>
      <c r="G1025" s="12" t="s">
        <v>2894</v>
      </c>
      <c r="H1025" s="9" t="s">
        <v>2895</v>
      </c>
      <c r="I1025" s="10">
        <v>45527</v>
      </c>
    </row>
    <row r="1026" spans="1:9" x14ac:dyDescent="0.15">
      <c r="A1026" s="9">
        <v>1025</v>
      </c>
      <c r="B1026" s="9" t="s">
        <v>9</v>
      </c>
      <c r="C1026" s="9">
        <v>1912</v>
      </c>
      <c r="D1026" s="10">
        <v>45616</v>
      </c>
      <c r="E1026" s="13" t="str">
        <f>+HYPERLINK("http://trademark.i-assist.jp/data/china/image_1912th/80540213.pdf","80540213")</f>
        <v>80540213</v>
      </c>
      <c r="F1026" s="9" t="s">
        <v>2896</v>
      </c>
      <c r="G1026" s="12" t="s">
        <v>1196</v>
      </c>
      <c r="H1026" s="9" t="s">
        <v>2897</v>
      </c>
      <c r="I1026" s="10">
        <v>45527</v>
      </c>
    </row>
    <row r="1027" spans="1:9" x14ac:dyDescent="0.15">
      <c r="A1027" s="9">
        <v>1026</v>
      </c>
      <c r="B1027" s="9" t="s">
        <v>9</v>
      </c>
      <c r="C1027" s="9">
        <v>1912</v>
      </c>
      <c r="D1027" s="10">
        <v>45616</v>
      </c>
      <c r="E1027" s="13" t="str">
        <f>+HYPERLINK("http://trademark.i-assist.jp/data/china/image_1912th/80540227.pdf","80540227")</f>
        <v>80540227</v>
      </c>
      <c r="F1027" s="9" t="s">
        <v>2898</v>
      </c>
      <c r="G1027" s="12" t="s">
        <v>2819</v>
      </c>
      <c r="H1027" s="9" t="s">
        <v>2899</v>
      </c>
      <c r="I1027" s="10">
        <v>45527</v>
      </c>
    </row>
    <row r="1028" spans="1:9" x14ac:dyDescent="0.15">
      <c r="A1028" s="9">
        <v>1027</v>
      </c>
      <c r="B1028" s="9" t="s">
        <v>9</v>
      </c>
      <c r="C1028" s="9">
        <v>1912</v>
      </c>
      <c r="D1028" s="10">
        <v>45616</v>
      </c>
      <c r="E1028" s="13" t="str">
        <f>+HYPERLINK("http://trademark.i-assist.jp/data/china/image_1912th/80540539.pdf","80540539")</f>
        <v>80540539</v>
      </c>
      <c r="F1028" s="9" t="s">
        <v>2900</v>
      </c>
      <c r="G1028" s="9" t="s">
        <v>2901</v>
      </c>
      <c r="H1028" s="9" t="s">
        <v>2902</v>
      </c>
      <c r="I1028" s="10">
        <v>45527</v>
      </c>
    </row>
    <row r="1029" spans="1:9" x14ac:dyDescent="0.15">
      <c r="A1029" s="9">
        <v>1028</v>
      </c>
      <c r="B1029" s="9" t="s">
        <v>9</v>
      </c>
      <c r="C1029" s="9">
        <v>1912</v>
      </c>
      <c r="D1029" s="10">
        <v>45616</v>
      </c>
      <c r="E1029" s="13" t="str">
        <f>+HYPERLINK("http://trademark.i-assist.jp/data/china/image_1912th/80540675.pdf","80540675")</f>
        <v>80540675</v>
      </c>
      <c r="F1029" s="9" t="s">
        <v>2903</v>
      </c>
      <c r="G1029" s="9" t="s">
        <v>2904</v>
      </c>
      <c r="H1029" s="9" t="s">
        <v>2905</v>
      </c>
      <c r="I1029" s="10">
        <v>45527</v>
      </c>
    </row>
    <row r="1030" spans="1:9" x14ac:dyDescent="0.15">
      <c r="A1030" s="9">
        <v>1029</v>
      </c>
      <c r="B1030" s="9" t="s">
        <v>9</v>
      </c>
      <c r="C1030" s="9">
        <v>1912</v>
      </c>
      <c r="D1030" s="10">
        <v>45616</v>
      </c>
      <c r="E1030" s="13" t="str">
        <f>+HYPERLINK("http://trademark.i-assist.jp/data/china/image_1912th/80541136.pdf","80541136")</f>
        <v>80541136</v>
      </c>
      <c r="F1030" s="9" t="s">
        <v>2906</v>
      </c>
      <c r="G1030" s="12" t="s">
        <v>2907</v>
      </c>
      <c r="H1030" s="9" t="s">
        <v>2908</v>
      </c>
      <c r="I1030" s="10">
        <v>45527</v>
      </c>
    </row>
    <row r="1031" spans="1:9" x14ac:dyDescent="0.15">
      <c r="A1031" s="9">
        <v>1030</v>
      </c>
      <c r="B1031" s="9" t="s">
        <v>9</v>
      </c>
      <c r="C1031" s="9">
        <v>1912</v>
      </c>
      <c r="D1031" s="10">
        <v>45616</v>
      </c>
      <c r="E1031" s="13" t="str">
        <f>+HYPERLINK("http://trademark.i-assist.jp/data/china/image_1912th/80541274.pdf","80541274")</f>
        <v>80541274</v>
      </c>
      <c r="F1031" s="9" t="s">
        <v>2909</v>
      </c>
      <c r="G1031" s="9" t="s">
        <v>2910</v>
      </c>
      <c r="H1031" s="9" t="s">
        <v>2911</v>
      </c>
      <c r="I1031" s="10">
        <v>45527</v>
      </c>
    </row>
    <row r="1032" spans="1:9" x14ac:dyDescent="0.15">
      <c r="A1032" s="9">
        <v>1031</v>
      </c>
      <c r="B1032" s="9" t="s">
        <v>9</v>
      </c>
      <c r="C1032" s="9">
        <v>1912</v>
      </c>
      <c r="D1032" s="10">
        <v>45616</v>
      </c>
      <c r="E1032" s="13" t="str">
        <f>+HYPERLINK("http://trademark.i-assist.jp/data/china/image_1912th/80541292.pdf","80541292")</f>
        <v>80541292</v>
      </c>
      <c r="F1032" s="9" t="s">
        <v>2912</v>
      </c>
      <c r="G1032" s="12" t="s">
        <v>1196</v>
      </c>
      <c r="H1032" s="9" t="s">
        <v>2913</v>
      </c>
      <c r="I1032" s="10">
        <v>45527</v>
      </c>
    </row>
    <row r="1033" spans="1:9" x14ac:dyDescent="0.15">
      <c r="A1033" s="9">
        <v>1032</v>
      </c>
      <c r="B1033" s="9" t="s">
        <v>9</v>
      </c>
      <c r="C1033" s="9">
        <v>1912</v>
      </c>
      <c r="D1033" s="10">
        <v>45616</v>
      </c>
      <c r="E1033" s="13" t="str">
        <f>+HYPERLINK("http://trademark.i-assist.jp/data/china/image_1912th/80541350.pdf","80541350")</f>
        <v>80541350</v>
      </c>
      <c r="F1033" s="12" t="s">
        <v>2914</v>
      </c>
      <c r="G1033" s="9" t="s">
        <v>2915</v>
      </c>
      <c r="H1033" s="9" t="s">
        <v>2916</v>
      </c>
      <c r="I1033" s="10">
        <v>45527</v>
      </c>
    </row>
    <row r="1034" spans="1:9" x14ac:dyDescent="0.15">
      <c r="A1034" s="9">
        <v>1033</v>
      </c>
      <c r="B1034" s="9" t="s">
        <v>9</v>
      </c>
      <c r="C1034" s="9">
        <v>1912</v>
      </c>
      <c r="D1034" s="10">
        <v>45616</v>
      </c>
      <c r="E1034" s="13" t="str">
        <f>+HYPERLINK("http://trademark.i-assist.jp/data/china/image_1912th/80541450.pdf","80541450")</f>
        <v>80541450</v>
      </c>
      <c r="F1034" s="9" t="s">
        <v>2917</v>
      </c>
      <c r="G1034" s="9" t="s">
        <v>2918</v>
      </c>
      <c r="H1034" s="9" t="s">
        <v>2919</v>
      </c>
      <c r="I1034" s="10">
        <v>45527</v>
      </c>
    </row>
    <row r="1035" spans="1:9" x14ac:dyDescent="0.15">
      <c r="A1035" s="9">
        <v>1034</v>
      </c>
      <c r="B1035" s="9" t="s">
        <v>9</v>
      </c>
      <c r="C1035" s="9">
        <v>1912</v>
      </c>
      <c r="D1035" s="10">
        <v>45616</v>
      </c>
      <c r="E1035" s="13" t="str">
        <f>+HYPERLINK("http://trademark.i-assist.jp/data/china/image_1912th/80541694.pdf","80541694")</f>
        <v>80541694</v>
      </c>
      <c r="F1035" s="9" t="s">
        <v>2920</v>
      </c>
      <c r="G1035" s="9" t="s">
        <v>2921</v>
      </c>
      <c r="H1035" s="9" t="s">
        <v>2922</v>
      </c>
      <c r="I1035" s="10">
        <v>45527</v>
      </c>
    </row>
    <row r="1036" spans="1:9" x14ac:dyDescent="0.15">
      <c r="A1036" s="9">
        <v>1035</v>
      </c>
      <c r="B1036" s="9" t="s">
        <v>9</v>
      </c>
      <c r="C1036" s="9">
        <v>1912</v>
      </c>
      <c r="D1036" s="10">
        <v>45616</v>
      </c>
      <c r="E1036" s="13" t="str">
        <f>+HYPERLINK("http://trademark.i-assist.jp/data/china/image_1912th/80541739.pdf","80541739")</f>
        <v>80541739</v>
      </c>
      <c r="F1036" s="9" t="s">
        <v>2923</v>
      </c>
      <c r="G1036" s="9" t="s">
        <v>2924</v>
      </c>
      <c r="H1036" s="9" t="s">
        <v>2925</v>
      </c>
      <c r="I1036" s="10">
        <v>45527</v>
      </c>
    </row>
    <row r="1037" spans="1:9" x14ac:dyDescent="0.15">
      <c r="A1037" s="9">
        <v>1036</v>
      </c>
      <c r="B1037" s="9" t="s">
        <v>9</v>
      </c>
      <c r="C1037" s="9">
        <v>1912</v>
      </c>
      <c r="D1037" s="10">
        <v>45616</v>
      </c>
      <c r="E1037" s="13" t="str">
        <f>+HYPERLINK("http://trademark.i-assist.jp/data/china/image_1912th/80542104.pdf","80542104")</f>
        <v>80542104</v>
      </c>
      <c r="F1037" s="9" t="s">
        <v>2926</v>
      </c>
      <c r="G1037" s="9" t="s">
        <v>2927</v>
      </c>
      <c r="H1037" s="12" t="s">
        <v>2928</v>
      </c>
      <c r="I1037" s="10">
        <v>45527</v>
      </c>
    </row>
    <row r="1038" spans="1:9" x14ac:dyDescent="0.15">
      <c r="A1038" s="9">
        <v>1037</v>
      </c>
      <c r="B1038" s="9" t="s">
        <v>9</v>
      </c>
      <c r="C1038" s="9">
        <v>1912</v>
      </c>
      <c r="D1038" s="10">
        <v>45616</v>
      </c>
      <c r="E1038" s="13" t="str">
        <f>+HYPERLINK("http://trademark.i-assist.jp/data/china/image_1912th/80542647.pdf","80542647")</f>
        <v>80542647</v>
      </c>
      <c r="F1038" s="9" t="s">
        <v>2929</v>
      </c>
      <c r="G1038" s="9" t="s">
        <v>2860</v>
      </c>
      <c r="H1038" s="9" t="s">
        <v>2930</v>
      </c>
      <c r="I1038" s="10">
        <v>45527</v>
      </c>
    </row>
    <row r="1039" spans="1:9" x14ac:dyDescent="0.15">
      <c r="A1039" s="9">
        <v>1038</v>
      </c>
      <c r="B1039" s="9" t="s">
        <v>9</v>
      </c>
      <c r="C1039" s="9">
        <v>1912</v>
      </c>
      <c r="D1039" s="10">
        <v>45616</v>
      </c>
      <c r="E1039" s="13" t="str">
        <f>+HYPERLINK("http://trademark.i-assist.jp/data/china/image_1912th/80542784.pdf","80542784")</f>
        <v>80542784</v>
      </c>
      <c r="F1039" s="12" t="s">
        <v>2931</v>
      </c>
      <c r="G1039" s="12" t="s">
        <v>2808</v>
      </c>
      <c r="H1039" s="9" t="s">
        <v>2932</v>
      </c>
      <c r="I1039" s="10">
        <v>45527</v>
      </c>
    </row>
    <row r="1040" spans="1:9" x14ac:dyDescent="0.15">
      <c r="A1040" s="9">
        <v>1039</v>
      </c>
      <c r="B1040" s="9" t="s">
        <v>9</v>
      </c>
      <c r="C1040" s="9">
        <v>1912</v>
      </c>
      <c r="D1040" s="10">
        <v>45616</v>
      </c>
      <c r="E1040" s="13" t="str">
        <f>+HYPERLINK("http://trademark.i-assist.jp/data/china/image_1912th/80542909.pdf","80542909")</f>
        <v>80542909</v>
      </c>
      <c r="F1040" s="12" t="s">
        <v>2933</v>
      </c>
      <c r="G1040" s="9" t="s">
        <v>2934</v>
      </c>
      <c r="H1040" s="9" t="s">
        <v>2935</v>
      </c>
      <c r="I1040" s="10">
        <v>45527</v>
      </c>
    </row>
    <row r="1041" spans="1:9" x14ac:dyDescent="0.15">
      <c r="A1041" s="9">
        <v>1040</v>
      </c>
      <c r="B1041" s="9" t="s">
        <v>9</v>
      </c>
      <c r="C1041" s="9">
        <v>1912</v>
      </c>
      <c r="D1041" s="10">
        <v>45616</v>
      </c>
      <c r="E1041" s="13" t="str">
        <f>+HYPERLINK("http://trademark.i-assist.jp/data/china/image_1912th/80543130.pdf","80543130")</f>
        <v>80543130</v>
      </c>
      <c r="F1041" s="9" t="s">
        <v>2936</v>
      </c>
      <c r="G1041" s="12" t="s">
        <v>2805</v>
      </c>
      <c r="H1041" s="9" t="s">
        <v>2937</v>
      </c>
      <c r="I1041" s="10">
        <v>45527</v>
      </c>
    </row>
    <row r="1042" spans="1:9" x14ac:dyDescent="0.15">
      <c r="A1042" s="9">
        <v>1041</v>
      </c>
      <c r="B1042" s="9" t="s">
        <v>9</v>
      </c>
      <c r="C1042" s="9">
        <v>1912</v>
      </c>
      <c r="D1042" s="10">
        <v>45616</v>
      </c>
      <c r="E1042" s="13" t="str">
        <f>+HYPERLINK("http://trademark.i-assist.jp/data/china/image_1912th/80543299.pdf","80543299")</f>
        <v>80543299</v>
      </c>
      <c r="F1042" s="12" t="s">
        <v>2938</v>
      </c>
      <c r="G1042" s="12" t="s">
        <v>2939</v>
      </c>
      <c r="H1042" s="9" t="s">
        <v>2940</v>
      </c>
      <c r="I1042" s="10">
        <v>45527</v>
      </c>
    </row>
    <row r="1043" spans="1:9" x14ac:dyDescent="0.15">
      <c r="A1043" s="9">
        <v>1042</v>
      </c>
      <c r="B1043" s="9" t="s">
        <v>9</v>
      </c>
      <c r="C1043" s="9">
        <v>1912</v>
      </c>
      <c r="D1043" s="10">
        <v>45616</v>
      </c>
      <c r="E1043" s="13" t="str">
        <f>+HYPERLINK("http://trademark.i-assist.jp/data/china/image_1912th/80543331.pdf","80543331")</f>
        <v>80543331</v>
      </c>
      <c r="F1043" s="9" t="s">
        <v>2941</v>
      </c>
      <c r="G1043" s="12" t="s">
        <v>2836</v>
      </c>
      <c r="H1043" s="9" t="s">
        <v>2942</v>
      </c>
      <c r="I1043" s="10">
        <v>45527</v>
      </c>
    </row>
    <row r="1044" spans="1:9" x14ac:dyDescent="0.15">
      <c r="A1044" s="9">
        <v>1043</v>
      </c>
      <c r="B1044" s="9" t="s">
        <v>9</v>
      </c>
      <c r="C1044" s="9">
        <v>1912</v>
      </c>
      <c r="D1044" s="10">
        <v>45616</v>
      </c>
      <c r="E1044" s="13" t="str">
        <f>+HYPERLINK("http://trademark.i-assist.jp/data/china/image_1912th/80543527.pdf","80543527")</f>
        <v>80543527</v>
      </c>
      <c r="F1044" s="9" t="s">
        <v>2943</v>
      </c>
      <c r="G1044" s="9" t="s">
        <v>2944</v>
      </c>
      <c r="H1044" s="9" t="s">
        <v>2945</v>
      </c>
      <c r="I1044" s="10">
        <v>45527</v>
      </c>
    </row>
    <row r="1045" spans="1:9" x14ac:dyDescent="0.15">
      <c r="A1045" s="9">
        <v>1044</v>
      </c>
      <c r="B1045" s="9" t="s">
        <v>9</v>
      </c>
      <c r="C1045" s="9">
        <v>1912</v>
      </c>
      <c r="D1045" s="10">
        <v>45616</v>
      </c>
      <c r="E1045" s="13" t="str">
        <f>+HYPERLINK("http://trademark.i-assist.jp/data/china/image_1912th/80543712.pdf","80543712")</f>
        <v>80543712</v>
      </c>
      <c r="F1045" s="9" t="s">
        <v>2946</v>
      </c>
      <c r="G1045" s="9" t="s">
        <v>2901</v>
      </c>
      <c r="H1045" s="9" t="s">
        <v>2947</v>
      </c>
      <c r="I1045" s="10">
        <v>45527</v>
      </c>
    </row>
    <row r="1046" spans="1:9" x14ac:dyDescent="0.15">
      <c r="A1046" s="9">
        <v>1045</v>
      </c>
      <c r="B1046" s="9" t="s">
        <v>9</v>
      </c>
      <c r="C1046" s="9">
        <v>1912</v>
      </c>
      <c r="D1046" s="10">
        <v>45616</v>
      </c>
      <c r="E1046" s="13" t="str">
        <f>+HYPERLINK("http://trademark.i-assist.jp/data/china/image_1912th/80543944.pdf","80543944")</f>
        <v>80543944</v>
      </c>
      <c r="F1046" s="12" t="s">
        <v>2948</v>
      </c>
      <c r="G1046" s="12" t="s">
        <v>2949</v>
      </c>
      <c r="H1046" s="9" t="s">
        <v>2950</v>
      </c>
      <c r="I1046" s="10">
        <v>45527</v>
      </c>
    </row>
    <row r="1047" spans="1:9" x14ac:dyDescent="0.15">
      <c r="A1047" s="9">
        <v>1046</v>
      </c>
      <c r="B1047" s="9" t="s">
        <v>9</v>
      </c>
      <c r="C1047" s="9">
        <v>1912</v>
      </c>
      <c r="D1047" s="10">
        <v>45616</v>
      </c>
      <c r="E1047" s="13" t="str">
        <f>+HYPERLINK("http://trademark.i-assist.jp/data/china/image_1912th/80544197.pdf","80544197")</f>
        <v>80544197</v>
      </c>
      <c r="F1047" s="12" t="s">
        <v>2951</v>
      </c>
      <c r="G1047" s="9" t="s">
        <v>2952</v>
      </c>
      <c r="H1047" s="9" t="s">
        <v>2953</v>
      </c>
      <c r="I1047" s="10">
        <v>45527</v>
      </c>
    </row>
    <row r="1048" spans="1:9" x14ac:dyDescent="0.15">
      <c r="A1048" s="9">
        <v>1047</v>
      </c>
      <c r="B1048" s="9" t="s">
        <v>9</v>
      </c>
      <c r="C1048" s="9">
        <v>1912</v>
      </c>
      <c r="D1048" s="10">
        <v>45616</v>
      </c>
      <c r="E1048" s="13" t="str">
        <f>+HYPERLINK("http://trademark.i-assist.jp/data/china/image_1912th/80544886.pdf","80544886")</f>
        <v>80544886</v>
      </c>
      <c r="F1048" s="9" t="s">
        <v>2954</v>
      </c>
      <c r="G1048" s="12" t="s">
        <v>2955</v>
      </c>
      <c r="H1048" s="9" t="s">
        <v>2956</v>
      </c>
      <c r="I1048" s="10">
        <v>45527</v>
      </c>
    </row>
    <row r="1049" spans="1:9" x14ac:dyDescent="0.15">
      <c r="A1049" s="9">
        <v>1048</v>
      </c>
      <c r="B1049" s="9" t="s">
        <v>9</v>
      </c>
      <c r="C1049" s="9">
        <v>1912</v>
      </c>
      <c r="D1049" s="10">
        <v>45616</v>
      </c>
      <c r="E1049" s="13" t="str">
        <f>+HYPERLINK("http://trademark.i-assist.jp/data/china/image_1912th/80545292.pdf","80545292")</f>
        <v>80545292</v>
      </c>
      <c r="F1049" s="9" t="s">
        <v>2957</v>
      </c>
      <c r="G1049" s="12" t="s">
        <v>1196</v>
      </c>
      <c r="H1049" s="9" t="s">
        <v>2958</v>
      </c>
      <c r="I1049" s="10">
        <v>45527</v>
      </c>
    </row>
    <row r="1050" spans="1:9" x14ac:dyDescent="0.15">
      <c r="A1050" s="9">
        <v>1049</v>
      </c>
      <c r="B1050" s="9" t="s">
        <v>9</v>
      </c>
      <c r="C1050" s="9">
        <v>1912</v>
      </c>
      <c r="D1050" s="10">
        <v>45616</v>
      </c>
      <c r="E1050" s="13" t="str">
        <f>+HYPERLINK("http://trademark.i-assist.jp/data/china/image_1912th/80546036.pdf","80546036")</f>
        <v>80546036</v>
      </c>
      <c r="F1050" s="9" t="s">
        <v>2959</v>
      </c>
      <c r="G1050" s="12" t="s">
        <v>2960</v>
      </c>
      <c r="H1050" s="9" t="s">
        <v>2961</v>
      </c>
      <c r="I1050" s="10">
        <v>45528</v>
      </c>
    </row>
    <row r="1051" spans="1:9" x14ac:dyDescent="0.15">
      <c r="A1051" s="9">
        <v>1050</v>
      </c>
      <c r="B1051" s="9" t="s">
        <v>9</v>
      </c>
      <c r="C1051" s="9">
        <v>1912</v>
      </c>
      <c r="D1051" s="10">
        <v>45616</v>
      </c>
      <c r="E1051" s="13" t="str">
        <f>+HYPERLINK("http://trademark.i-assist.jp/data/china/image_1912th/80546076.pdf","80546076")</f>
        <v>80546076</v>
      </c>
      <c r="F1051" s="12" t="s">
        <v>2962</v>
      </c>
      <c r="G1051" s="9" t="s">
        <v>2963</v>
      </c>
      <c r="H1051" s="9" t="s">
        <v>2964</v>
      </c>
      <c r="I1051" s="10">
        <v>45528</v>
      </c>
    </row>
    <row r="1052" spans="1:9" x14ac:dyDescent="0.15">
      <c r="A1052" s="9">
        <v>1051</v>
      </c>
      <c r="B1052" s="9" t="s">
        <v>9</v>
      </c>
      <c r="C1052" s="9">
        <v>1912</v>
      </c>
      <c r="D1052" s="10">
        <v>45616</v>
      </c>
      <c r="E1052" s="13" t="str">
        <f>+HYPERLINK("http://trademark.i-assist.jp/data/china/image_1912th/80546193.pdf","80546193")</f>
        <v>80546193</v>
      </c>
      <c r="F1052" s="9" t="s">
        <v>2965</v>
      </c>
      <c r="G1052" s="12" t="s">
        <v>2966</v>
      </c>
      <c r="H1052" s="9" t="s">
        <v>2967</v>
      </c>
      <c r="I1052" s="10">
        <v>45528</v>
      </c>
    </row>
    <row r="1053" spans="1:9" x14ac:dyDescent="0.15">
      <c r="A1053" s="9">
        <v>1052</v>
      </c>
      <c r="B1053" s="9" t="s">
        <v>9</v>
      </c>
      <c r="C1053" s="9">
        <v>1912</v>
      </c>
      <c r="D1053" s="10">
        <v>45616</v>
      </c>
      <c r="E1053" s="13" t="str">
        <f>+HYPERLINK("http://trademark.i-assist.jp/data/china/image_1912th/80546646.pdf","80546646")</f>
        <v>80546646</v>
      </c>
      <c r="F1053" s="9" t="s">
        <v>2968</v>
      </c>
      <c r="G1053" s="12" t="s">
        <v>2969</v>
      </c>
      <c r="H1053" s="9" t="s">
        <v>2970</v>
      </c>
      <c r="I1053" s="10">
        <v>45528</v>
      </c>
    </row>
    <row r="1054" spans="1:9" x14ac:dyDescent="0.15">
      <c r="A1054" s="9">
        <v>1053</v>
      </c>
      <c r="B1054" s="9" t="s">
        <v>9</v>
      </c>
      <c r="C1054" s="9">
        <v>1912</v>
      </c>
      <c r="D1054" s="10">
        <v>45616</v>
      </c>
      <c r="E1054" s="13" t="str">
        <f>+HYPERLINK("http://trademark.i-assist.jp/data/china/image_1912th/80546652.pdf","80546652")</f>
        <v>80546652</v>
      </c>
      <c r="F1054" s="9" t="s">
        <v>2971</v>
      </c>
      <c r="G1054" s="12" t="s">
        <v>2972</v>
      </c>
      <c r="H1054" s="9" t="s">
        <v>2973</v>
      </c>
      <c r="I1054" s="10">
        <v>45528</v>
      </c>
    </row>
    <row r="1055" spans="1:9" x14ac:dyDescent="0.15">
      <c r="A1055" s="9">
        <v>1054</v>
      </c>
      <c r="B1055" s="9" t="s">
        <v>9</v>
      </c>
      <c r="C1055" s="9">
        <v>1912</v>
      </c>
      <c r="D1055" s="10">
        <v>45616</v>
      </c>
      <c r="E1055" s="13" t="str">
        <f>+HYPERLINK("http://trademark.i-assist.jp/data/china/image_1912th/80546668.pdf","80546668")</f>
        <v>80546668</v>
      </c>
      <c r="F1055" s="11" t="s">
        <v>2974</v>
      </c>
      <c r="G1055" s="12" t="s">
        <v>2975</v>
      </c>
      <c r="H1055" s="9" t="s">
        <v>2976</v>
      </c>
      <c r="I1055" s="10">
        <v>45528</v>
      </c>
    </row>
    <row r="1056" spans="1:9" x14ac:dyDescent="0.15">
      <c r="A1056" s="9">
        <v>1055</v>
      </c>
      <c r="B1056" s="9" t="s">
        <v>9</v>
      </c>
      <c r="C1056" s="9">
        <v>1912</v>
      </c>
      <c r="D1056" s="10">
        <v>45616</v>
      </c>
      <c r="E1056" s="13" t="str">
        <f>+HYPERLINK("http://trademark.i-assist.jp/data/china/image_1912th/80546808.pdf","80546808")</f>
        <v>80546808</v>
      </c>
      <c r="F1056" s="9" t="s">
        <v>2977</v>
      </c>
      <c r="G1056" s="12" t="s">
        <v>2978</v>
      </c>
      <c r="H1056" s="9" t="s">
        <v>2979</v>
      </c>
      <c r="I1056" s="10">
        <v>45528</v>
      </c>
    </row>
    <row r="1057" spans="1:9" x14ac:dyDescent="0.15">
      <c r="A1057" s="9">
        <v>1056</v>
      </c>
      <c r="B1057" s="9" t="s">
        <v>9</v>
      </c>
      <c r="C1057" s="9">
        <v>1912</v>
      </c>
      <c r="D1057" s="10">
        <v>45616</v>
      </c>
      <c r="E1057" s="13" t="str">
        <f>+HYPERLINK("http://trademark.i-assist.jp/data/china/image_1912th/80546871.pdf","80546871")</f>
        <v>80546871</v>
      </c>
      <c r="F1057" s="9" t="s">
        <v>2980</v>
      </c>
      <c r="G1057" s="9" t="s">
        <v>2981</v>
      </c>
      <c r="H1057" s="9" t="s">
        <v>2982</v>
      </c>
      <c r="I1057" s="10">
        <v>45528</v>
      </c>
    </row>
    <row r="1058" spans="1:9" x14ac:dyDescent="0.15">
      <c r="A1058" s="9">
        <v>1057</v>
      </c>
      <c r="B1058" s="9" t="s">
        <v>9</v>
      </c>
      <c r="C1058" s="9">
        <v>1912</v>
      </c>
      <c r="D1058" s="10">
        <v>45616</v>
      </c>
      <c r="E1058" s="13" t="str">
        <f>+HYPERLINK("http://trademark.i-assist.jp/data/china/image_1912th/80547197.pdf","80547197")</f>
        <v>80547197</v>
      </c>
      <c r="F1058" s="9" t="s">
        <v>2983</v>
      </c>
      <c r="G1058" s="9" t="s">
        <v>2984</v>
      </c>
      <c r="H1058" s="9" t="s">
        <v>2985</v>
      </c>
      <c r="I1058" s="10">
        <v>45528</v>
      </c>
    </row>
    <row r="1059" spans="1:9" x14ac:dyDescent="0.15">
      <c r="A1059" s="9">
        <v>1058</v>
      </c>
      <c r="B1059" s="9" t="s">
        <v>9</v>
      </c>
      <c r="C1059" s="9">
        <v>1912</v>
      </c>
      <c r="D1059" s="10">
        <v>45616</v>
      </c>
      <c r="E1059" s="13" t="str">
        <f>+HYPERLINK("http://trademark.i-assist.jp/data/china/image_1912th/80547199.pdf","80547199")</f>
        <v>80547199</v>
      </c>
      <c r="F1059" s="9" t="s">
        <v>2986</v>
      </c>
      <c r="G1059" s="9" t="s">
        <v>2984</v>
      </c>
      <c r="H1059" s="9" t="s">
        <v>2987</v>
      </c>
      <c r="I1059" s="10">
        <v>45528</v>
      </c>
    </row>
    <row r="1060" spans="1:9" x14ac:dyDescent="0.15">
      <c r="A1060" s="9">
        <v>1059</v>
      </c>
      <c r="B1060" s="9" t="s">
        <v>9</v>
      </c>
      <c r="C1060" s="9">
        <v>1912</v>
      </c>
      <c r="D1060" s="10">
        <v>45616</v>
      </c>
      <c r="E1060" s="13" t="str">
        <f>+HYPERLINK("http://trademark.i-assist.jp/data/china/image_1912th/80547464.pdf","80547464")</f>
        <v>80547464</v>
      </c>
      <c r="F1060" s="9" t="s">
        <v>2988</v>
      </c>
      <c r="G1060" s="12" t="s">
        <v>2975</v>
      </c>
      <c r="H1060" s="12" t="s">
        <v>2989</v>
      </c>
      <c r="I1060" s="10">
        <v>45528</v>
      </c>
    </row>
    <row r="1061" spans="1:9" x14ac:dyDescent="0.15">
      <c r="A1061" s="9">
        <v>1060</v>
      </c>
      <c r="B1061" s="9" t="s">
        <v>9</v>
      </c>
      <c r="C1061" s="9">
        <v>1912</v>
      </c>
      <c r="D1061" s="10">
        <v>45616</v>
      </c>
      <c r="E1061" s="13" t="str">
        <f>+HYPERLINK("http://trademark.i-assist.jp/data/china/image_1912th/80547694.pdf","80547694")</f>
        <v>80547694</v>
      </c>
      <c r="F1061" s="9" t="s">
        <v>2990</v>
      </c>
      <c r="G1061" s="12" t="s">
        <v>2991</v>
      </c>
      <c r="H1061" s="9" t="s">
        <v>2992</v>
      </c>
      <c r="I1061" s="10">
        <v>45528</v>
      </c>
    </row>
    <row r="1062" spans="1:9" x14ac:dyDescent="0.15">
      <c r="A1062" s="9">
        <v>1061</v>
      </c>
      <c r="B1062" s="9" t="s">
        <v>9</v>
      </c>
      <c r="C1062" s="9">
        <v>1912</v>
      </c>
      <c r="D1062" s="10">
        <v>45616</v>
      </c>
      <c r="E1062" s="13" t="str">
        <f>+HYPERLINK("http://trademark.i-assist.jp/data/china/image_1912th/80548270.pdf","80548270")</f>
        <v>80548270</v>
      </c>
      <c r="F1062" s="9" t="s">
        <v>2993</v>
      </c>
      <c r="G1062" s="12" t="s">
        <v>2994</v>
      </c>
      <c r="H1062" s="9" t="s">
        <v>2995</v>
      </c>
      <c r="I1062" s="10">
        <v>45528</v>
      </c>
    </row>
    <row r="1063" spans="1:9" x14ac:dyDescent="0.15">
      <c r="A1063" s="9">
        <v>1062</v>
      </c>
      <c r="B1063" s="9" t="s">
        <v>9</v>
      </c>
      <c r="C1063" s="9">
        <v>1912</v>
      </c>
      <c r="D1063" s="10">
        <v>45616</v>
      </c>
      <c r="E1063" s="13" t="str">
        <f>+HYPERLINK("http://trademark.i-assist.jp/data/china/image_1912th/80548271.pdf","80548271")</f>
        <v>80548271</v>
      </c>
      <c r="F1063" s="9" t="s">
        <v>2996</v>
      </c>
      <c r="G1063" s="12" t="s">
        <v>2994</v>
      </c>
      <c r="H1063" s="9" t="s">
        <v>2997</v>
      </c>
      <c r="I1063" s="10">
        <v>45528</v>
      </c>
    </row>
    <row r="1064" spans="1:9" x14ac:dyDescent="0.15">
      <c r="A1064" s="9">
        <v>1063</v>
      </c>
      <c r="B1064" s="9" t="s">
        <v>9</v>
      </c>
      <c r="C1064" s="9">
        <v>1912</v>
      </c>
      <c r="D1064" s="10">
        <v>45616</v>
      </c>
      <c r="E1064" s="13" t="str">
        <f>+HYPERLINK("http://trademark.i-assist.jp/data/china/image_1912th/80548328.pdf","80548328")</f>
        <v>80548328</v>
      </c>
      <c r="F1064" s="9" t="s">
        <v>2998</v>
      </c>
      <c r="G1064" s="9" t="s">
        <v>2999</v>
      </c>
      <c r="H1064" s="9" t="s">
        <v>3000</v>
      </c>
      <c r="I1064" s="10">
        <v>45528</v>
      </c>
    </row>
    <row r="1065" spans="1:9" x14ac:dyDescent="0.15">
      <c r="A1065" s="9">
        <v>1064</v>
      </c>
      <c r="B1065" s="9" t="s">
        <v>9</v>
      </c>
      <c r="C1065" s="9">
        <v>1912</v>
      </c>
      <c r="D1065" s="10">
        <v>45616</v>
      </c>
      <c r="E1065" s="13" t="str">
        <f>+HYPERLINK("http://trademark.i-assist.jp/data/china/image_1912th/80548613.pdf","80548613")</f>
        <v>80548613</v>
      </c>
      <c r="F1065" s="9" t="s">
        <v>3001</v>
      </c>
      <c r="G1065" s="12" t="s">
        <v>3002</v>
      </c>
      <c r="H1065" s="9" t="s">
        <v>3003</v>
      </c>
      <c r="I1065" s="10">
        <v>45528</v>
      </c>
    </row>
    <row r="1066" spans="1:9" x14ac:dyDescent="0.15">
      <c r="A1066" s="9">
        <v>1065</v>
      </c>
      <c r="B1066" s="9" t="s">
        <v>9</v>
      </c>
      <c r="C1066" s="9">
        <v>1912</v>
      </c>
      <c r="D1066" s="10">
        <v>45616</v>
      </c>
      <c r="E1066" s="13" t="str">
        <f>+HYPERLINK("http://trademark.i-assist.jp/data/china/image_1912th/80548687.pdf","80548687")</f>
        <v>80548687</v>
      </c>
      <c r="F1066" s="12" t="s">
        <v>3004</v>
      </c>
      <c r="G1066" s="9" t="s">
        <v>2984</v>
      </c>
      <c r="H1066" s="12" t="s">
        <v>3005</v>
      </c>
      <c r="I1066" s="10">
        <v>45528</v>
      </c>
    </row>
    <row r="1067" spans="1:9" x14ac:dyDescent="0.15">
      <c r="A1067" s="9">
        <v>1066</v>
      </c>
      <c r="B1067" s="9" t="s">
        <v>9</v>
      </c>
      <c r="C1067" s="9">
        <v>1912</v>
      </c>
      <c r="D1067" s="10">
        <v>45616</v>
      </c>
      <c r="E1067" s="13" t="str">
        <f>+HYPERLINK("http://trademark.i-assist.jp/data/china/image_1912th/80548875.pdf","80548875")</f>
        <v>80548875</v>
      </c>
      <c r="F1067" s="9" t="s">
        <v>3006</v>
      </c>
      <c r="G1067" s="12" t="s">
        <v>2969</v>
      </c>
      <c r="H1067" s="9" t="s">
        <v>3007</v>
      </c>
      <c r="I1067" s="10">
        <v>45528</v>
      </c>
    </row>
    <row r="1068" spans="1:9" x14ac:dyDescent="0.15">
      <c r="A1068" s="9">
        <v>1067</v>
      </c>
      <c r="B1068" s="9" t="s">
        <v>9</v>
      </c>
      <c r="C1068" s="9">
        <v>1912</v>
      </c>
      <c r="D1068" s="10">
        <v>45616</v>
      </c>
      <c r="E1068" s="13" t="str">
        <f>+HYPERLINK("http://trademark.i-assist.jp/data/china/image_1912th/80548970.pdf","80548970")</f>
        <v>80548970</v>
      </c>
      <c r="F1068" s="9" t="s">
        <v>3008</v>
      </c>
      <c r="G1068" s="12" t="s">
        <v>2994</v>
      </c>
      <c r="H1068" s="9" t="s">
        <v>3009</v>
      </c>
      <c r="I1068" s="10">
        <v>45528</v>
      </c>
    </row>
    <row r="1069" spans="1:9" x14ac:dyDescent="0.15">
      <c r="A1069" s="9">
        <v>1068</v>
      </c>
      <c r="B1069" s="9" t="s">
        <v>9</v>
      </c>
      <c r="C1069" s="9">
        <v>1912</v>
      </c>
      <c r="D1069" s="10">
        <v>45616</v>
      </c>
      <c r="E1069" s="13" t="str">
        <f>+HYPERLINK("http://trademark.i-assist.jp/data/china/image_1912th/80549298.pdf","80549298")</f>
        <v>80549298</v>
      </c>
      <c r="F1069" s="9" t="s">
        <v>3010</v>
      </c>
      <c r="G1069" s="9" t="s">
        <v>45</v>
      </c>
      <c r="H1069" s="9" t="s">
        <v>3011</v>
      </c>
      <c r="I1069" s="10">
        <v>45528</v>
      </c>
    </row>
    <row r="1070" spans="1:9" x14ac:dyDescent="0.15">
      <c r="A1070" s="9">
        <v>1069</v>
      </c>
      <c r="B1070" s="9" t="s">
        <v>9</v>
      </c>
      <c r="C1070" s="9">
        <v>1912</v>
      </c>
      <c r="D1070" s="10">
        <v>45616</v>
      </c>
      <c r="E1070" s="13" t="str">
        <f>+HYPERLINK("http://trademark.i-assist.jp/data/china/image_1912th/80549451.pdf","80549451")</f>
        <v>80549451</v>
      </c>
      <c r="F1070" s="9" t="s">
        <v>3012</v>
      </c>
      <c r="G1070" s="12" t="s">
        <v>3013</v>
      </c>
      <c r="H1070" s="9" t="s">
        <v>3014</v>
      </c>
      <c r="I1070" s="10">
        <v>45528</v>
      </c>
    </row>
    <row r="1071" spans="1:9" x14ac:dyDescent="0.15">
      <c r="A1071" s="9">
        <v>1070</v>
      </c>
      <c r="B1071" s="9" t="s">
        <v>9</v>
      </c>
      <c r="C1071" s="9">
        <v>1912</v>
      </c>
      <c r="D1071" s="10">
        <v>45616</v>
      </c>
      <c r="E1071" s="13" t="str">
        <f>+HYPERLINK("http://trademark.i-assist.jp/data/china/image_1912th/80549736.pdf","80549736")</f>
        <v>80549736</v>
      </c>
      <c r="F1071" s="9" t="s">
        <v>3015</v>
      </c>
      <c r="G1071" s="9" t="s">
        <v>2984</v>
      </c>
      <c r="H1071" s="9" t="s">
        <v>3016</v>
      </c>
      <c r="I1071" s="10">
        <v>45528</v>
      </c>
    </row>
    <row r="1072" spans="1:9" x14ac:dyDescent="0.15">
      <c r="A1072" s="9">
        <v>1071</v>
      </c>
      <c r="B1072" s="9" t="s">
        <v>9</v>
      </c>
      <c r="C1072" s="9">
        <v>1912</v>
      </c>
      <c r="D1072" s="10">
        <v>45616</v>
      </c>
      <c r="E1072" s="13" t="str">
        <f>+HYPERLINK("http://trademark.i-assist.jp/data/china/image_1912th/80549804.pdf","80549804")</f>
        <v>80549804</v>
      </c>
      <c r="F1072" s="9" t="s">
        <v>3017</v>
      </c>
      <c r="G1072" s="9" t="s">
        <v>3018</v>
      </c>
      <c r="H1072" s="9" t="s">
        <v>3019</v>
      </c>
      <c r="I1072" s="10">
        <v>45528</v>
      </c>
    </row>
    <row r="1073" spans="1:9" x14ac:dyDescent="0.15">
      <c r="A1073" s="9">
        <v>1072</v>
      </c>
      <c r="B1073" s="9" t="s">
        <v>9</v>
      </c>
      <c r="C1073" s="9">
        <v>1912</v>
      </c>
      <c r="D1073" s="10">
        <v>45616</v>
      </c>
      <c r="E1073" s="13" t="str">
        <f>+HYPERLINK("http://trademark.i-assist.jp/data/china/image_1912th/80550040.pdf","80550040")</f>
        <v>80550040</v>
      </c>
      <c r="F1073" s="9" t="s">
        <v>3020</v>
      </c>
      <c r="G1073" s="12" t="s">
        <v>3021</v>
      </c>
      <c r="H1073" s="9" t="s">
        <v>3022</v>
      </c>
      <c r="I1073" s="10">
        <v>45528</v>
      </c>
    </row>
    <row r="1074" spans="1:9" x14ac:dyDescent="0.15">
      <c r="A1074" s="9">
        <v>1073</v>
      </c>
      <c r="B1074" s="9" t="s">
        <v>9</v>
      </c>
      <c r="C1074" s="9">
        <v>1912</v>
      </c>
      <c r="D1074" s="10">
        <v>45616</v>
      </c>
      <c r="E1074" s="13" t="str">
        <f>+HYPERLINK("http://trademark.i-assist.jp/data/china/image_1912th/80550207.pdf","80550207")</f>
        <v>80550207</v>
      </c>
      <c r="F1074" s="9" t="s">
        <v>3023</v>
      </c>
      <c r="G1074" s="9" t="s">
        <v>2984</v>
      </c>
      <c r="H1074" s="9" t="s">
        <v>3024</v>
      </c>
      <c r="I1074" s="10">
        <v>45528</v>
      </c>
    </row>
    <row r="1075" spans="1:9" x14ac:dyDescent="0.15">
      <c r="A1075" s="9">
        <v>1074</v>
      </c>
      <c r="B1075" s="9" t="s">
        <v>9</v>
      </c>
      <c r="C1075" s="9">
        <v>1912</v>
      </c>
      <c r="D1075" s="10">
        <v>45616</v>
      </c>
      <c r="E1075" s="13" t="str">
        <f>+HYPERLINK("http://trademark.i-assist.jp/data/china/image_1912th/80550515.pdf","80550515")</f>
        <v>80550515</v>
      </c>
      <c r="F1075" s="9" t="s">
        <v>3025</v>
      </c>
      <c r="G1075" s="9" t="s">
        <v>3026</v>
      </c>
      <c r="H1075" s="9" t="s">
        <v>3027</v>
      </c>
      <c r="I1075" s="10">
        <v>45528</v>
      </c>
    </row>
    <row r="1076" spans="1:9" x14ac:dyDescent="0.15">
      <c r="A1076" s="9">
        <v>1075</v>
      </c>
      <c r="B1076" s="9" t="s">
        <v>9</v>
      </c>
      <c r="C1076" s="9">
        <v>1912</v>
      </c>
      <c r="D1076" s="10">
        <v>45616</v>
      </c>
      <c r="E1076" s="13" t="str">
        <f>+HYPERLINK("http://trademark.i-assist.jp/data/china/image_1912th/80550751.pdf","80550751")</f>
        <v>80550751</v>
      </c>
      <c r="F1076" s="9" t="s">
        <v>3028</v>
      </c>
      <c r="G1076" s="12" t="s">
        <v>2994</v>
      </c>
      <c r="H1076" s="9" t="s">
        <v>3029</v>
      </c>
      <c r="I1076" s="10">
        <v>45528</v>
      </c>
    </row>
    <row r="1077" spans="1:9" x14ac:dyDescent="0.15">
      <c r="A1077" s="9">
        <v>1076</v>
      </c>
      <c r="B1077" s="9" t="s">
        <v>9</v>
      </c>
      <c r="C1077" s="9">
        <v>1912</v>
      </c>
      <c r="D1077" s="10">
        <v>45616</v>
      </c>
      <c r="E1077" s="13" t="str">
        <f>+HYPERLINK("http://trademark.i-assist.jp/data/china/image_1912th/80550967.pdf","80550967")</f>
        <v>80550967</v>
      </c>
      <c r="F1077" s="9" t="s">
        <v>3030</v>
      </c>
      <c r="G1077" s="9" t="s">
        <v>2984</v>
      </c>
      <c r="H1077" s="9" t="s">
        <v>3031</v>
      </c>
      <c r="I1077" s="10">
        <v>45528</v>
      </c>
    </row>
    <row r="1078" spans="1:9" x14ac:dyDescent="0.15">
      <c r="A1078" s="9">
        <v>1077</v>
      </c>
      <c r="B1078" s="9" t="s">
        <v>9</v>
      </c>
      <c r="C1078" s="9">
        <v>1912</v>
      </c>
      <c r="D1078" s="10">
        <v>45616</v>
      </c>
      <c r="E1078" s="13" t="str">
        <f>+HYPERLINK("http://trademark.i-assist.jp/data/china/image_1912th/80551085.pdf","80551085")</f>
        <v>80551085</v>
      </c>
      <c r="F1078" s="9" t="s">
        <v>3032</v>
      </c>
      <c r="G1078" s="12" t="s">
        <v>3033</v>
      </c>
      <c r="H1078" s="9" t="s">
        <v>3034</v>
      </c>
      <c r="I1078" s="10">
        <v>45528</v>
      </c>
    </row>
    <row r="1079" spans="1:9" x14ac:dyDescent="0.15">
      <c r="A1079" s="9">
        <v>1078</v>
      </c>
      <c r="B1079" s="9" t="s">
        <v>9</v>
      </c>
      <c r="C1079" s="9">
        <v>1912</v>
      </c>
      <c r="D1079" s="10">
        <v>45616</v>
      </c>
      <c r="E1079" s="13" t="str">
        <f>+HYPERLINK("http://trademark.i-assist.jp/data/china/image_1912th/80551825.pdf","80551825")</f>
        <v>80551825</v>
      </c>
      <c r="F1079" s="9" t="s">
        <v>3035</v>
      </c>
      <c r="G1079" s="9" t="s">
        <v>2981</v>
      </c>
      <c r="H1079" s="9" t="s">
        <v>3036</v>
      </c>
      <c r="I1079" s="10">
        <v>45528</v>
      </c>
    </row>
    <row r="1080" spans="1:9" x14ac:dyDescent="0.15">
      <c r="A1080" s="9">
        <v>1079</v>
      </c>
      <c r="B1080" s="9" t="s">
        <v>9</v>
      </c>
      <c r="C1080" s="9">
        <v>1912</v>
      </c>
      <c r="D1080" s="10">
        <v>45616</v>
      </c>
      <c r="E1080" s="13" t="str">
        <f>+HYPERLINK("http://trademark.i-assist.jp/data/china/image_1912th/80552865.pdf","80552865")</f>
        <v>80552865</v>
      </c>
      <c r="F1080" s="9" t="s">
        <v>3037</v>
      </c>
      <c r="G1080" s="12" t="s">
        <v>3038</v>
      </c>
      <c r="H1080" s="9" t="s">
        <v>3039</v>
      </c>
      <c r="I1080" s="10">
        <v>45529</v>
      </c>
    </row>
    <row r="1081" spans="1:9" x14ac:dyDescent="0.15">
      <c r="A1081" s="9">
        <v>1080</v>
      </c>
      <c r="B1081" s="9" t="s">
        <v>9</v>
      </c>
      <c r="C1081" s="9">
        <v>1912</v>
      </c>
      <c r="D1081" s="10">
        <v>45616</v>
      </c>
      <c r="E1081" s="13" t="str">
        <f>+HYPERLINK("http://trademark.i-assist.jp/data/china/image_1912th/80553047.pdf","80553047")</f>
        <v>80553047</v>
      </c>
      <c r="F1081" s="12" t="s">
        <v>3040</v>
      </c>
      <c r="G1081" s="9" t="s">
        <v>3041</v>
      </c>
      <c r="H1081" s="9" t="s">
        <v>3042</v>
      </c>
      <c r="I1081" s="10">
        <v>45529</v>
      </c>
    </row>
    <row r="1082" spans="1:9" x14ac:dyDescent="0.15">
      <c r="A1082" s="9">
        <v>1081</v>
      </c>
      <c r="B1082" s="9" t="s">
        <v>9</v>
      </c>
      <c r="C1082" s="9">
        <v>1912</v>
      </c>
      <c r="D1082" s="10">
        <v>45616</v>
      </c>
      <c r="E1082" s="13" t="str">
        <f>+HYPERLINK("http://trademark.i-assist.jp/data/china/image_1912th/80553274.pdf","80553274")</f>
        <v>80553274</v>
      </c>
      <c r="F1082" s="9" t="s">
        <v>3043</v>
      </c>
      <c r="G1082" s="12" t="s">
        <v>3044</v>
      </c>
      <c r="H1082" s="9" t="s">
        <v>3045</v>
      </c>
      <c r="I1082" s="10">
        <v>45529</v>
      </c>
    </row>
    <row r="1083" spans="1:9" x14ac:dyDescent="0.15">
      <c r="A1083" s="9">
        <v>1082</v>
      </c>
      <c r="B1083" s="9" t="s">
        <v>9</v>
      </c>
      <c r="C1083" s="9">
        <v>1912</v>
      </c>
      <c r="D1083" s="10">
        <v>45616</v>
      </c>
      <c r="E1083" s="13" t="str">
        <f>+HYPERLINK("http://trademark.i-assist.jp/data/china/image_1912th/80553493.pdf","80553493")</f>
        <v>80553493</v>
      </c>
      <c r="F1083" s="9" t="s">
        <v>3046</v>
      </c>
      <c r="G1083" s="12" t="s">
        <v>3047</v>
      </c>
      <c r="H1083" s="9" t="s">
        <v>3048</v>
      </c>
      <c r="I1083" s="10">
        <v>45529</v>
      </c>
    </row>
    <row r="1084" spans="1:9" x14ac:dyDescent="0.15">
      <c r="A1084" s="9">
        <v>1083</v>
      </c>
      <c r="B1084" s="9" t="s">
        <v>9</v>
      </c>
      <c r="C1084" s="9">
        <v>1912</v>
      </c>
      <c r="D1084" s="10">
        <v>45616</v>
      </c>
      <c r="E1084" s="13" t="str">
        <f>+HYPERLINK("http://trademark.i-assist.jp/data/china/image_1912th/80553805.pdf","80553805")</f>
        <v>80553805</v>
      </c>
      <c r="F1084" s="12" t="s">
        <v>3049</v>
      </c>
      <c r="G1084" s="9" t="s">
        <v>3050</v>
      </c>
      <c r="H1084" s="12" t="s">
        <v>3051</v>
      </c>
      <c r="I1084" s="10">
        <v>45529</v>
      </c>
    </row>
    <row r="1085" spans="1:9" x14ac:dyDescent="0.15">
      <c r="A1085" s="9">
        <v>1084</v>
      </c>
      <c r="B1085" s="9" t="s">
        <v>9</v>
      </c>
      <c r="C1085" s="9">
        <v>1912</v>
      </c>
      <c r="D1085" s="10">
        <v>45616</v>
      </c>
      <c r="E1085" s="13" t="str">
        <f>+HYPERLINK("http://trademark.i-assist.jp/data/china/image_1912th/80553906.pdf","80553906")</f>
        <v>80553906</v>
      </c>
      <c r="F1085" s="9" t="s">
        <v>3052</v>
      </c>
      <c r="G1085" s="9" t="s">
        <v>3053</v>
      </c>
      <c r="H1085" s="9" t="s">
        <v>3054</v>
      </c>
      <c r="I1085" s="10">
        <v>45529</v>
      </c>
    </row>
    <row r="1086" spans="1:9" x14ac:dyDescent="0.15">
      <c r="A1086" s="9">
        <v>1085</v>
      </c>
      <c r="B1086" s="9" t="s">
        <v>9</v>
      </c>
      <c r="C1086" s="9">
        <v>1912</v>
      </c>
      <c r="D1086" s="10">
        <v>45616</v>
      </c>
      <c r="E1086" s="13" t="str">
        <f>+HYPERLINK("http://trademark.i-assist.jp/data/china/image_1912th/80554275.pdf","80554275")</f>
        <v>80554275</v>
      </c>
      <c r="F1086" s="9" t="s">
        <v>3055</v>
      </c>
      <c r="G1086" s="9" t="s">
        <v>3056</v>
      </c>
      <c r="H1086" s="9" t="s">
        <v>3057</v>
      </c>
      <c r="I1086" s="10">
        <v>45529</v>
      </c>
    </row>
    <row r="1087" spans="1:9" x14ac:dyDescent="0.15">
      <c r="A1087" s="9">
        <v>1086</v>
      </c>
      <c r="B1087" s="9" t="s">
        <v>9</v>
      </c>
      <c r="C1087" s="9">
        <v>1912</v>
      </c>
      <c r="D1087" s="10">
        <v>45616</v>
      </c>
      <c r="E1087" s="13" t="str">
        <f>+HYPERLINK("http://trademark.i-assist.jp/data/china/image_1912th/80554328.pdf","80554328")</f>
        <v>80554328</v>
      </c>
      <c r="F1087" s="9" t="s">
        <v>3058</v>
      </c>
      <c r="G1087" s="9" t="s">
        <v>3059</v>
      </c>
      <c r="H1087" s="9" t="s">
        <v>3060</v>
      </c>
      <c r="I1087" s="10">
        <v>45529</v>
      </c>
    </row>
    <row r="1088" spans="1:9" x14ac:dyDescent="0.15">
      <c r="A1088" s="9">
        <v>1087</v>
      </c>
      <c r="B1088" s="9" t="s">
        <v>9</v>
      </c>
      <c r="C1088" s="9">
        <v>1912</v>
      </c>
      <c r="D1088" s="10">
        <v>45616</v>
      </c>
      <c r="E1088" s="13" t="str">
        <f>+HYPERLINK("http://trademark.i-assist.jp/data/china/image_1912th/80554726.pdf","80554726")</f>
        <v>80554726</v>
      </c>
      <c r="F1088" s="9" t="s">
        <v>3061</v>
      </c>
      <c r="G1088" s="9" t="s">
        <v>3062</v>
      </c>
      <c r="H1088" s="9" t="s">
        <v>3063</v>
      </c>
      <c r="I1088" s="10">
        <v>45530</v>
      </c>
    </row>
    <row r="1089" spans="1:9" x14ac:dyDescent="0.15">
      <c r="A1089" s="9">
        <v>1088</v>
      </c>
      <c r="B1089" s="9" t="s">
        <v>9</v>
      </c>
      <c r="C1089" s="9">
        <v>1912</v>
      </c>
      <c r="D1089" s="10">
        <v>45616</v>
      </c>
      <c r="E1089" s="13" t="str">
        <f>+HYPERLINK("http://trademark.i-assist.jp/data/china/image_1912th/80554775.pdf","80554775")</f>
        <v>80554775</v>
      </c>
      <c r="F1089" s="12" t="s">
        <v>3064</v>
      </c>
      <c r="G1089" s="12" t="s">
        <v>3065</v>
      </c>
      <c r="H1089" s="9" t="s">
        <v>3066</v>
      </c>
      <c r="I1089" s="10">
        <v>45530</v>
      </c>
    </row>
    <row r="1090" spans="1:9" x14ac:dyDescent="0.15">
      <c r="A1090" s="9">
        <v>1089</v>
      </c>
      <c r="B1090" s="9" t="s">
        <v>9</v>
      </c>
      <c r="C1090" s="9">
        <v>1912</v>
      </c>
      <c r="D1090" s="10">
        <v>45616</v>
      </c>
      <c r="E1090" s="13" t="str">
        <f>+HYPERLINK("http://trademark.i-assist.jp/data/china/image_1912th/80555003.pdf","80555003")</f>
        <v>80555003</v>
      </c>
      <c r="F1090" s="12" t="s">
        <v>3067</v>
      </c>
      <c r="G1090" s="9" t="s">
        <v>3068</v>
      </c>
      <c r="H1090" s="9" t="s">
        <v>3069</v>
      </c>
      <c r="I1090" s="10">
        <v>45530</v>
      </c>
    </row>
    <row r="1091" spans="1:9" x14ac:dyDescent="0.15">
      <c r="A1091" s="9">
        <v>1090</v>
      </c>
      <c r="B1091" s="9" t="s">
        <v>9</v>
      </c>
      <c r="C1091" s="9">
        <v>1912</v>
      </c>
      <c r="D1091" s="10">
        <v>45616</v>
      </c>
      <c r="E1091" s="13" t="str">
        <f>+HYPERLINK("http://trademark.i-assist.jp/data/china/image_1912th/80555024.pdf","80555024")</f>
        <v>80555024</v>
      </c>
      <c r="F1091" s="9" t="s">
        <v>3070</v>
      </c>
      <c r="G1091" s="9" t="s">
        <v>3071</v>
      </c>
      <c r="H1091" s="9" t="s">
        <v>3072</v>
      </c>
      <c r="I1091" s="10">
        <v>45530</v>
      </c>
    </row>
    <row r="1092" spans="1:9" x14ac:dyDescent="0.15">
      <c r="A1092" s="9">
        <v>1091</v>
      </c>
      <c r="B1092" s="9" t="s">
        <v>9</v>
      </c>
      <c r="C1092" s="9">
        <v>1912</v>
      </c>
      <c r="D1092" s="10">
        <v>45616</v>
      </c>
      <c r="E1092" s="13" t="str">
        <f>+HYPERLINK("http://trademark.i-assist.jp/data/china/image_1912th/80555316.pdf","80555316")</f>
        <v>80555316</v>
      </c>
      <c r="F1092" s="9" t="s">
        <v>3073</v>
      </c>
      <c r="G1092" s="9" t="s">
        <v>3074</v>
      </c>
      <c r="H1092" s="9" t="s">
        <v>3075</v>
      </c>
      <c r="I1092" s="10">
        <v>45530</v>
      </c>
    </row>
    <row r="1093" spans="1:9" x14ac:dyDescent="0.15">
      <c r="A1093" s="9">
        <v>1092</v>
      </c>
      <c r="B1093" s="9" t="s">
        <v>9</v>
      </c>
      <c r="C1093" s="9">
        <v>1912</v>
      </c>
      <c r="D1093" s="10">
        <v>45616</v>
      </c>
      <c r="E1093" s="13" t="str">
        <f>+HYPERLINK("http://trademark.i-assist.jp/data/china/image_1912th/80555398.pdf","80555398")</f>
        <v>80555398</v>
      </c>
      <c r="F1093" s="9" t="s">
        <v>3076</v>
      </c>
      <c r="G1093" s="9" t="s">
        <v>3077</v>
      </c>
      <c r="H1093" s="9" t="s">
        <v>3078</v>
      </c>
      <c r="I1093" s="10">
        <v>45530</v>
      </c>
    </row>
    <row r="1094" spans="1:9" x14ac:dyDescent="0.15">
      <c r="A1094" s="9">
        <v>1093</v>
      </c>
      <c r="B1094" s="9" t="s">
        <v>9</v>
      </c>
      <c r="C1094" s="9">
        <v>1912</v>
      </c>
      <c r="D1094" s="10">
        <v>45616</v>
      </c>
      <c r="E1094" s="13" t="str">
        <f>+HYPERLINK("http://trademark.i-assist.jp/data/china/image_1912th/80555921.pdf","80555921")</f>
        <v>80555921</v>
      </c>
      <c r="F1094" s="9" t="s">
        <v>3079</v>
      </c>
      <c r="G1094" s="12" t="s">
        <v>3080</v>
      </c>
      <c r="H1094" s="9" t="s">
        <v>3081</v>
      </c>
      <c r="I1094" s="10">
        <v>45530</v>
      </c>
    </row>
    <row r="1095" spans="1:9" x14ac:dyDescent="0.15">
      <c r="A1095" s="9">
        <v>1094</v>
      </c>
      <c r="B1095" s="9" t="s">
        <v>9</v>
      </c>
      <c r="C1095" s="9">
        <v>1912</v>
      </c>
      <c r="D1095" s="10">
        <v>45616</v>
      </c>
      <c r="E1095" s="13" t="str">
        <f>+HYPERLINK("http://trademark.i-assist.jp/data/china/image_1912th/80556046.pdf","80556046")</f>
        <v>80556046</v>
      </c>
      <c r="F1095" s="9" t="s">
        <v>3082</v>
      </c>
      <c r="G1095" s="9" t="s">
        <v>3083</v>
      </c>
      <c r="H1095" s="9" t="s">
        <v>3084</v>
      </c>
      <c r="I1095" s="10">
        <v>45530</v>
      </c>
    </row>
    <row r="1096" spans="1:9" x14ac:dyDescent="0.15">
      <c r="A1096" s="9">
        <v>1095</v>
      </c>
      <c r="B1096" s="9" t="s">
        <v>9</v>
      </c>
      <c r="C1096" s="9">
        <v>1912</v>
      </c>
      <c r="D1096" s="10">
        <v>45616</v>
      </c>
      <c r="E1096" s="13" t="str">
        <f>+HYPERLINK("http://trademark.i-assist.jp/data/china/image_1912th/80556234.pdf","80556234")</f>
        <v>80556234</v>
      </c>
      <c r="F1096" s="9" t="s">
        <v>3085</v>
      </c>
      <c r="G1096" s="9" t="s">
        <v>3086</v>
      </c>
      <c r="H1096" s="9" t="s">
        <v>3087</v>
      </c>
      <c r="I1096" s="10">
        <v>45530</v>
      </c>
    </row>
    <row r="1097" spans="1:9" x14ac:dyDescent="0.15">
      <c r="A1097" s="9">
        <v>1096</v>
      </c>
      <c r="B1097" s="9" t="s">
        <v>9</v>
      </c>
      <c r="C1097" s="9">
        <v>1912</v>
      </c>
      <c r="D1097" s="10">
        <v>45616</v>
      </c>
      <c r="E1097" s="13" t="str">
        <f>+HYPERLINK("http://trademark.i-assist.jp/data/china/image_1912th/80556478.pdf","80556478")</f>
        <v>80556478</v>
      </c>
      <c r="F1097" s="9" t="s">
        <v>3088</v>
      </c>
      <c r="G1097" s="9" t="s">
        <v>3089</v>
      </c>
      <c r="H1097" s="9" t="s">
        <v>3090</v>
      </c>
      <c r="I1097" s="10">
        <v>45530</v>
      </c>
    </row>
    <row r="1098" spans="1:9" x14ac:dyDescent="0.15">
      <c r="A1098" s="9">
        <v>1097</v>
      </c>
      <c r="B1098" s="9" t="s">
        <v>9</v>
      </c>
      <c r="C1098" s="9">
        <v>1912</v>
      </c>
      <c r="D1098" s="10">
        <v>45616</v>
      </c>
      <c r="E1098" s="13" t="str">
        <f>+HYPERLINK("http://trademark.i-assist.jp/data/china/image_1912th/80556502.pdf","80556502")</f>
        <v>80556502</v>
      </c>
      <c r="F1098" s="9" t="s">
        <v>3091</v>
      </c>
      <c r="G1098" s="9" t="s">
        <v>3092</v>
      </c>
      <c r="H1098" s="9" t="s">
        <v>3093</v>
      </c>
      <c r="I1098" s="10">
        <v>45530</v>
      </c>
    </row>
    <row r="1099" spans="1:9" x14ac:dyDescent="0.15">
      <c r="A1099" s="9">
        <v>1098</v>
      </c>
      <c r="B1099" s="9" t="s">
        <v>9</v>
      </c>
      <c r="C1099" s="9">
        <v>1912</v>
      </c>
      <c r="D1099" s="10">
        <v>45616</v>
      </c>
      <c r="E1099" s="13" t="str">
        <f>+HYPERLINK("http://trademark.i-assist.jp/data/china/image_1912th/80556524.pdf","80556524")</f>
        <v>80556524</v>
      </c>
      <c r="F1099" s="12" t="s">
        <v>3094</v>
      </c>
      <c r="G1099" s="12" t="s">
        <v>3095</v>
      </c>
      <c r="H1099" s="9" t="s">
        <v>3096</v>
      </c>
      <c r="I1099" s="10">
        <v>45530</v>
      </c>
    </row>
    <row r="1100" spans="1:9" x14ac:dyDescent="0.15">
      <c r="A1100" s="9">
        <v>1099</v>
      </c>
      <c r="B1100" s="9" t="s">
        <v>9</v>
      </c>
      <c r="C1100" s="9">
        <v>1912</v>
      </c>
      <c r="D1100" s="10">
        <v>45616</v>
      </c>
      <c r="E1100" s="13" t="str">
        <f>+HYPERLINK("http://trademark.i-assist.jp/data/china/image_1912th/80556536.pdf","80556536")</f>
        <v>80556536</v>
      </c>
      <c r="F1100" s="9" t="s">
        <v>3097</v>
      </c>
      <c r="G1100" s="9" t="s">
        <v>3098</v>
      </c>
      <c r="H1100" s="9" t="s">
        <v>3099</v>
      </c>
      <c r="I1100" s="10">
        <v>45530</v>
      </c>
    </row>
    <row r="1101" spans="1:9" x14ac:dyDescent="0.15">
      <c r="A1101" s="9">
        <v>1100</v>
      </c>
      <c r="B1101" s="9" t="s">
        <v>9</v>
      </c>
      <c r="C1101" s="9">
        <v>1912</v>
      </c>
      <c r="D1101" s="10">
        <v>45616</v>
      </c>
      <c r="E1101" s="13" t="str">
        <f>+HYPERLINK("http://trademark.i-assist.jp/data/china/image_1912th/80556683.pdf","80556683")</f>
        <v>80556683</v>
      </c>
      <c r="F1101" s="9" t="s">
        <v>3100</v>
      </c>
      <c r="G1101" s="9" t="s">
        <v>3101</v>
      </c>
      <c r="H1101" s="9" t="s">
        <v>3102</v>
      </c>
      <c r="I1101" s="10">
        <v>45530</v>
      </c>
    </row>
    <row r="1102" spans="1:9" x14ac:dyDescent="0.15">
      <c r="A1102" s="9">
        <v>1101</v>
      </c>
      <c r="B1102" s="9" t="s">
        <v>9</v>
      </c>
      <c r="C1102" s="9">
        <v>1912</v>
      </c>
      <c r="D1102" s="10">
        <v>45616</v>
      </c>
      <c r="E1102" s="13" t="str">
        <f>+HYPERLINK("http://trademark.i-assist.jp/data/china/image_1912th/80556684.pdf","80556684")</f>
        <v>80556684</v>
      </c>
      <c r="F1102" s="9" t="s">
        <v>3103</v>
      </c>
      <c r="G1102" s="9" t="s">
        <v>3104</v>
      </c>
      <c r="H1102" s="12" t="s">
        <v>3105</v>
      </c>
      <c r="I1102" s="10">
        <v>45530</v>
      </c>
    </row>
    <row r="1103" spans="1:9" x14ac:dyDescent="0.15">
      <c r="A1103" s="9">
        <v>1102</v>
      </c>
      <c r="B1103" s="9" t="s">
        <v>9</v>
      </c>
      <c r="C1103" s="9">
        <v>1912</v>
      </c>
      <c r="D1103" s="10">
        <v>45616</v>
      </c>
      <c r="E1103" s="13" t="str">
        <f>+HYPERLINK("http://trademark.i-assist.jp/data/china/image_1912th/80556784.pdf","80556784")</f>
        <v>80556784</v>
      </c>
      <c r="F1103" s="9" t="s">
        <v>3106</v>
      </c>
      <c r="G1103" s="9" t="s">
        <v>3107</v>
      </c>
      <c r="H1103" s="9" t="s">
        <v>3108</v>
      </c>
      <c r="I1103" s="10">
        <v>45530</v>
      </c>
    </row>
    <row r="1104" spans="1:9" x14ac:dyDescent="0.15">
      <c r="A1104" s="9">
        <v>1103</v>
      </c>
      <c r="B1104" s="9" t="s">
        <v>9</v>
      </c>
      <c r="C1104" s="9">
        <v>1912</v>
      </c>
      <c r="D1104" s="10">
        <v>45616</v>
      </c>
      <c r="E1104" s="13" t="str">
        <f>+HYPERLINK("http://trademark.i-assist.jp/data/china/image_1912th/80556841.pdf","80556841")</f>
        <v>80556841</v>
      </c>
      <c r="F1104" s="9" t="s">
        <v>3109</v>
      </c>
      <c r="G1104" s="9" t="s">
        <v>3110</v>
      </c>
      <c r="H1104" s="9" t="s">
        <v>3111</v>
      </c>
      <c r="I1104" s="10">
        <v>45530</v>
      </c>
    </row>
    <row r="1105" spans="1:9" x14ac:dyDescent="0.15">
      <c r="A1105" s="9">
        <v>1104</v>
      </c>
      <c r="B1105" s="9" t="s">
        <v>9</v>
      </c>
      <c r="C1105" s="9">
        <v>1912</v>
      </c>
      <c r="D1105" s="10">
        <v>45616</v>
      </c>
      <c r="E1105" s="13" t="str">
        <f>+HYPERLINK("http://trademark.i-assist.jp/data/china/image_1912th/80556881.pdf","80556881")</f>
        <v>80556881</v>
      </c>
      <c r="F1105" s="9" t="s">
        <v>3112</v>
      </c>
      <c r="G1105" s="9" t="s">
        <v>3110</v>
      </c>
      <c r="H1105" s="9" t="s">
        <v>3113</v>
      </c>
      <c r="I1105" s="10">
        <v>45530</v>
      </c>
    </row>
    <row r="1106" spans="1:9" x14ac:dyDescent="0.15">
      <c r="A1106" s="9">
        <v>1105</v>
      </c>
      <c r="B1106" s="9" t="s">
        <v>9</v>
      </c>
      <c r="C1106" s="9">
        <v>1912</v>
      </c>
      <c r="D1106" s="10">
        <v>45616</v>
      </c>
      <c r="E1106" s="13" t="str">
        <f>+HYPERLINK("http://trademark.i-assist.jp/data/china/image_1912th/80556899.pdf","80556899")</f>
        <v>80556899</v>
      </c>
      <c r="F1106" s="9" t="s">
        <v>3114</v>
      </c>
      <c r="G1106" s="9" t="s">
        <v>3115</v>
      </c>
      <c r="H1106" s="9" t="s">
        <v>3116</v>
      </c>
      <c r="I1106" s="10">
        <v>45530</v>
      </c>
    </row>
    <row r="1107" spans="1:9" x14ac:dyDescent="0.15">
      <c r="A1107" s="9">
        <v>1106</v>
      </c>
      <c r="B1107" s="9" t="s">
        <v>9</v>
      </c>
      <c r="C1107" s="9">
        <v>1912</v>
      </c>
      <c r="D1107" s="10">
        <v>45616</v>
      </c>
      <c r="E1107" s="13" t="str">
        <f>+HYPERLINK("http://trademark.i-assist.jp/data/china/image_1912th/80556945.pdf","80556945")</f>
        <v>80556945</v>
      </c>
      <c r="F1107" s="9" t="s">
        <v>3117</v>
      </c>
      <c r="G1107" s="9" t="s">
        <v>3083</v>
      </c>
      <c r="H1107" s="9" t="s">
        <v>3118</v>
      </c>
      <c r="I1107" s="10">
        <v>45530</v>
      </c>
    </row>
    <row r="1108" spans="1:9" x14ac:dyDescent="0.15">
      <c r="A1108" s="9">
        <v>1107</v>
      </c>
      <c r="B1108" s="9" t="s">
        <v>9</v>
      </c>
      <c r="C1108" s="9">
        <v>1912</v>
      </c>
      <c r="D1108" s="10">
        <v>45616</v>
      </c>
      <c r="E1108" s="13" t="str">
        <f>+HYPERLINK("http://trademark.i-assist.jp/data/china/image_1912th/80557147.pdf","80557147")</f>
        <v>80557147</v>
      </c>
      <c r="F1108" s="12" t="s">
        <v>3119</v>
      </c>
      <c r="G1108" s="9" t="s">
        <v>3120</v>
      </c>
      <c r="H1108" s="9" t="s">
        <v>3121</v>
      </c>
      <c r="I1108" s="10">
        <v>45530</v>
      </c>
    </row>
    <row r="1109" spans="1:9" x14ac:dyDescent="0.15">
      <c r="A1109" s="9">
        <v>1108</v>
      </c>
      <c r="B1109" s="9" t="s">
        <v>9</v>
      </c>
      <c r="C1109" s="9">
        <v>1912</v>
      </c>
      <c r="D1109" s="10">
        <v>45616</v>
      </c>
      <c r="E1109" s="13" t="str">
        <f>+HYPERLINK("http://trademark.i-assist.jp/data/china/image_1912th/80557361.pdf","80557361")</f>
        <v>80557361</v>
      </c>
      <c r="F1109" s="9" t="s">
        <v>3122</v>
      </c>
      <c r="G1109" s="9" t="s">
        <v>3123</v>
      </c>
      <c r="H1109" s="9" t="s">
        <v>3124</v>
      </c>
      <c r="I1109" s="10">
        <v>45530</v>
      </c>
    </row>
    <row r="1110" spans="1:9" x14ac:dyDescent="0.15">
      <c r="A1110" s="9">
        <v>1109</v>
      </c>
      <c r="B1110" s="9" t="s">
        <v>9</v>
      </c>
      <c r="C1110" s="9">
        <v>1912</v>
      </c>
      <c r="D1110" s="10">
        <v>45616</v>
      </c>
      <c r="E1110" s="13" t="str">
        <f>+HYPERLINK("http://trademark.i-assist.jp/data/china/image_1912th/80557521.pdf","80557521")</f>
        <v>80557521</v>
      </c>
      <c r="F1110" s="9" t="s">
        <v>3125</v>
      </c>
      <c r="G1110" s="9" t="s">
        <v>3126</v>
      </c>
      <c r="H1110" s="9" t="s">
        <v>3127</v>
      </c>
      <c r="I1110" s="10">
        <v>45530</v>
      </c>
    </row>
    <row r="1111" spans="1:9" x14ac:dyDescent="0.15">
      <c r="A1111" s="9">
        <v>1110</v>
      </c>
      <c r="B1111" s="9" t="s">
        <v>9</v>
      </c>
      <c r="C1111" s="9">
        <v>1912</v>
      </c>
      <c r="D1111" s="10">
        <v>45616</v>
      </c>
      <c r="E1111" s="13" t="str">
        <f>+HYPERLINK("http://trademark.i-assist.jp/data/china/image_1912th/80557545.pdf","80557545")</f>
        <v>80557545</v>
      </c>
      <c r="F1111" s="9" t="s">
        <v>3128</v>
      </c>
      <c r="G1111" s="9" t="s">
        <v>3126</v>
      </c>
      <c r="H1111" s="9" t="s">
        <v>3129</v>
      </c>
      <c r="I1111" s="10">
        <v>45530</v>
      </c>
    </row>
    <row r="1112" spans="1:9" x14ac:dyDescent="0.15">
      <c r="A1112" s="9">
        <v>1111</v>
      </c>
      <c r="B1112" s="9" t="s">
        <v>9</v>
      </c>
      <c r="C1112" s="9">
        <v>1912</v>
      </c>
      <c r="D1112" s="10">
        <v>45616</v>
      </c>
      <c r="E1112" s="13" t="str">
        <f>+HYPERLINK("http://trademark.i-assist.jp/data/china/image_1912th/80557853.pdf","80557853")</f>
        <v>80557853</v>
      </c>
      <c r="F1112" s="12" t="s">
        <v>3130</v>
      </c>
      <c r="G1112" s="12" t="s">
        <v>3131</v>
      </c>
      <c r="H1112" s="9" t="s">
        <v>3132</v>
      </c>
      <c r="I1112" s="10">
        <v>45530</v>
      </c>
    </row>
    <row r="1113" spans="1:9" x14ac:dyDescent="0.15">
      <c r="A1113" s="9">
        <v>1112</v>
      </c>
      <c r="B1113" s="9" t="s">
        <v>9</v>
      </c>
      <c r="C1113" s="9">
        <v>1912</v>
      </c>
      <c r="D1113" s="10">
        <v>45616</v>
      </c>
      <c r="E1113" s="13" t="str">
        <f>+HYPERLINK("http://trademark.i-assist.jp/data/china/image_1912th/80558392.pdf","80558392")</f>
        <v>80558392</v>
      </c>
      <c r="F1113" s="9" t="s">
        <v>3133</v>
      </c>
      <c r="G1113" s="12" t="s">
        <v>3134</v>
      </c>
      <c r="H1113" s="9" t="s">
        <v>3135</v>
      </c>
      <c r="I1113" s="10">
        <v>45530</v>
      </c>
    </row>
    <row r="1114" spans="1:9" x14ac:dyDescent="0.15">
      <c r="A1114" s="9">
        <v>1113</v>
      </c>
      <c r="B1114" s="9" t="s">
        <v>9</v>
      </c>
      <c r="C1114" s="9">
        <v>1912</v>
      </c>
      <c r="D1114" s="10">
        <v>45616</v>
      </c>
      <c r="E1114" s="13" t="str">
        <f>+HYPERLINK("http://trademark.i-assist.jp/data/china/image_1912th/80558537.pdf","80558537")</f>
        <v>80558537</v>
      </c>
      <c r="F1114" s="12" t="s">
        <v>3136</v>
      </c>
      <c r="G1114" s="9" t="s">
        <v>3137</v>
      </c>
      <c r="H1114" s="9" t="s">
        <v>3138</v>
      </c>
      <c r="I1114" s="10">
        <v>45530</v>
      </c>
    </row>
    <row r="1115" spans="1:9" x14ac:dyDescent="0.15">
      <c r="A1115" s="9">
        <v>1114</v>
      </c>
      <c r="B1115" s="9" t="s">
        <v>9</v>
      </c>
      <c r="C1115" s="9">
        <v>1912</v>
      </c>
      <c r="D1115" s="10">
        <v>45616</v>
      </c>
      <c r="E1115" s="13" t="str">
        <f>+HYPERLINK("http://trademark.i-assist.jp/data/china/image_1912th/80559117.pdf","80559117")</f>
        <v>80559117</v>
      </c>
      <c r="F1115" s="9" t="s">
        <v>3139</v>
      </c>
      <c r="G1115" s="12" t="s">
        <v>3140</v>
      </c>
      <c r="H1115" s="9" t="s">
        <v>3141</v>
      </c>
      <c r="I1115" s="10">
        <v>45530</v>
      </c>
    </row>
    <row r="1116" spans="1:9" x14ac:dyDescent="0.15">
      <c r="A1116" s="9">
        <v>1115</v>
      </c>
      <c r="B1116" s="9" t="s">
        <v>9</v>
      </c>
      <c r="C1116" s="9">
        <v>1912</v>
      </c>
      <c r="D1116" s="10">
        <v>45616</v>
      </c>
      <c r="E1116" s="13" t="str">
        <f>+HYPERLINK("http://trademark.i-assist.jp/data/china/image_1912th/80559372.pdf","80559372")</f>
        <v>80559372</v>
      </c>
      <c r="F1116" s="9" t="s">
        <v>3142</v>
      </c>
      <c r="G1116" s="12" t="s">
        <v>3143</v>
      </c>
      <c r="H1116" s="9" t="s">
        <v>3144</v>
      </c>
      <c r="I1116" s="10">
        <v>45530</v>
      </c>
    </row>
    <row r="1117" spans="1:9" x14ac:dyDescent="0.15">
      <c r="A1117" s="9">
        <v>1116</v>
      </c>
      <c r="B1117" s="9" t="s">
        <v>9</v>
      </c>
      <c r="C1117" s="9">
        <v>1912</v>
      </c>
      <c r="D1117" s="10">
        <v>45616</v>
      </c>
      <c r="E1117" s="13" t="str">
        <f>+HYPERLINK("http://trademark.i-assist.jp/data/china/image_1912th/80559389.pdf","80559389")</f>
        <v>80559389</v>
      </c>
      <c r="F1117" s="9" t="s">
        <v>3145</v>
      </c>
      <c r="G1117" s="9" t="s">
        <v>3146</v>
      </c>
      <c r="H1117" s="9" t="s">
        <v>3147</v>
      </c>
      <c r="I1117" s="10">
        <v>45530</v>
      </c>
    </row>
    <row r="1118" spans="1:9" x14ac:dyDescent="0.15">
      <c r="A1118" s="9">
        <v>1117</v>
      </c>
      <c r="B1118" s="9" t="s">
        <v>9</v>
      </c>
      <c r="C1118" s="9">
        <v>1912</v>
      </c>
      <c r="D1118" s="10">
        <v>45616</v>
      </c>
      <c r="E1118" s="13" t="str">
        <f>+HYPERLINK("http://trademark.i-assist.jp/data/china/image_1912th/80559413.pdf","80559413")</f>
        <v>80559413</v>
      </c>
      <c r="F1118" s="9" t="s">
        <v>3148</v>
      </c>
      <c r="G1118" s="9" t="s">
        <v>3149</v>
      </c>
      <c r="H1118" s="9" t="s">
        <v>3150</v>
      </c>
      <c r="I1118" s="10">
        <v>45530</v>
      </c>
    </row>
    <row r="1119" spans="1:9" x14ac:dyDescent="0.15">
      <c r="A1119" s="9">
        <v>1118</v>
      </c>
      <c r="B1119" s="9" t="s">
        <v>9</v>
      </c>
      <c r="C1119" s="9">
        <v>1912</v>
      </c>
      <c r="D1119" s="10">
        <v>45616</v>
      </c>
      <c r="E1119" s="13" t="str">
        <f>+HYPERLINK("http://trademark.i-assist.jp/data/china/image_1912th/80559476.pdf","80559476")</f>
        <v>80559476</v>
      </c>
      <c r="F1119" s="9" t="s">
        <v>3151</v>
      </c>
      <c r="G1119" s="12" t="s">
        <v>3152</v>
      </c>
      <c r="H1119" s="9" t="s">
        <v>3153</v>
      </c>
      <c r="I1119" s="10">
        <v>45530</v>
      </c>
    </row>
    <row r="1120" spans="1:9" x14ac:dyDescent="0.15">
      <c r="A1120" s="9">
        <v>1119</v>
      </c>
      <c r="B1120" s="9" t="s">
        <v>9</v>
      </c>
      <c r="C1120" s="9">
        <v>1912</v>
      </c>
      <c r="D1120" s="10">
        <v>45616</v>
      </c>
      <c r="E1120" s="13" t="str">
        <f>+HYPERLINK("http://trademark.i-assist.jp/data/china/image_1912th/80559635.pdf","80559635")</f>
        <v>80559635</v>
      </c>
      <c r="F1120" s="9" t="s">
        <v>3154</v>
      </c>
      <c r="G1120" s="9" t="s">
        <v>3083</v>
      </c>
      <c r="H1120" s="9" t="s">
        <v>3155</v>
      </c>
      <c r="I1120" s="10">
        <v>45530</v>
      </c>
    </row>
    <row r="1121" spans="1:9" x14ac:dyDescent="0.15">
      <c r="A1121" s="9">
        <v>1120</v>
      </c>
      <c r="B1121" s="9" t="s">
        <v>9</v>
      </c>
      <c r="C1121" s="9">
        <v>1912</v>
      </c>
      <c r="D1121" s="10">
        <v>45616</v>
      </c>
      <c r="E1121" s="13" t="str">
        <f>+HYPERLINK("http://trademark.i-assist.jp/data/china/image_1912th/80559865.pdf","80559865")</f>
        <v>80559865</v>
      </c>
      <c r="F1121" s="9" t="s">
        <v>3156</v>
      </c>
      <c r="G1121" s="12" t="s">
        <v>3157</v>
      </c>
      <c r="H1121" s="9" t="s">
        <v>3158</v>
      </c>
      <c r="I1121" s="10">
        <v>45530</v>
      </c>
    </row>
    <row r="1122" spans="1:9" x14ac:dyDescent="0.15">
      <c r="A1122" s="9">
        <v>1121</v>
      </c>
      <c r="B1122" s="9" t="s">
        <v>9</v>
      </c>
      <c r="C1122" s="9">
        <v>1912</v>
      </c>
      <c r="D1122" s="10">
        <v>45616</v>
      </c>
      <c r="E1122" s="13" t="str">
        <f>+HYPERLINK("http://trademark.i-assist.jp/data/china/image_1912th/80559906.pdf","80559906")</f>
        <v>80559906</v>
      </c>
      <c r="F1122" s="9" t="s">
        <v>3159</v>
      </c>
      <c r="G1122" s="9" t="s">
        <v>3126</v>
      </c>
      <c r="H1122" s="9" t="s">
        <v>3160</v>
      </c>
      <c r="I1122" s="10">
        <v>45530</v>
      </c>
    </row>
    <row r="1123" spans="1:9" x14ac:dyDescent="0.15">
      <c r="A1123" s="9">
        <v>1122</v>
      </c>
      <c r="B1123" s="9" t="s">
        <v>9</v>
      </c>
      <c r="C1123" s="9">
        <v>1912</v>
      </c>
      <c r="D1123" s="10">
        <v>45616</v>
      </c>
      <c r="E1123" s="13" t="str">
        <f>+HYPERLINK("http://trademark.i-assist.jp/data/china/image_1912th/80560597.pdf","80560597")</f>
        <v>80560597</v>
      </c>
      <c r="F1123" s="9" t="s">
        <v>3161</v>
      </c>
      <c r="G1123" s="12" t="s">
        <v>3162</v>
      </c>
      <c r="H1123" s="9" t="s">
        <v>3163</v>
      </c>
      <c r="I1123" s="10">
        <v>45530</v>
      </c>
    </row>
    <row r="1124" spans="1:9" x14ac:dyDescent="0.15">
      <c r="A1124" s="9">
        <v>1123</v>
      </c>
      <c r="B1124" s="9" t="s">
        <v>9</v>
      </c>
      <c r="C1124" s="9">
        <v>1912</v>
      </c>
      <c r="D1124" s="10">
        <v>45616</v>
      </c>
      <c r="E1124" s="13" t="str">
        <f>+HYPERLINK("http://trademark.i-assist.jp/data/china/image_1912th/80560745.pdf","80560745")</f>
        <v>80560745</v>
      </c>
      <c r="F1124" s="9" t="s">
        <v>3164</v>
      </c>
      <c r="G1124" s="9" t="s">
        <v>3165</v>
      </c>
      <c r="H1124" s="9" t="s">
        <v>3166</v>
      </c>
      <c r="I1124" s="10">
        <v>45530</v>
      </c>
    </row>
    <row r="1125" spans="1:9" x14ac:dyDescent="0.15">
      <c r="A1125" s="9">
        <v>1124</v>
      </c>
      <c r="B1125" s="9" t="s">
        <v>9</v>
      </c>
      <c r="C1125" s="9">
        <v>1912</v>
      </c>
      <c r="D1125" s="10">
        <v>45616</v>
      </c>
      <c r="E1125" s="13" t="str">
        <f>+HYPERLINK("http://trademark.i-assist.jp/data/china/image_1912th/80560956.pdf","80560956")</f>
        <v>80560956</v>
      </c>
      <c r="F1125" s="9" t="s">
        <v>3167</v>
      </c>
      <c r="G1125" s="9" t="s">
        <v>1158</v>
      </c>
      <c r="H1125" s="9" t="s">
        <v>3168</v>
      </c>
      <c r="I1125" s="10">
        <v>45530</v>
      </c>
    </row>
    <row r="1126" spans="1:9" x14ac:dyDescent="0.15">
      <c r="A1126" s="9">
        <v>1125</v>
      </c>
      <c r="B1126" s="9" t="s">
        <v>9</v>
      </c>
      <c r="C1126" s="9">
        <v>1912</v>
      </c>
      <c r="D1126" s="10">
        <v>45616</v>
      </c>
      <c r="E1126" s="13" t="str">
        <f>+HYPERLINK("http://trademark.i-assist.jp/data/china/image_1912th/80561235.pdf","80561235")</f>
        <v>80561235</v>
      </c>
      <c r="F1126" s="9" t="s">
        <v>3169</v>
      </c>
      <c r="G1126" s="9" t="s">
        <v>3170</v>
      </c>
      <c r="H1126" s="9" t="s">
        <v>3171</v>
      </c>
      <c r="I1126" s="10">
        <v>45530</v>
      </c>
    </row>
    <row r="1127" spans="1:9" x14ac:dyDescent="0.15">
      <c r="A1127" s="9">
        <v>1126</v>
      </c>
      <c r="B1127" s="9" t="s">
        <v>9</v>
      </c>
      <c r="C1127" s="9">
        <v>1912</v>
      </c>
      <c r="D1127" s="10">
        <v>45616</v>
      </c>
      <c r="E1127" s="13" t="str">
        <f>+HYPERLINK("http://trademark.i-assist.jp/data/china/image_1912th/80561238.pdf","80561238")</f>
        <v>80561238</v>
      </c>
      <c r="F1127" s="9" t="s">
        <v>3172</v>
      </c>
      <c r="G1127" s="9" t="s">
        <v>3170</v>
      </c>
      <c r="H1127" s="9" t="s">
        <v>3173</v>
      </c>
      <c r="I1127" s="10">
        <v>45530</v>
      </c>
    </row>
    <row r="1128" spans="1:9" x14ac:dyDescent="0.15">
      <c r="A1128" s="9">
        <v>1127</v>
      </c>
      <c r="B1128" s="9" t="s">
        <v>9</v>
      </c>
      <c r="C1128" s="9">
        <v>1912</v>
      </c>
      <c r="D1128" s="10">
        <v>45616</v>
      </c>
      <c r="E1128" s="13" t="str">
        <f>+HYPERLINK("http://trademark.i-assist.jp/data/china/image_1912th/80561288.pdf","80561288")</f>
        <v>80561288</v>
      </c>
      <c r="F1128" s="9" t="s">
        <v>3174</v>
      </c>
      <c r="G1128" s="9" t="s">
        <v>3175</v>
      </c>
      <c r="H1128" s="9" t="s">
        <v>3176</v>
      </c>
      <c r="I1128" s="10">
        <v>45530</v>
      </c>
    </row>
    <row r="1129" spans="1:9" x14ac:dyDescent="0.15">
      <c r="A1129" s="9">
        <v>1128</v>
      </c>
      <c r="B1129" s="9" t="s">
        <v>9</v>
      </c>
      <c r="C1129" s="9">
        <v>1912</v>
      </c>
      <c r="D1129" s="10">
        <v>45616</v>
      </c>
      <c r="E1129" s="13" t="str">
        <f>+HYPERLINK("http://trademark.i-assist.jp/data/china/image_1912th/80561439.pdf","80561439")</f>
        <v>80561439</v>
      </c>
      <c r="F1129" s="9" t="s">
        <v>3177</v>
      </c>
      <c r="G1129" s="9" t="s">
        <v>3178</v>
      </c>
      <c r="H1129" s="9" t="s">
        <v>3179</v>
      </c>
      <c r="I1129" s="10">
        <v>45530</v>
      </c>
    </row>
    <row r="1130" spans="1:9" x14ac:dyDescent="0.15">
      <c r="A1130" s="9">
        <v>1129</v>
      </c>
      <c r="B1130" s="9" t="s">
        <v>9</v>
      </c>
      <c r="C1130" s="9">
        <v>1912</v>
      </c>
      <c r="D1130" s="10">
        <v>45616</v>
      </c>
      <c r="E1130" s="13" t="str">
        <f>+HYPERLINK("http://trademark.i-assist.jp/data/china/image_1912th/80561740.pdf","80561740")</f>
        <v>80561740</v>
      </c>
      <c r="F1130" s="9" t="s">
        <v>3180</v>
      </c>
      <c r="G1130" s="9" t="s">
        <v>3181</v>
      </c>
      <c r="H1130" s="9" t="s">
        <v>3182</v>
      </c>
      <c r="I1130" s="10">
        <v>45530</v>
      </c>
    </row>
    <row r="1131" spans="1:9" x14ac:dyDescent="0.15">
      <c r="A1131" s="9">
        <v>1130</v>
      </c>
      <c r="B1131" s="9" t="s">
        <v>9</v>
      </c>
      <c r="C1131" s="9">
        <v>1912</v>
      </c>
      <c r="D1131" s="10">
        <v>45616</v>
      </c>
      <c r="E1131" s="13" t="str">
        <f>+HYPERLINK("http://trademark.i-assist.jp/data/china/image_1912th/80561764.pdf","80561764")</f>
        <v>80561764</v>
      </c>
      <c r="F1131" s="9" t="s">
        <v>3183</v>
      </c>
      <c r="G1131" s="9" t="s">
        <v>3184</v>
      </c>
      <c r="H1131" s="12" t="s">
        <v>3185</v>
      </c>
      <c r="I1131" s="10">
        <v>45530</v>
      </c>
    </row>
    <row r="1132" spans="1:9" x14ac:dyDescent="0.15">
      <c r="A1132" s="9">
        <v>1131</v>
      </c>
      <c r="B1132" s="9" t="s">
        <v>9</v>
      </c>
      <c r="C1132" s="9">
        <v>1912</v>
      </c>
      <c r="D1132" s="10">
        <v>45616</v>
      </c>
      <c r="E1132" s="13" t="str">
        <f>+HYPERLINK("http://trademark.i-assist.jp/data/china/image_1912th/80562023.pdf","80562023")</f>
        <v>80562023</v>
      </c>
      <c r="F1132" s="9" t="s">
        <v>3186</v>
      </c>
      <c r="G1132" s="9" t="s">
        <v>3126</v>
      </c>
      <c r="H1132" s="12" t="s">
        <v>3187</v>
      </c>
      <c r="I1132" s="10">
        <v>45530</v>
      </c>
    </row>
    <row r="1133" spans="1:9" x14ac:dyDescent="0.15">
      <c r="A1133" s="9">
        <v>1132</v>
      </c>
      <c r="B1133" s="9" t="s">
        <v>9</v>
      </c>
      <c r="C1133" s="9">
        <v>1912</v>
      </c>
      <c r="D1133" s="10">
        <v>45616</v>
      </c>
      <c r="E1133" s="13" t="str">
        <f>+HYPERLINK("http://trademark.i-assist.jp/data/china/image_1912th/80562291.pdf","80562291")</f>
        <v>80562291</v>
      </c>
      <c r="F1133" s="9" t="s">
        <v>3188</v>
      </c>
      <c r="G1133" s="12" t="s">
        <v>3189</v>
      </c>
      <c r="H1133" s="9" t="s">
        <v>3190</v>
      </c>
      <c r="I1133" s="10">
        <v>45530</v>
      </c>
    </row>
    <row r="1134" spans="1:9" x14ac:dyDescent="0.15">
      <c r="A1134" s="9">
        <v>1133</v>
      </c>
      <c r="B1134" s="9" t="s">
        <v>9</v>
      </c>
      <c r="C1134" s="9">
        <v>1912</v>
      </c>
      <c r="D1134" s="10">
        <v>45616</v>
      </c>
      <c r="E1134" s="13" t="str">
        <f>+HYPERLINK("http://trademark.i-assist.jp/data/china/image_1912th/80562304.pdf","80562304")</f>
        <v>80562304</v>
      </c>
      <c r="F1134" s="9" t="s">
        <v>3191</v>
      </c>
      <c r="G1134" s="9" t="s">
        <v>3192</v>
      </c>
      <c r="H1134" s="9" t="s">
        <v>3193</v>
      </c>
      <c r="I1134" s="10">
        <v>45530</v>
      </c>
    </row>
    <row r="1135" spans="1:9" x14ac:dyDescent="0.15">
      <c r="A1135" s="9">
        <v>1134</v>
      </c>
      <c r="B1135" s="9" t="s">
        <v>9</v>
      </c>
      <c r="C1135" s="9">
        <v>1912</v>
      </c>
      <c r="D1135" s="10">
        <v>45616</v>
      </c>
      <c r="E1135" s="13" t="str">
        <f>+HYPERLINK("http://trademark.i-assist.jp/data/china/image_1912th/80562469.pdf","80562469")</f>
        <v>80562469</v>
      </c>
      <c r="F1135" s="9" t="s">
        <v>3194</v>
      </c>
      <c r="G1135" s="9" t="s">
        <v>3170</v>
      </c>
      <c r="H1135" s="9" t="s">
        <v>3195</v>
      </c>
      <c r="I1135" s="10">
        <v>45530</v>
      </c>
    </row>
    <row r="1136" spans="1:9" x14ac:dyDescent="0.15">
      <c r="A1136" s="9">
        <v>1135</v>
      </c>
      <c r="B1136" s="9" t="s">
        <v>9</v>
      </c>
      <c r="C1136" s="9">
        <v>1912</v>
      </c>
      <c r="D1136" s="10">
        <v>45616</v>
      </c>
      <c r="E1136" s="13" t="str">
        <f>+HYPERLINK("http://trademark.i-assist.jp/data/china/image_1912th/80562507.pdf","80562507")</f>
        <v>80562507</v>
      </c>
      <c r="F1136" s="9" t="s">
        <v>3196</v>
      </c>
      <c r="G1136" s="9" t="s">
        <v>3170</v>
      </c>
      <c r="H1136" s="9" t="s">
        <v>3197</v>
      </c>
      <c r="I1136" s="10">
        <v>45530</v>
      </c>
    </row>
    <row r="1137" spans="1:9" x14ac:dyDescent="0.15">
      <c r="A1137" s="9">
        <v>1136</v>
      </c>
      <c r="B1137" s="9" t="s">
        <v>9</v>
      </c>
      <c r="C1137" s="9">
        <v>1912</v>
      </c>
      <c r="D1137" s="10">
        <v>45616</v>
      </c>
      <c r="E1137" s="13" t="str">
        <f>+HYPERLINK("http://trademark.i-assist.jp/data/china/image_1912th/80562581.pdf","80562581")</f>
        <v>80562581</v>
      </c>
      <c r="F1137" s="9" t="s">
        <v>3198</v>
      </c>
      <c r="G1137" s="9" t="s">
        <v>3199</v>
      </c>
      <c r="H1137" s="9" t="s">
        <v>3200</v>
      </c>
      <c r="I1137" s="10">
        <v>45530</v>
      </c>
    </row>
    <row r="1138" spans="1:9" x14ac:dyDescent="0.15">
      <c r="A1138" s="9">
        <v>1137</v>
      </c>
      <c r="B1138" s="9" t="s">
        <v>9</v>
      </c>
      <c r="C1138" s="9">
        <v>1912</v>
      </c>
      <c r="D1138" s="10">
        <v>45616</v>
      </c>
      <c r="E1138" s="13" t="str">
        <f>+HYPERLINK("http://trademark.i-assist.jp/data/china/image_1912th/80562763.pdf","80562763")</f>
        <v>80562763</v>
      </c>
      <c r="F1138" s="12" t="s">
        <v>3201</v>
      </c>
      <c r="G1138" s="12" t="s">
        <v>3202</v>
      </c>
      <c r="H1138" s="9" t="s">
        <v>3203</v>
      </c>
      <c r="I1138" s="10">
        <v>45530</v>
      </c>
    </row>
    <row r="1139" spans="1:9" x14ac:dyDescent="0.15">
      <c r="A1139" s="9">
        <v>1138</v>
      </c>
      <c r="B1139" s="9" t="s">
        <v>9</v>
      </c>
      <c r="C1139" s="9">
        <v>1912</v>
      </c>
      <c r="D1139" s="10">
        <v>45616</v>
      </c>
      <c r="E1139" s="13" t="str">
        <f>+HYPERLINK("http://trademark.i-assist.jp/data/china/image_1912th/80562800.pdf","80562800")</f>
        <v>80562800</v>
      </c>
      <c r="F1139" s="12" t="s">
        <v>3204</v>
      </c>
      <c r="G1139" s="9" t="s">
        <v>3205</v>
      </c>
      <c r="H1139" s="9" t="s">
        <v>3206</v>
      </c>
      <c r="I1139" s="10">
        <v>45530</v>
      </c>
    </row>
    <row r="1140" spans="1:9" x14ac:dyDescent="0.15">
      <c r="A1140" s="9">
        <v>1139</v>
      </c>
      <c r="B1140" s="9" t="s">
        <v>9</v>
      </c>
      <c r="C1140" s="9">
        <v>1912</v>
      </c>
      <c r="D1140" s="10">
        <v>45616</v>
      </c>
      <c r="E1140" s="13" t="str">
        <f>+HYPERLINK("http://trademark.i-assist.jp/data/china/image_1912th/80562986.pdf","80562986")</f>
        <v>80562986</v>
      </c>
      <c r="F1140" s="9" t="s">
        <v>3207</v>
      </c>
      <c r="G1140" s="9" t="s">
        <v>3208</v>
      </c>
      <c r="H1140" s="9" t="s">
        <v>3209</v>
      </c>
      <c r="I1140" s="10">
        <v>45530</v>
      </c>
    </row>
    <row r="1141" spans="1:9" x14ac:dyDescent="0.15">
      <c r="A1141" s="9">
        <v>1140</v>
      </c>
      <c r="B1141" s="9" t="s">
        <v>9</v>
      </c>
      <c r="C1141" s="9">
        <v>1912</v>
      </c>
      <c r="D1141" s="10">
        <v>45616</v>
      </c>
      <c r="E1141" s="13" t="str">
        <f>+HYPERLINK("http://trademark.i-assist.jp/data/china/image_1912th/80563024.pdf","80563024")</f>
        <v>80563024</v>
      </c>
      <c r="F1141" s="12" t="s">
        <v>3210</v>
      </c>
      <c r="G1141" s="9" t="s">
        <v>3211</v>
      </c>
      <c r="H1141" s="9" t="s">
        <v>3212</v>
      </c>
      <c r="I1141" s="10">
        <v>45530</v>
      </c>
    </row>
    <row r="1142" spans="1:9" x14ac:dyDescent="0.15">
      <c r="A1142" s="9">
        <v>1141</v>
      </c>
      <c r="B1142" s="9" t="s">
        <v>9</v>
      </c>
      <c r="C1142" s="9">
        <v>1912</v>
      </c>
      <c r="D1142" s="10">
        <v>45616</v>
      </c>
      <c r="E1142" s="13" t="str">
        <f>+HYPERLINK("http://trademark.i-assist.jp/data/china/image_1912th/80563047.pdf","80563047")</f>
        <v>80563047</v>
      </c>
      <c r="F1142" s="9" t="s">
        <v>3213</v>
      </c>
      <c r="G1142" s="9" t="s">
        <v>3083</v>
      </c>
      <c r="H1142" s="9" t="s">
        <v>3214</v>
      </c>
      <c r="I1142" s="10">
        <v>45530</v>
      </c>
    </row>
    <row r="1143" spans="1:9" x14ac:dyDescent="0.15">
      <c r="A1143" s="9">
        <v>1142</v>
      </c>
      <c r="B1143" s="9" t="s">
        <v>9</v>
      </c>
      <c r="C1143" s="9">
        <v>1912</v>
      </c>
      <c r="D1143" s="10">
        <v>45616</v>
      </c>
      <c r="E1143" s="13" t="str">
        <f>+HYPERLINK("http://trademark.i-assist.jp/data/china/image_1912th/80563182.pdf","80563182")</f>
        <v>80563182</v>
      </c>
      <c r="F1143" s="9" t="s">
        <v>3215</v>
      </c>
      <c r="G1143" s="9" t="s">
        <v>3216</v>
      </c>
      <c r="H1143" s="9" t="s">
        <v>3217</v>
      </c>
      <c r="I1143" s="10">
        <v>45530</v>
      </c>
    </row>
    <row r="1144" spans="1:9" x14ac:dyDescent="0.15">
      <c r="A1144" s="9">
        <v>1143</v>
      </c>
      <c r="B1144" s="9" t="s">
        <v>9</v>
      </c>
      <c r="C1144" s="9">
        <v>1912</v>
      </c>
      <c r="D1144" s="10">
        <v>45616</v>
      </c>
      <c r="E1144" s="13" t="str">
        <f>+HYPERLINK("http://trademark.i-assist.jp/data/china/image_1912th/80563218.pdf","80563218")</f>
        <v>80563218</v>
      </c>
      <c r="F1144" s="12" t="s">
        <v>3218</v>
      </c>
      <c r="G1144" s="12" t="s">
        <v>3140</v>
      </c>
      <c r="H1144" s="9" t="s">
        <v>3219</v>
      </c>
      <c r="I1144" s="10">
        <v>45530</v>
      </c>
    </row>
    <row r="1145" spans="1:9" x14ac:dyDescent="0.15">
      <c r="A1145" s="9">
        <v>1144</v>
      </c>
      <c r="B1145" s="9" t="s">
        <v>9</v>
      </c>
      <c r="C1145" s="9">
        <v>1912</v>
      </c>
      <c r="D1145" s="10">
        <v>45616</v>
      </c>
      <c r="E1145" s="13" t="str">
        <f>+HYPERLINK("http://trademark.i-assist.jp/data/china/image_1912th/80563719.pdf","80563719")</f>
        <v>80563719</v>
      </c>
      <c r="F1145" s="9" t="s">
        <v>3220</v>
      </c>
      <c r="G1145" s="9" t="s">
        <v>3221</v>
      </c>
      <c r="H1145" s="9" t="s">
        <v>3222</v>
      </c>
      <c r="I1145" s="10">
        <v>45530</v>
      </c>
    </row>
    <row r="1146" spans="1:9" x14ac:dyDescent="0.15">
      <c r="A1146" s="9">
        <v>1145</v>
      </c>
      <c r="B1146" s="9" t="s">
        <v>9</v>
      </c>
      <c r="C1146" s="9">
        <v>1912</v>
      </c>
      <c r="D1146" s="10">
        <v>45616</v>
      </c>
      <c r="E1146" s="13" t="str">
        <f>+HYPERLINK("http://trademark.i-assist.jp/data/china/image_1912th/80563766.pdf","80563766")</f>
        <v>80563766</v>
      </c>
      <c r="F1146" s="12" t="s">
        <v>3223</v>
      </c>
      <c r="G1146" s="9" t="s">
        <v>3224</v>
      </c>
      <c r="H1146" s="9" t="s">
        <v>3225</v>
      </c>
      <c r="I1146" s="10">
        <v>45530</v>
      </c>
    </row>
    <row r="1147" spans="1:9" x14ac:dyDescent="0.15">
      <c r="A1147" s="9">
        <v>1146</v>
      </c>
      <c r="B1147" s="9" t="s">
        <v>9</v>
      </c>
      <c r="C1147" s="9">
        <v>1912</v>
      </c>
      <c r="D1147" s="10">
        <v>45616</v>
      </c>
      <c r="E1147" s="13" t="str">
        <f>+HYPERLINK("http://trademark.i-assist.jp/data/china/image_1912th/80563834.pdf","80563834")</f>
        <v>80563834</v>
      </c>
      <c r="F1147" s="9" t="s">
        <v>3226</v>
      </c>
      <c r="G1147" s="9" t="s">
        <v>3227</v>
      </c>
      <c r="H1147" s="9" t="s">
        <v>3228</v>
      </c>
      <c r="I1147" s="10">
        <v>45530</v>
      </c>
    </row>
    <row r="1148" spans="1:9" x14ac:dyDescent="0.15">
      <c r="A1148" s="9">
        <v>1147</v>
      </c>
      <c r="B1148" s="9" t="s">
        <v>9</v>
      </c>
      <c r="C1148" s="9">
        <v>1912</v>
      </c>
      <c r="D1148" s="10">
        <v>45616</v>
      </c>
      <c r="E1148" s="13" t="str">
        <f>+HYPERLINK("http://trademark.i-assist.jp/data/china/image_1912th/80563946.pdf","80563946")</f>
        <v>80563946</v>
      </c>
      <c r="F1148" s="12" t="s">
        <v>3229</v>
      </c>
      <c r="G1148" s="12" t="s">
        <v>3230</v>
      </c>
      <c r="H1148" s="9" t="s">
        <v>3231</v>
      </c>
      <c r="I1148" s="10">
        <v>45530</v>
      </c>
    </row>
    <row r="1149" spans="1:9" x14ac:dyDescent="0.15">
      <c r="A1149" s="9">
        <v>1148</v>
      </c>
      <c r="B1149" s="9" t="s">
        <v>9</v>
      </c>
      <c r="C1149" s="9">
        <v>1912</v>
      </c>
      <c r="D1149" s="10">
        <v>45616</v>
      </c>
      <c r="E1149" s="13" t="str">
        <f>+HYPERLINK("http://trademark.i-assist.jp/data/china/image_1912th/80564317.pdf","80564317")</f>
        <v>80564317</v>
      </c>
      <c r="F1149" s="9" t="s">
        <v>3232</v>
      </c>
      <c r="G1149" s="12" t="s">
        <v>3233</v>
      </c>
      <c r="H1149" s="9" t="s">
        <v>3234</v>
      </c>
      <c r="I1149" s="10">
        <v>45530</v>
      </c>
    </row>
    <row r="1150" spans="1:9" x14ac:dyDescent="0.15">
      <c r="A1150" s="9">
        <v>1149</v>
      </c>
      <c r="B1150" s="9" t="s">
        <v>9</v>
      </c>
      <c r="C1150" s="9">
        <v>1912</v>
      </c>
      <c r="D1150" s="10">
        <v>45616</v>
      </c>
      <c r="E1150" s="13" t="str">
        <f>+HYPERLINK("http://trademark.i-assist.jp/data/china/image_1912th/80564380.pdf","80564380")</f>
        <v>80564380</v>
      </c>
      <c r="F1150" s="9" t="s">
        <v>3235</v>
      </c>
      <c r="G1150" s="9" t="s">
        <v>3208</v>
      </c>
      <c r="H1150" s="9" t="s">
        <v>3236</v>
      </c>
      <c r="I1150" s="10">
        <v>45530</v>
      </c>
    </row>
    <row r="1151" spans="1:9" x14ac:dyDescent="0.15">
      <c r="A1151" s="9">
        <v>1150</v>
      </c>
      <c r="B1151" s="9" t="s">
        <v>9</v>
      </c>
      <c r="C1151" s="9">
        <v>1912</v>
      </c>
      <c r="D1151" s="10">
        <v>45616</v>
      </c>
      <c r="E1151" s="13" t="str">
        <f>+HYPERLINK("http://trademark.i-assist.jp/data/china/image_1912th/80564436.pdf","80564436")</f>
        <v>80564436</v>
      </c>
      <c r="F1151" s="12" t="s">
        <v>3237</v>
      </c>
      <c r="G1151" s="12" t="s">
        <v>3238</v>
      </c>
      <c r="H1151" s="9" t="s">
        <v>3239</v>
      </c>
      <c r="I1151" s="10">
        <v>45530</v>
      </c>
    </row>
    <row r="1152" spans="1:9" x14ac:dyDescent="0.15">
      <c r="A1152" s="9">
        <v>1151</v>
      </c>
      <c r="B1152" s="9" t="s">
        <v>9</v>
      </c>
      <c r="C1152" s="9">
        <v>1912</v>
      </c>
      <c r="D1152" s="10">
        <v>45616</v>
      </c>
      <c r="E1152" s="13" t="str">
        <f>+HYPERLINK("http://trademark.i-assist.jp/data/china/image_1912th/80564701.pdf","80564701")</f>
        <v>80564701</v>
      </c>
      <c r="F1152" s="12" t="s">
        <v>3240</v>
      </c>
      <c r="G1152" s="9" t="s">
        <v>3241</v>
      </c>
      <c r="H1152" s="9" t="s">
        <v>3242</v>
      </c>
      <c r="I1152" s="10">
        <v>45530</v>
      </c>
    </row>
    <row r="1153" spans="1:9" x14ac:dyDescent="0.15">
      <c r="A1153" s="9">
        <v>1152</v>
      </c>
      <c r="B1153" s="9" t="s">
        <v>9</v>
      </c>
      <c r="C1153" s="9">
        <v>1912</v>
      </c>
      <c r="D1153" s="10">
        <v>45616</v>
      </c>
      <c r="E1153" s="13" t="str">
        <f>+HYPERLINK("http://trademark.i-assist.jp/data/china/image_1912th/80564900.pdf","80564900")</f>
        <v>80564900</v>
      </c>
      <c r="F1153" s="9" t="s">
        <v>3243</v>
      </c>
      <c r="G1153" s="9" t="s">
        <v>3244</v>
      </c>
      <c r="H1153" s="9" t="s">
        <v>3245</v>
      </c>
      <c r="I1153" s="10">
        <v>45530</v>
      </c>
    </row>
    <row r="1154" spans="1:9" x14ac:dyDescent="0.15">
      <c r="A1154" s="9">
        <v>1153</v>
      </c>
      <c r="B1154" s="9" t="s">
        <v>9</v>
      </c>
      <c r="C1154" s="9">
        <v>1912</v>
      </c>
      <c r="D1154" s="10">
        <v>45616</v>
      </c>
      <c r="E1154" s="13" t="str">
        <f>+HYPERLINK("http://trademark.i-assist.jp/data/china/image_1912th/80564946.pdf","80564946")</f>
        <v>80564946</v>
      </c>
      <c r="F1154" s="12" t="s">
        <v>3246</v>
      </c>
      <c r="G1154" s="9" t="s">
        <v>3247</v>
      </c>
      <c r="H1154" s="9" t="s">
        <v>3248</v>
      </c>
      <c r="I1154" s="10">
        <v>45530</v>
      </c>
    </row>
    <row r="1155" spans="1:9" x14ac:dyDescent="0.15">
      <c r="A1155" s="9">
        <v>1154</v>
      </c>
      <c r="B1155" s="9" t="s">
        <v>9</v>
      </c>
      <c r="C1155" s="9">
        <v>1912</v>
      </c>
      <c r="D1155" s="10">
        <v>45616</v>
      </c>
      <c r="E1155" s="13" t="str">
        <f>+HYPERLINK("http://trademark.i-assist.jp/data/china/image_1912th/80565106.pdf","80565106")</f>
        <v>80565106</v>
      </c>
      <c r="F1155" s="9" t="s">
        <v>3249</v>
      </c>
      <c r="G1155" s="12" t="s">
        <v>3250</v>
      </c>
      <c r="H1155" s="9" t="s">
        <v>3251</v>
      </c>
      <c r="I1155" s="10">
        <v>45530</v>
      </c>
    </row>
    <row r="1156" spans="1:9" x14ac:dyDescent="0.15">
      <c r="A1156" s="9">
        <v>1155</v>
      </c>
      <c r="B1156" s="9" t="s">
        <v>9</v>
      </c>
      <c r="C1156" s="9">
        <v>1912</v>
      </c>
      <c r="D1156" s="10">
        <v>45616</v>
      </c>
      <c r="E1156" s="13" t="str">
        <f>+HYPERLINK("http://trademark.i-assist.jp/data/china/image_1912th/80565236.pdf","80565236")</f>
        <v>80565236</v>
      </c>
      <c r="F1156" s="9" t="s">
        <v>3252</v>
      </c>
      <c r="G1156" s="9" t="s">
        <v>3247</v>
      </c>
      <c r="H1156" s="9" t="s">
        <v>3253</v>
      </c>
      <c r="I1156" s="10">
        <v>45530</v>
      </c>
    </row>
    <row r="1157" spans="1:9" x14ac:dyDescent="0.15">
      <c r="A1157" s="9">
        <v>1156</v>
      </c>
      <c r="B1157" s="9" t="s">
        <v>9</v>
      </c>
      <c r="C1157" s="9">
        <v>1912</v>
      </c>
      <c r="D1157" s="10">
        <v>45616</v>
      </c>
      <c r="E1157" s="13" t="str">
        <f>+HYPERLINK("http://trademark.i-assist.jp/data/china/image_1912th/80565246.pdf","80565246")</f>
        <v>80565246</v>
      </c>
      <c r="F1157" s="12" t="s">
        <v>3254</v>
      </c>
      <c r="G1157" s="9" t="s">
        <v>3247</v>
      </c>
      <c r="H1157" s="9" t="s">
        <v>3255</v>
      </c>
      <c r="I1157" s="10">
        <v>45530</v>
      </c>
    </row>
    <row r="1158" spans="1:9" x14ac:dyDescent="0.15">
      <c r="A1158" s="9">
        <v>1157</v>
      </c>
      <c r="B1158" s="9" t="s">
        <v>9</v>
      </c>
      <c r="C1158" s="9">
        <v>1912</v>
      </c>
      <c r="D1158" s="10">
        <v>45616</v>
      </c>
      <c r="E1158" s="13" t="str">
        <f>+HYPERLINK("http://trademark.i-assist.jp/data/china/image_1912th/80565721.pdf","80565721")</f>
        <v>80565721</v>
      </c>
      <c r="F1158" s="9" t="s">
        <v>3256</v>
      </c>
      <c r="G1158" s="12" t="s">
        <v>3257</v>
      </c>
      <c r="H1158" s="9" t="s">
        <v>3258</v>
      </c>
      <c r="I1158" s="10">
        <v>45530</v>
      </c>
    </row>
    <row r="1159" spans="1:9" x14ac:dyDescent="0.15">
      <c r="A1159" s="9">
        <v>1158</v>
      </c>
      <c r="B1159" s="9" t="s">
        <v>9</v>
      </c>
      <c r="C1159" s="9">
        <v>1912</v>
      </c>
      <c r="D1159" s="10">
        <v>45616</v>
      </c>
      <c r="E1159" s="13" t="str">
        <f>+HYPERLINK("http://trademark.i-assist.jp/data/china/image_1912th/80565861.pdf","80565861")</f>
        <v>80565861</v>
      </c>
      <c r="F1159" s="9" t="s">
        <v>3259</v>
      </c>
      <c r="G1159" s="9" t="s">
        <v>3260</v>
      </c>
      <c r="H1159" s="9" t="s">
        <v>3261</v>
      </c>
      <c r="I1159" s="10">
        <v>45530</v>
      </c>
    </row>
    <row r="1160" spans="1:9" x14ac:dyDescent="0.15">
      <c r="A1160" s="9">
        <v>1159</v>
      </c>
      <c r="B1160" s="9" t="s">
        <v>9</v>
      </c>
      <c r="C1160" s="9">
        <v>1912</v>
      </c>
      <c r="D1160" s="10">
        <v>45616</v>
      </c>
      <c r="E1160" s="13" t="str">
        <f>+HYPERLINK("http://trademark.i-assist.jp/data/china/image_1912th/80565920.pdf","80565920")</f>
        <v>80565920</v>
      </c>
      <c r="F1160" s="12" t="s">
        <v>15</v>
      </c>
      <c r="G1160" s="12" t="s">
        <v>3262</v>
      </c>
      <c r="H1160" s="9" t="s">
        <v>3263</v>
      </c>
      <c r="I1160" s="10">
        <v>45530</v>
      </c>
    </row>
    <row r="1161" spans="1:9" x14ac:dyDescent="0.15">
      <c r="A1161" s="9">
        <v>1160</v>
      </c>
      <c r="B1161" s="9" t="s">
        <v>9</v>
      </c>
      <c r="C1161" s="9">
        <v>1912</v>
      </c>
      <c r="D1161" s="10">
        <v>45616</v>
      </c>
      <c r="E1161" s="13" t="str">
        <f>+HYPERLINK("http://trademark.i-assist.jp/data/china/image_1912th/80565921.pdf","80565921")</f>
        <v>80565921</v>
      </c>
      <c r="F1161" s="9" t="s">
        <v>3264</v>
      </c>
      <c r="G1161" s="9" t="s">
        <v>3265</v>
      </c>
      <c r="H1161" s="9" t="s">
        <v>3266</v>
      </c>
      <c r="I1161" s="10">
        <v>45530</v>
      </c>
    </row>
    <row r="1162" spans="1:9" x14ac:dyDescent="0.15">
      <c r="A1162" s="9">
        <v>1161</v>
      </c>
      <c r="B1162" s="9" t="s">
        <v>9</v>
      </c>
      <c r="C1162" s="9">
        <v>1912</v>
      </c>
      <c r="D1162" s="10">
        <v>45616</v>
      </c>
      <c r="E1162" s="13" t="str">
        <f>+HYPERLINK("http://trademark.i-assist.jp/data/china/image_1912th/80565950.pdf","80565950")</f>
        <v>80565950</v>
      </c>
      <c r="F1162" s="12" t="s">
        <v>3267</v>
      </c>
      <c r="G1162" s="12" t="s">
        <v>3268</v>
      </c>
      <c r="H1162" s="9" t="s">
        <v>3269</v>
      </c>
      <c r="I1162" s="10">
        <v>45530</v>
      </c>
    </row>
    <row r="1163" spans="1:9" x14ac:dyDescent="0.15">
      <c r="A1163" s="9">
        <v>1162</v>
      </c>
      <c r="B1163" s="9" t="s">
        <v>9</v>
      </c>
      <c r="C1163" s="9">
        <v>1912</v>
      </c>
      <c r="D1163" s="10">
        <v>45616</v>
      </c>
      <c r="E1163" s="13" t="str">
        <f>+HYPERLINK("http://trademark.i-assist.jp/data/china/image_1912th/80565996.pdf","80565996")</f>
        <v>80565996</v>
      </c>
      <c r="F1163" s="9" t="s">
        <v>3270</v>
      </c>
      <c r="G1163" s="9" t="s">
        <v>3271</v>
      </c>
      <c r="H1163" s="9" t="s">
        <v>3272</v>
      </c>
      <c r="I1163" s="10">
        <v>45530</v>
      </c>
    </row>
    <row r="1164" spans="1:9" x14ac:dyDescent="0.15">
      <c r="A1164" s="9">
        <v>1163</v>
      </c>
      <c r="B1164" s="9" t="s">
        <v>9</v>
      </c>
      <c r="C1164" s="9">
        <v>1912</v>
      </c>
      <c r="D1164" s="10">
        <v>45616</v>
      </c>
      <c r="E1164" s="13" t="str">
        <f>+HYPERLINK("http://trademark.i-assist.jp/data/china/image_1912th/80566087.pdf","80566087")</f>
        <v>80566087</v>
      </c>
      <c r="F1164" s="9" t="s">
        <v>3273</v>
      </c>
      <c r="G1164" s="9" t="s">
        <v>3274</v>
      </c>
      <c r="H1164" s="12" t="s">
        <v>3275</v>
      </c>
      <c r="I1164" s="10">
        <v>45530</v>
      </c>
    </row>
    <row r="1165" spans="1:9" x14ac:dyDescent="0.15">
      <c r="A1165" s="9">
        <v>1164</v>
      </c>
      <c r="B1165" s="9" t="s">
        <v>9</v>
      </c>
      <c r="C1165" s="9">
        <v>1912</v>
      </c>
      <c r="D1165" s="10">
        <v>45616</v>
      </c>
      <c r="E1165" s="13" t="str">
        <f>+HYPERLINK("http://trademark.i-assist.jp/data/china/image_1912th/80566307.pdf","80566307")</f>
        <v>80566307</v>
      </c>
      <c r="F1165" s="12" t="s">
        <v>3276</v>
      </c>
      <c r="G1165" s="12" t="s">
        <v>3277</v>
      </c>
      <c r="H1165" s="9" t="s">
        <v>3278</v>
      </c>
      <c r="I1165" s="10">
        <v>45530</v>
      </c>
    </row>
    <row r="1166" spans="1:9" x14ac:dyDescent="0.15">
      <c r="A1166" s="9">
        <v>1165</v>
      </c>
      <c r="B1166" s="9" t="s">
        <v>9</v>
      </c>
      <c r="C1166" s="9">
        <v>1912</v>
      </c>
      <c r="D1166" s="10">
        <v>45616</v>
      </c>
      <c r="E1166" s="13" t="str">
        <f>+HYPERLINK("http://trademark.i-assist.jp/data/china/image_1912th/80566399.pdf","80566399")</f>
        <v>80566399</v>
      </c>
      <c r="F1166" s="9" t="s">
        <v>3279</v>
      </c>
      <c r="G1166" s="9" t="s">
        <v>3146</v>
      </c>
      <c r="H1166" s="9" t="s">
        <v>3280</v>
      </c>
      <c r="I1166" s="10">
        <v>45530</v>
      </c>
    </row>
    <row r="1167" spans="1:9" x14ac:dyDescent="0.15">
      <c r="A1167" s="9">
        <v>1166</v>
      </c>
      <c r="B1167" s="9" t="s">
        <v>9</v>
      </c>
      <c r="C1167" s="9">
        <v>1912</v>
      </c>
      <c r="D1167" s="10">
        <v>45616</v>
      </c>
      <c r="E1167" s="13" t="str">
        <f>+HYPERLINK("http://trademark.i-assist.jp/data/china/image_1912th/80566517.pdf","80566517")</f>
        <v>80566517</v>
      </c>
      <c r="F1167" s="12" t="s">
        <v>3281</v>
      </c>
      <c r="G1167" s="9" t="s">
        <v>3282</v>
      </c>
      <c r="H1167" s="9" t="s">
        <v>3283</v>
      </c>
      <c r="I1167" s="10">
        <v>45530</v>
      </c>
    </row>
    <row r="1168" spans="1:9" x14ac:dyDescent="0.15">
      <c r="A1168" s="9">
        <v>1167</v>
      </c>
      <c r="B1168" s="9" t="s">
        <v>9</v>
      </c>
      <c r="C1168" s="9">
        <v>1912</v>
      </c>
      <c r="D1168" s="10">
        <v>45616</v>
      </c>
      <c r="E1168" s="13" t="str">
        <f>+HYPERLINK("http://trademark.i-assist.jp/data/china/image_1912th/80566585.pdf","80566585")</f>
        <v>80566585</v>
      </c>
      <c r="F1168" s="9" t="s">
        <v>3284</v>
      </c>
      <c r="G1168" s="9" t="s">
        <v>3247</v>
      </c>
      <c r="H1168" s="9" t="s">
        <v>3285</v>
      </c>
      <c r="I1168" s="10">
        <v>45530</v>
      </c>
    </row>
    <row r="1169" spans="1:9" x14ac:dyDescent="0.15">
      <c r="A1169" s="9">
        <v>1168</v>
      </c>
      <c r="B1169" s="9" t="s">
        <v>9</v>
      </c>
      <c r="C1169" s="9">
        <v>1912</v>
      </c>
      <c r="D1169" s="10">
        <v>45616</v>
      </c>
      <c r="E1169" s="13" t="str">
        <f>+HYPERLINK("http://trademark.i-assist.jp/data/china/image_1912th/80566737.pdf","80566737")</f>
        <v>80566737</v>
      </c>
      <c r="F1169" s="9" t="s">
        <v>3286</v>
      </c>
      <c r="G1169" s="12" t="s">
        <v>3287</v>
      </c>
      <c r="H1169" s="9" t="s">
        <v>3288</v>
      </c>
      <c r="I1169" s="10">
        <v>45530</v>
      </c>
    </row>
    <row r="1170" spans="1:9" x14ac:dyDescent="0.15">
      <c r="A1170" s="9">
        <v>1169</v>
      </c>
      <c r="B1170" s="9" t="s">
        <v>9</v>
      </c>
      <c r="C1170" s="9">
        <v>1912</v>
      </c>
      <c r="D1170" s="10">
        <v>45616</v>
      </c>
      <c r="E1170" s="13" t="str">
        <f>+HYPERLINK("http://trademark.i-assist.jp/data/china/image_1912th/80566872.pdf","80566872")</f>
        <v>80566872</v>
      </c>
      <c r="F1170" s="12" t="s">
        <v>3289</v>
      </c>
      <c r="G1170" s="9" t="s">
        <v>3068</v>
      </c>
      <c r="H1170" s="9" t="s">
        <v>3290</v>
      </c>
      <c r="I1170" s="10">
        <v>45530</v>
      </c>
    </row>
    <row r="1171" spans="1:9" x14ac:dyDescent="0.15">
      <c r="A1171" s="9">
        <v>1170</v>
      </c>
      <c r="B1171" s="9" t="s">
        <v>9</v>
      </c>
      <c r="C1171" s="9">
        <v>1912</v>
      </c>
      <c r="D1171" s="10">
        <v>45616</v>
      </c>
      <c r="E1171" s="13" t="str">
        <f>+HYPERLINK("http://trademark.i-assist.jp/data/china/image_1912th/80566879.pdf","80566879")</f>
        <v>80566879</v>
      </c>
      <c r="F1171" s="9" t="s">
        <v>3291</v>
      </c>
      <c r="G1171" s="12" t="s">
        <v>3292</v>
      </c>
      <c r="H1171" s="9" t="s">
        <v>3293</v>
      </c>
      <c r="I1171" s="10">
        <v>45530</v>
      </c>
    </row>
    <row r="1172" spans="1:9" x14ac:dyDescent="0.15">
      <c r="A1172" s="9">
        <v>1171</v>
      </c>
      <c r="B1172" s="9" t="s">
        <v>9</v>
      </c>
      <c r="C1172" s="9">
        <v>1912</v>
      </c>
      <c r="D1172" s="10">
        <v>45616</v>
      </c>
      <c r="E1172" s="13" t="str">
        <f>+HYPERLINK("http://trademark.i-assist.jp/data/china/image_1912th/80566941.pdf","80566941")</f>
        <v>80566941</v>
      </c>
      <c r="F1172" s="9" t="s">
        <v>3294</v>
      </c>
      <c r="G1172" s="12" t="s">
        <v>3295</v>
      </c>
      <c r="H1172" s="9" t="s">
        <v>3296</v>
      </c>
      <c r="I1172" s="10">
        <v>45530</v>
      </c>
    </row>
    <row r="1173" spans="1:9" x14ac:dyDescent="0.15">
      <c r="A1173" s="9">
        <v>1172</v>
      </c>
      <c r="B1173" s="9" t="s">
        <v>9</v>
      </c>
      <c r="C1173" s="9">
        <v>1912</v>
      </c>
      <c r="D1173" s="10">
        <v>45616</v>
      </c>
      <c r="E1173" s="13" t="str">
        <f>+HYPERLINK("http://trademark.i-assist.jp/data/china/image_1912th/80566956.pdf","80566956")</f>
        <v>80566956</v>
      </c>
      <c r="F1173" s="9" t="s">
        <v>3297</v>
      </c>
      <c r="G1173" s="9" t="s">
        <v>3298</v>
      </c>
      <c r="H1173" s="9" t="s">
        <v>3299</v>
      </c>
      <c r="I1173" s="10">
        <v>45530</v>
      </c>
    </row>
    <row r="1174" spans="1:9" x14ac:dyDescent="0.15">
      <c r="A1174" s="9">
        <v>1173</v>
      </c>
      <c r="B1174" s="9" t="s">
        <v>9</v>
      </c>
      <c r="C1174" s="9">
        <v>1912</v>
      </c>
      <c r="D1174" s="10">
        <v>45616</v>
      </c>
      <c r="E1174" s="13" t="str">
        <f>+HYPERLINK("http://trademark.i-assist.jp/data/china/image_1912th/80566979.pdf","80566979")</f>
        <v>80566979</v>
      </c>
      <c r="F1174" s="9" t="s">
        <v>3300</v>
      </c>
      <c r="G1174" s="9" t="s">
        <v>3301</v>
      </c>
      <c r="H1174" s="9" t="s">
        <v>3302</v>
      </c>
      <c r="I1174" s="10">
        <v>45530</v>
      </c>
    </row>
    <row r="1175" spans="1:9" x14ac:dyDescent="0.15">
      <c r="A1175" s="9">
        <v>1174</v>
      </c>
      <c r="B1175" s="9" t="s">
        <v>9</v>
      </c>
      <c r="C1175" s="9">
        <v>1912</v>
      </c>
      <c r="D1175" s="10">
        <v>45616</v>
      </c>
      <c r="E1175" s="13" t="str">
        <f>+HYPERLINK("http://trademark.i-assist.jp/data/china/image_1912th/80567098.pdf","80567098")</f>
        <v>80567098</v>
      </c>
      <c r="F1175" s="12" t="s">
        <v>3303</v>
      </c>
      <c r="G1175" s="9" t="s">
        <v>3304</v>
      </c>
      <c r="H1175" s="9" t="s">
        <v>3305</v>
      </c>
      <c r="I1175" s="10">
        <v>45530</v>
      </c>
    </row>
    <row r="1176" spans="1:9" x14ac:dyDescent="0.15">
      <c r="A1176" s="9">
        <v>1175</v>
      </c>
      <c r="B1176" s="9" t="s">
        <v>9</v>
      </c>
      <c r="C1176" s="9">
        <v>1912</v>
      </c>
      <c r="D1176" s="10">
        <v>45616</v>
      </c>
      <c r="E1176" s="13" t="str">
        <f>+HYPERLINK("http://trademark.i-assist.jp/data/china/image_1912th/80567242.pdf","80567242")</f>
        <v>80567242</v>
      </c>
      <c r="F1176" s="9" t="s">
        <v>3306</v>
      </c>
      <c r="G1176" s="9" t="s">
        <v>3307</v>
      </c>
      <c r="H1176" s="9" t="s">
        <v>3308</v>
      </c>
      <c r="I1176" s="10">
        <v>45530</v>
      </c>
    </row>
    <row r="1177" spans="1:9" x14ac:dyDescent="0.15">
      <c r="A1177" s="9">
        <v>1176</v>
      </c>
      <c r="B1177" s="9" t="s">
        <v>9</v>
      </c>
      <c r="C1177" s="9">
        <v>1912</v>
      </c>
      <c r="D1177" s="10">
        <v>45616</v>
      </c>
      <c r="E1177" s="13" t="str">
        <f>+HYPERLINK("http://trademark.i-assist.jp/data/china/image_1912th/80567384.pdf","80567384")</f>
        <v>80567384</v>
      </c>
      <c r="F1177" s="9" t="s">
        <v>3309</v>
      </c>
      <c r="G1177" s="12" t="s">
        <v>3310</v>
      </c>
      <c r="H1177" s="12" t="s">
        <v>3311</v>
      </c>
      <c r="I1177" s="10">
        <v>45530</v>
      </c>
    </row>
    <row r="1178" spans="1:9" x14ac:dyDescent="0.15">
      <c r="A1178" s="9">
        <v>1177</v>
      </c>
      <c r="B1178" s="9" t="s">
        <v>9</v>
      </c>
      <c r="C1178" s="9">
        <v>1912</v>
      </c>
      <c r="D1178" s="10">
        <v>45616</v>
      </c>
      <c r="E1178" s="13" t="str">
        <f>+HYPERLINK("http://trademark.i-assist.jp/data/china/image_1912th/80567415.pdf","80567415")</f>
        <v>80567415</v>
      </c>
      <c r="F1178" s="9" t="s">
        <v>3312</v>
      </c>
      <c r="G1178" s="9" t="s">
        <v>3313</v>
      </c>
      <c r="H1178" s="9" t="s">
        <v>3314</v>
      </c>
      <c r="I1178" s="10">
        <v>45530</v>
      </c>
    </row>
    <row r="1179" spans="1:9" x14ac:dyDescent="0.15">
      <c r="A1179" s="9">
        <v>1178</v>
      </c>
      <c r="B1179" s="9" t="s">
        <v>9</v>
      </c>
      <c r="C1179" s="9">
        <v>1912</v>
      </c>
      <c r="D1179" s="10">
        <v>45616</v>
      </c>
      <c r="E1179" s="13" t="str">
        <f>+HYPERLINK("http://trademark.i-assist.jp/data/china/image_1912th/80567808.pdf","80567808")</f>
        <v>80567808</v>
      </c>
      <c r="F1179" s="9" t="s">
        <v>3315</v>
      </c>
      <c r="G1179" s="12" t="s">
        <v>3316</v>
      </c>
      <c r="H1179" s="12" t="s">
        <v>3317</v>
      </c>
      <c r="I1179" s="10">
        <v>45530</v>
      </c>
    </row>
    <row r="1180" spans="1:9" x14ac:dyDescent="0.15">
      <c r="A1180" s="9">
        <v>1179</v>
      </c>
      <c r="B1180" s="9" t="s">
        <v>9</v>
      </c>
      <c r="C1180" s="9">
        <v>1912</v>
      </c>
      <c r="D1180" s="10">
        <v>45616</v>
      </c>
      <c r="E1180" s="13" t="str">
        <f>+HYPERLINK("http://trademark.i-assist.jp/data/china/image_1912th/80567996.pdf","80567996")</f>
        <v>80567996</v>
      </c>
      <c r="F1180" s="9" t="s">
        <v>3318</v>
      </c>
      <c r="G1180" s="9" t="s">
        <v>3110</v>
      </c>
      <c r="H1180" s="9" t="s">
        <v>3319</v>
      </c>
      <c r="I1180" s="10">
        <v>45530</v>
      </c>
    </row>
    <row r="1181" spans="1:9" x14ac:dyDescent="0.15">
      <c r="A1181" s="9">
        <v>1180</v>
      </c>
      <c r="B1181" s="9" t="s">
        <v>9</v>
      </c>
      <c r="C1181" s="9">
        <v>1912</v>
      </c>
      <c r="D1181" s="10">
        <v>45616</v>
      </c>
      <c r="E1181" s="13" t="str">
        <f>+HYPERLINK("http://trademark.i-assist.jp/data/china/image_1912th/80568575.pdf","80568575")</f>
        <v>80568575</v>
      </c>
      <c r="F1181" s="12" t="s">
        <v>15</v>
      </c>
      <c r="G1181" s="9" t="s">
        <v>3320</v>
      </c>
      <c r="H1181" s="9" t="s">
        <v>3321</v>
      </c>
      <c r="I1181" s="10">
        <v>45530</v>
      </c>
    </row>
    <row r="1182" spans="1:9" x14ac:dyDescent="0.15">
      <c r="A1182" s="9">
        <v>1181</v>
      </c>
      <c r="B1182" s="9" t="s">
        <v>9</v>
      </c>
      <c r="C1182" s="9">
        <v>1912</v>
      </c>
      <c r="D1182" s="10">
        <v>45616</v>
      </c>
      <c r="E1182" s="13" t="str">
        <f>+HYPERLINK("http://trademark.i-assist.jp/data/china/image_1912th/80568780.pdf","80568780")</f>
        <v>80568780</v>
      </c>
      <c r="F1182" s="9" t="s">
        <v>3322</v>
      </c>
      <c r="G1182" s="9" t="s">
        <v>3323</v>
      </c>
      <c r="H1182" s="9" t="s">
        <v>3324</v>
      </c>
      <c r="I1182" s="10">
        <v>45530</v>
      </c>
    </row>
    <row r="1183" spans="1:9" x14ac:dyDescent="0.15">
      <c r="A1183" s="9">
        <v>1182</v>
      </c>
      <c r="B1183" s="9" t="s">
        <v>9</v>
      </c>
      <c r="C1183" s="9">
        <v>1912</v>
      </c>
      <c r="D1183" s="10">
        <v>45616</v>
      </c>
      <c r="E1183" s="13" t="str">
        <f>+HYPERLINK("http://trademark.i-assist.jp/data/china/image_1912th/80568902.pdf","80568902")</f>
        <v>80568902</v>
      </c>
      <c r="F1183" s="12" t="s">
        <v>15</v>
      </c>
      <c r="G1183" s="9" t="s">
        <v>3325</v>
      </c>
      <c r="H1183" s="9" t="s">
        <v>3326</v>
      </c>
      <c r="I1183" s="10">
        <v>45530</v>
      </c>
    </row>
    <row r="1184" spans="1:9" x14ac:dyDescent="0.15">
      <c r="A1184" s="9">
        <v>1183</v>
      </c>
      <c r="B1184" s="9" t="s">
        <v>9</v>
      </c>
      <c r="C1184" s="9">
        <v>1912</v>
      </c>
      <c r="D1184" s="10">
        <v>45616</v>
      </c>
      <c r="E1184" s="13" t="str">
        <f>+HYPERLINK("http://trademark.i-assist.jp/data/china/image_1912th/80568943.pdf","80568943")</f>
        <v>80568943</v>
      </c>
      <c r="F1184" s="9" t="s">
        <v>3327</v>
      </c>
      <c r="G1184" s="9" t="s">
        <v>3328</v>
      </c>
      <c r="H1184" s="9" t="s">
        <v>3329</v>
      </c>
      <c r="I1184" s="10">
        <v>45530</v>
      </c>
    </row>
    <row r="1185" spans="1:9" x14ac:dyDescent="0.15">
      <c r="A1185" s="9">
        <v>1184</v>
      </c>
      <c r="B1185" s="9" t="s">
        <v>9</v>
      </c>
      <c r="C1185" s="9">
        <v>1912</v>
      </c>
      <c r="D1185" s="10">
        <v>45616</v>
      </c>
      <c r="E1185" s="13" t="str">
        <f>+HYPERLINK("http://trademark.i-assist.jp/data/china/image_1912th/80569143.pdf","80569143")</f>
        <v>80569143</v>
      </c>
      <c r="F1185" s="9" t="s">
        <v>3330</v>
      </c>
      <c r="G1185" s="9" t="s">
        <v>3331</v>
      </c>
      <c r="H1185" s="9" t="s">
        <v>3332</v>
      </c>
      <c r="I1185" s="10">
        <v>45530</v>
      </c>
    </row>
    <row r="1186" spans="1:9" x14ac:dyDescent="0.15">
      <c r="A1186" s="9">
        <v>1185</v>
      </c>
      <c r="B1186" s="9" t="s">
        <v>9</v>
      </c>
      <c r="C1186" s="9">
        <v>1912</v>
      </c>
      <c r="D1186" s="10">
        <v>45616</v>
      </c>
      <c r="E1186" s="13" t="str">
        <f>+HYPERLINK("http://trademark.i-assist.jp/data/china/image_1912th/80569178.pdf","80569178")</f>
        <v>80569178</v>
      </c>
      <c r="F1186" s="9" t="s">
        <v>3333</v>
      </c>
      <c r="G1186" s="9" t="s">
        <v>3334</v>
      </c>
      <c r="H1186" s="9" t="s">
        <v>3335</v>
      </c>
      <c r="I1186" s="10">
        <v>45530</v>
      </c>
    </row>
    <row r="1187" spans="1:9" x14ac:dyDescent="0.15">
      <c r="A1187" s="9">
        <v>1186</v>
      </c>
      <c r="B1187" s="9" t="s">
        <v>9</v>
      </c>
      <c r="C1187" s="9">
        <v>1912</v>
      </c>
      <c r="D1187" s="10">
        <v>45616</v>
      </c>
      <c r="E1187" s="13" t="str">
        <f>+HYPERLINK("http://trademark.i-assist.jp/data/china/image_1912th/80569204.pdf","80569204")</f>
        <v>80569204</v>
      </c>
      <c r="F1187" s="9" t="s">
        <v>3336</v>
      </c>
      <c r="G1187" s="12" t="s">
        <v>3233</v>
      </c>
      <c r="H1187" s="12" t="s">
        <v>3337</v>
      </c>
      <c r="I1187" s="10">
        <v>45530</v>
      </c>
    </row>
    <row r="1188" spans="1:9" x14ac:dyDescent="0.15">
      <c r="A1188" s="9">
        <v>1187</v>
      </c>
      <c r="B1188" s="9" t="s">
        <v>9</v>
      </c>
      <c r="C1188" s="9">
        <v>1912</v>
      </c>
      <c r="D1188" s="10">
        <v>45616</v>
      </c>
      <c r="E1188" s="13" t="str">
        <f>+HYPERLINK("http://trademark.i-assist.jp/data/china/image_1912th/80569335.pdf","80569335")</f>
        <v>80569335</v>
      </c>
      <c r="F1188" s="9" t="s">
        <v>3338</v>
      </c>
      <c r="G1188" s="12" t="s">
        <v>3152</v>
      </c>
      <c r="H1188" s="12" t="s">
        <v>3339</v>
      </c>
      <c r="I1188" s="10">
        <v>45530</v>
      </c>
    </row>
    <row r="1189" spans="1:9" x14ac:dyDescent="0.15">
      <c r="A1189" s="9">
        <v>1188</v>
      </c>
      <c r="B1189" s="9" t="s">
        <v>9</v>
      </c>
      <c r="C1189" s="9">
        <v>1912</v>
      </c>
      <c r="D1189" s="10">
        <v>45616</v>
      </c>
      <c r="E1189" s="13" t="str">
        <f>+HYPERLINK("http://trademark.i-assist.jp/data/china/image_1912th/80569517.pdf","80569517")</f>
        <v>80569517</v>
      </c>
      <c r="F1189" s="9" t="s">
        <v>3340</v>
      </c>
      <c r="G1189" s="12" t="s">
        <v>3341</v>
      </c>
      <c r="H1189" s="9" t="s">
        <v>3342</v>
      </c>
      <c r="I1189" s="10">
        <v>45530</v>
      </c>
    </row>
    <row r="1190" spans="1:9" x14ac:dyDescent="0.15">
      <c r="A1190" s="9">
        <v>1189</v>
      </c>
      <c r="B1190" s="9" t="s">
        <v>9</v>
      </c>
      <c r="C1190" s="9">
        <v>1912</v>
      </c>
      <c r="D1190" s="10">
        <v>45616</v>
      </c>
      <c r="E1190" s="13" t="str">
        <f>+HYPERLINK("http://trademark.i-assist.jp/data/china/image_1912th/80569524.pdf","80569524")</f>
        <v>80569524</v>
      </c>
      <c r="F1190" s="9" t="s">
        <v>3343</v>
      </c>
      <c r="G1190" s="12" t="s">
        <v>3268</v>
      </c>
      <c r="H1190" s="9" t="s">
        <v>3344</v>
      </c>
      <c r="I1190" s="10">
        <v>45530</v>
      </c>
    </row>
    <row r="1191" spans="1:9" x14ac:dyDescent="0.15">
      <c r="A1191" s="9">
        <v>1190</v>
      </c>
      <c r="B1191" s="9" t="s">
        <v>9</v>
      </c>
      <c r="C1191" s="9">
        <v>1912</v>
      </c>
      <c r="D1191" s="10">
        <v>45616</v>
      </c>
      <c r="E1191" s="13" t="str">
        <f>+HYPERLINK("http://trademark.i-assist.jp/data/china/image_1912th/80570464.pdf","80570464")</f>
        <v>80570464</v>
      </c>
      <c r="F1191" s="12" t="s">
        <v>15</v>
      </c>
      <c r="G1191" s="9" t="s">
        <v>3345</v>
      </c>
      <c r="H1191" s="9" t="s">
        <v>3346</v>
      </c>
      <c r="I1191" s="10">
        <v>45530</v>
      </c>
    </row>
    <row r="1192" spans="1:9" x14ac:dyDescent="0.15">
      <c r="A1192" s="9">
        <v>1191</v>
      </c>
      <c r="B1192" s="9" t="s">
        <v>9</v>
      </c>
      <c r="C1192" s="9">
        <v>1912</v>
      </c>
      <c r="D1192" s="10">
        <v>45616</v>
      </c>
      <c r="E1192" s="13" t="str">
        <f>+HYPERLINK("http://trademark.i-assist.jp/data/china/image_1912th/80570524.pdf","80570524")</f>
        <v>80570524</v>
      </c>
      <c r="F1192" s="9" t="s">
        <v>3347</v>
      </c>
      <c r="G1192" s="9" t="s">
        <v>3348</v>
      </c>
      <c r="H1192" s="12" t="s">
        <v>3349</v>
      </c>
      <c r="I1192" s="10">
        <v>45530</v>
      </c>
    </row>
    <row r="1193" spans="1:9" x14ac:dyDescent="0.15">
      <c r="A1193" s="9">
        <v>1192</v>
      </c>
      <c r="B1193" s="9" t="s">
        <v>9</v>
      </c>
      <c r="C1193" s="9">
        <v>1912</v>
      </c>
      <c r="D1193" s="10">
        <v>45616</v>
      </c>
      <c r="E1193" s="13" t="str">
        <f>+HYPERLINK("http://trademark.i-assist.jp/data/china/image_1912th/80570712.pdf","80570712")</f>
        <v>80570712</v>
      </c>
      <c r="F1193" s="9" t="s">
        <v>3350</v>
      </c>
      <c r="G1193" s="12" t="s">
        <v>3351</v>
      </c>
      <c r="H1193" s="9" t="s">
        <v>3352</v>
      </c>
      <c r="I1193" s="10">
        <v>45530</v>
      </c>
    </row>
    <row r="1194" spans="1:9" x14ac:dyDescent="0.15">
      <c r="A1194" s="9">
        <v>1193</v>
      </c>
      <c r="B1194" s="9" t="s">
        <v>9</v>
      </c>
      <c r="C1194" s="9">
        <v>1912</v>
      </c>
      <c r="D1194" s="10">
        <v>45616</v>
      </c>
      <c r="E1194" s="13" t="str">
        <f>+HYPERLINK("http://trademark.i-assist.jp/data/china/image_1912th/80570875.pdf","80570875")</f>
        <v>80570875</v>
      </c>
      <c r="F1194" s="9" t="s">
        <v>3353</v>
      </c>
      <c r="G1194" s="9" t="s">
        <v>3354</v>
      </c>
      <c r="H1194" s="9" t="s">
        <v>3355</v>
      </c>
      <c r="I1194" s="10">
        <v>45530</v>
      </c>
    </row>
    <row r="1195" spans="1:9" x14ac:dyDescent="0.15">
      <c r="A1195" s="9">
        <v>1194</v>
      </c>
      <c r="B1195" s="9" t="s">
        <v>9</v>
      </c>
      <c r="C1195" s="9">
        <v>1912</v>
      </c>
      <c r="D1195" s="10">
        <v>45616</v>
      </c>
      <c r="E1195" s="13" t="str">
        <f>+HYPERLINK("http://trademark.i-assist.jp/data/china/image_1912th/80570886.pdf","80570886")</f>
        <v>80570886</v>
      </c>
      <c r="F1195" s="9" t="s">
        <v>3356</v>
      </c>
      <c r="G1195" s="9" t="s">
        <v>1158</v>
      </c>
      <c r="H1195" s="9" t="s">
        <v>3357</v>
      </c>
      <c r="I1195" s="10">
        <v>45530</v>
      </c>
    </row>
    <row r="1196" spans="1:9" x14ac:dyDescent="0.15">
      <c r="A1196" s="9">
        <v>1195</v>
      </c>
      <c r="B1196" s="9" t="s">
        <v>9</v>
      </c>
      <c r="C1196" s="9">
        <v>1912</v>
      </c>
      <c r="D1196" s="10">
        <v>45616</v>
      </c>
      <c r="E1196" s="13" t="str">
        <f>+HYPERLINK("http://trademark.i-assist.jp/data/china/image_1912th/80571016.pdf","80571016")</f>
        <v>80571016</v>
      </c>
      <c r="F1196" s="9" t="s">
        <v>3358</v>
      </c>
      <c r="G1196" s="9" t="s">
        <v>3359</v>
      </c>
      <c r="H1196" s="9" t="s">
        <v>3360</v>
      </c>
      <c r="I1196" s="10">
        <v>45530</v>
      </c>
    </row>
    <row r="1197" spans="1:9" x14ac:dyDescent="0.15">
      <c r="A1197" s="9">
        <v>1196</v>
      </c>
      <c r="B1197" s="9" t="s">
        <v>9</v>
      </c>
      <c r="C1197" s="9">
        <v>1912</v>
      </c>
      <c r="D1197" s="10">
        <v>45616</v>
      </c>
      <c r="E1197" s="13" t="str">
        <f>+HYPERLINK("http://trademark.i-assist.jp/data/china/image_1912th/80571094.pdf","80571094")</f>
        <v>80571094</v>
      </c>
      <c r="F1197" s="9" t="s">
        <v>3361</v>
      </c>
      <c r="G1197" s="9" t="s">
        <v>3362</v>
      </c>
      <c r="H1197" s="9" t="s">
        <v>3363</v>
      </c>
      <c r="I1197" s="10">
        <v>45530</v>
      </c>
    </row>
    <row r="1198" spans="1:9" x14ac:dyDescent="0.15">
      <c r="A1198" s="9">
        <v>1197</v>
      </c>
      <c r="B1198" s="9" t="s">
        <v>9</v>
      </c>
      <c r="C1198" s="9">
        <v>1912</v>
      </c>
      <c r="D1198" s="10">
        <v>45616</v>
      </c>
      <c r="E1198" s="13" t="str">
        <f>+HYPERLINK("http://trademark.i-assist.jp/data/china/image_1912th/80571185.pdf","80571185")</f>
        <v>80571185</v>
      </c>
      <c r="F1198" s="12" t="s">
        <v>15</v>
      </c>
      <c r="G1198" s="9" t="s">
        <v>3364</v>
      </c>
      <c r="H1198" s="9" t="s">
        <v>3365</v>
      </c>
      <c r="I1198" s="10">
        <v>45530</v>
      </c>
    </row>
    <row r="1199" spans="1:9" x14ac:dyDescent="0.15">
      <c r="A1199" s="9">
        <v>1198</v>
      </c>
      <c r="B1199" s="9" t="s">
        <v>9</v>
      </c>
      <c r="C1199" s="9">
        <v>1912</v>
      </c>
      <c r="D1199" s="10">
        <v>45616</v>
      </c>
      <c r="E1199" s="13" t="str">
        <f>+HYPERLINK("http://trademark.i-assist.jp/data/china/image_1912th/80571623.pdf","80571623")</f>
        <v>80571623</v>
      </c>
      <c r="F1199" s="12" t="s">
        <v>3366</v>
      </c>
      <c r="G1199" s="9" t="s">
        <v>3367</v>
      </c>
      <c r="H1199" s="9" t="s">
        <v>3368</v>
      </c>
      <c r="I1199" s="10">
        <v>45530</v>
      </c>
    </row>
    <row r="1200" spans="1:9" x14ac:dyDescent="0.15">
      <c r="A1200" s="9">
        <v>1199</v>
      </c>
      <c r="B1200" s="9" t="s">
        <v>9</v>
      </c>
      <c r="C1200" s="9">
        <v>1912</v>
      </c>
      <c r="D1200" s="10">
        <v>45616</v>
      </c>
      <c r="E1200" s="13" t="str">
        <f>+HYPERLINK("http://trademark.i-assist.jp/data/china/image_1912th/80571635.pdf","80571635")</f>
        <v>80571635</v>
      </c>
      <c r="F1200" s="9" t="s">
        <v>3369</v>
      </c>
      <c r="G1200" s="9" t="s">
        <v>3328</v>
      </c>
      <c r="H1200" s="9" t="s">
        <v>3370</v>
      </c>
      <c r="I1200" s="10">
        <v>45530</v>
      </c>
    </row>
    <row r="1201" spans="1:9" x14ac:dyDescent="0.15">
      <c r="A1201" s="9">
        <v>1200</v>
      </c>
      <c r="B1201" s="9" t="s">
        <v>9</v>
      </c>
      <c r="C1201" s="9">
        <v>1912</v>
      </c>
      <c r="D1201" s="10">
        <v>45616</v>
      </c>
      <c r="E1201" s="13" t="str">
        <f>+HYPERLINK("http://trademark.i-assist.jp/data/china/image_1912th/80571873.pdf","80571873")</f>
        <v>80571873</v>
      </c>
      <c r="F1201" s="9" t="s">
        <v>3371</v>
      </c>
      <c r="G1201" s="9" t="s">
        <v>3372</v>
      </c>
      <c r="H1201" s="9" t="s">
        <v>3373</v>
      </c>
      <c r="I1201" s="10">
        <v>45530</v>
      </c>
    </row>
    <row r="1202" spans="1:9" x14ac:dyDescent="0.15">
      <c r="A1202" s="9">
        <v>1201</v>
      </c>
      <c r="B1202" s="9" t="s">
        <v>9</v>
      </c>
      <c r="C1202" s="9">
        <v>1912</v>
      </c>
      <c r="D1202" s="10">
        <v>45616</v>
      </c>
      <c r="E1202" s="13" t="str">
        <f>+HYPERLINK("http://trademark.i-assist.jp/data/china/image_1912th/80571883.pdf","80571883")</f>
        <v>80571883</v>
      </c>
      <c r="F1202" s="9" t="s">
        <v>3374</v>
      </c>
      <c r="G1202" s="9" t="s">
        <v>3323</v>
      </c>
      <c r="H1202" s="9" t="s">
        <v>3375</v>
      </c>
      <c r="I1202" s="10">
        <v>45530</v>
      </c>
    </row>
    <row r="1203" spans="1:9" x14ac:dyDescent="0.15">
      <c r="A1203" s="9">
        <v>1202</v>
      </c>
      <c r="B1203" s="9" t="s">
        <v>9</v>
      </c>
      <c r="C1203" s="9">
        <v>1912</v>
      </c>
      <c r="D1203" s="10">
        <v>45616</v>
      </c>
      <c r="E1203" s="13" t="str">
        <f>+HYPERLINK("http://trademark.i-assist.jp/data/china/image_1912th/80572247.pdf","80572247")</f>
        <v>80572247</v>
      </c>
      <c r="F1203" s="9" t="s">
        <v>3376</v>
      </c>
      <c r="G1203" s="9" t="s">
        <v>3377</v>
      </c>
      <c r="H1203" s="9" t="s">
        <v>3378</v>
      </c>
      <c r="I1203" s="10">
        <v>45530</v>
      </c>
    </row>
    <row r="1204" spans="1:9" x14ac:dyDescent="0.15">
      <c r="A1204" s="9">
        <v>1203</v>
      </c>
      <c r="B1204" s="9" t="s">
        <v>9</v>
      </c>
      <c r="C1204" s="9">
        <v>1912</v>
      </c>
      <c r="D1204" s="10">
        <v>45616</v>
      </c>
      <c r="E1204" s="13" t="str">
        <f>+HYPERLINK("http://trademark.i-assist.jp/data/china/image_1912th/80572475.pdf","80572475")</f>
        <v>80572475</v>
      </c>
      <c r="F1204" s="9" t="s">
        <v>3379</v>
      </c>
      <c r="G1204" s="9" t="s">
        <v>3379</v>
      </c>
      <c r="H1204" s="9" t="s">
        <v>3380</v>
      </c>
      <c r="I1204" s="10">
        <v>45530</v>
      </c>
    </row>
    <row r="1205" spans="1:9" x14ac:dyDescent="0.15">
      <c r="A1205" s="9">
        <v>1204</v>
      </c>
      <c r="B1205" s="9" t="s">
        <v>9</v>
      </c>
      <c r="C1205" s="9">
        <v>1912</v>
      </c>
      <c r="D1205" s="10">
        <v>45616</v>
      </c>
      <c r="E1205" s="13" t="str">
        <f>+HYPERLINK("http://trademark.i-assist.jp/data/china/image_1912th/80572871.pdf","80572871")</f>
        <v>80572871</v>
      </c>
      <c r="F1205" s="9" t="s">
        <v>3381</v>
      </c>
      <c r="G1205" s="9" t="s">
        <v>3382</v>
      </c>
      <c r="H1205" s="12" t="s">
        <v>3383</v>
      </c>
      <c r="I1205" s="10">
        <v>45530</v>
      </c>
    </row>
    <row r="1206" spans="1:9" x14ac:dyDescent="0.15">
      <c r="A1206" s="9">
        <v>1205</v>
      </c>
      <c r="B1206" s="9" t="s">
        <v>9</v>
      </c>
      <c r="C1206" s="9">
        <v>1912</v>
      </c>
      <c r="D1206" s="10">
        <v>45616</v>
      </c>
      <c r="E1206" s="13" t="str">
        <f>+HYPERLINK("http://trademark.i-assist.jp/data/china/image_1912th/80573096.pdf","80573096")</f>
        <v>80573096</v>
      </c>
      <c r="F1206" s="9" t="s">
        <v>3384</v>
      </c>
      <c r="G1206" s="9" t="s">
        <v>3385</v>
      </c>
      <c r="H1206" s="9" t="s">
        <v>3386</v>
      </c>
      <c r="I1206" s="10">
        <v>45530</v>
      </c>
    </row>
    <row r="1207" spans="1:9" x14ac:dyDescent="0.15">
      <c r="A1207" s="9">
        <v>1206</v>
      </c>
      <c r="B1207" s="9" t="s">
        <v>9</v>
      </c>
      <c r="C1207" s="9">
        <v>1912</v>
      </c>
      <c r="D1207" s="10">
        <v>45616</v>
      </c>
      <c r="E1207" s="13" t="str">
        <f>+HYPERLINK("http://trademark.i-assist.jp/data/china/image_1912th/80573131.pdf","80573131")</f>
        <v>80573131</v>
      </c>
      <c r="F1207" s="9" t="s">
        <v>3387</v>
      </c>
      <c r="G1207" s="12" t="s">
        <v>3388</v>
      </c>
      <c r="H1207" s="9" t="s">
        <v>3389</v>
      </c>
      <c r="I1207" s="10">
        <v>45530</v>
      </c>
    </row>
    <row r="1208" spans="1:9" x14ac:dyDescent="0.15">
      <c r="A1208" s="9">
        <v>1207</v>
      </c>
      <c r="B1208" s="9" t="s">
        <v>9</v>
      </c>
      <c r="C1208" s="9">
        <v>1912</v>
      </c>
      <c r="D1208" s="10">
        <v>45616</v>
      </c>
      <c r="E1208" s="13" t="str">
        <f>+HYPERLINK("http://trademark.i-assist.jp/data/china/image_1912th/80573222.pdf","80573222")</f>
        <v>80573222</v>
      </c>
      <c r="F1208" s="12" t="s">
        <v>3136</v>
      </c>
      <c r="G1208" s="9" t="s">
        <v>3137</v>
      </c>
      <c r="H1208" s="9" t="s">
        <v>3390</v>
      </c>
      <c r="I1208" s="10">
        <v>45530</v>
      </c>
    </row>
    <row r="1209" spans="1:9" x14ac:dyDescent="0.15">
      <c r="A1209" s="9">
        <v>1208</v>
      </c>
      <c r="B1209" s="9" t="s">
        <v>9</v>
      </c>
      <c r="C1209" s="9">
        <v>1912</v>
      </c>
      <c r="D1209" s="10">
        <v>45616</v>
      </c>
      <c r="E1209" s="13" t="str">
        <f>+HYPERLINK("http://trademark.i-assist.jp/data/china/image_1912th/80573255.pdf","80573255")</f>
        <v>80573255</v>
      </c>
      <c r="F1209" s="9" t="s">
        <v>3391</v>
      </c>
      <c r="G1209" s="9" t="s">
        <v>3392</v>
      </c>
      <c r="H1209" s="9" t="s">
        <v>3393</v>
      </c>
      <c r="I1209" s="10">
        <v>45530</v>
      </c>
    </row>
    <row r="1210" spans="1:9" x14ac:dyDescent="0.15">
      <c r="A1210" s="9">
        <v>1209</v>
      </c>
      <c r="B1210" s="9" t="s">
        <v>9</v>
      </c>
      <c r="C1210" s="9">
        <v>1912</v>
      </c>
      <c r="D1210" s="10">
        <v>45616</v>
      </c>
      <c r="E1210" s="13" t="str">
        <f>+HYPERLINK("http://trademark.i-assist.jp/data/china/image_1912th/80573530.pdf","80573530")</f>
        <v>80573530</v>
      </c>
      <c r="F1210" s="9" t="s">
        <v>3394</v>
      </c>
      <c r="G1210" s="12" t="s">
        <v>3395</v>
      </c>
      <c r="H1210" s="12" t="s">
        <v>3396</v>
      </c>
      <c r="I1210" s="10">
        <v>45530</v>
      </c>
    </row>
    <row r="1211" spans="1:9" x14ac:dyDescent="0.15">
      <c r="A1211" s="9">
        <v>1210</v>
      </c>
      <c r="B1211" s="9" t="s">
        <v>9</v>
      </c>
      <c r="C1211" s="9">
        <v>1912</v>
      </c>
      <c r="D1211" s="10">
        <v>45616</v>
      </c>
      <c r="E1211" s="13" t="str">
        <f>+HYPERLINK("http://trademark.i-assist.jp/data/china/image_1912th/80573814.pdf","80573814")</f>
        <v>80573814</v>
      </c>
      <c r="F1211" s="9" t="s">
        <v>3397</v>
      </c>
      <c r="G1211" s="9" t="s">
        <v>3398</v>
      </c>
      <c r="H1211" s="9" t="s">
        <v>3399</v>
      </c>
      <c r="I1211" s="10">
        <v>45530</v>
      </c>
    </row>
    <row r="1212" spans="1:9" x14ac:dyDescent="0.15">
      <c r="A1212" s="9">
        <v>1211</v>
      </c>
      <c r="B1212" s="9" t="s">
        <v>9</v>
      </c>
      <c r="C1212" s="9">
        <v>1912</v>
      </c>
      <c r="D1212" s="10">
        <v>45616</v>
      </c>
      <c r="E1212" s="13" t="str">
        <f>+HYPERLINK("http://trademark.i-assist.jp/data/china/image_1912th/80574016.pdf","80574016")</f>
        <v>80574016</v>
      </c>
      <c r="F1212" s="12" t="s">
        <v>3400</v>
      </c>
      <c r="G1212" s="9" t="s">
        <v>3307</v>
      </c>
      <c r="H1212" s="9" t="s">
        <v>3401</v>
      </c>
      <c r="I1212" s="10">
        <v>45530</v>
      </c>
    </row>
    <row r="1213" spans="1:9" x14ac:dyDescent="0.15">
      <c r="A1213" s="9">
        <v>1212</v>
      </c>
      <c r="B1213" s="9" t="s">
        <v>9</v>
      </c>
      <c r="C1213" s="9">
        <v>1912</v>
      </c>
      <c r="D1213" s="10">
        <v>45616</v>
      </c>
      <c r="E1213" s="13" t="str">
        <f>+HYPERLINK("http://trademark.i-assist.jp/data/china/image_1912th/80574130.pdf","80574130")</f>
        <v>80574130</v>
      </c>
      <c r="F1213" s="9" t="s">
        <v>3402</v>
      </c>
      <c r="G1213" s="9" t="s">
        <v>3403</v>
      </c>
      <c r="H1213" s="12" t="s">
        <v>3404</v>
      </c>
      <c r="I1213" s="10">
        <v>45530</v>
      </c>
    </row>
    <row r="1214" spans="1:9" x14ac:dyDescent="0.15">
      <c r="A1214" s="9">
        <v>1213</v>
      </c>
      <c r="B1214" s="9" t="s">
        <v>9</v>
      </c>
      <c r="C1214" s="9">
        <v>1912</v>
      </c>
      <c r="D1214" s="10">
        <v>45616</v>
      </c>
      <c r="E1214" s="13" t="str">
        <f>+HYPERLINK("http://trademark.i-assist.jp/data/china/image_1912th/80574241.pdf","80574241")</f>
        <v>80574241</v>
      </c>
      <c r="F1214" s="12" t="s">
        <v>15</v>
      </c>
      <c r="G1214" s="9" t="s">
        <v>3405</v>
      </c>
      <c r="H1214" s="9" t="s">
        <v>3406</v>
      </c>
      <c r="I1214" s="10">
        <v>45530</v>
      </c>
    </row>
    <row r="1215" spans="1:9" x14ac:dyDescent="0.15">
      <c r="A1215" s="9">
        <v>1214</v>
      </c>
      <c r="B1215" s="9" t="s">
        <v>9</v>
      </c>
      <c r="C1215" s="9">
        <v>1912</v>
      </c>
      <c r="D1215" s="10">
        <v>45616</v>
      </c>
      <c r="E1215" s="13" t="str">
        <f>+HYPERLINK("http://trademark.i-assist.jp/data/china/image_1912th/80574362.pdf","80574362")</f>
        <v>80574362</v>
      </c>
      <c r="F1215" s="9" t="s">
        <v>3407</v>
      </c>
      <c r="G1215" s="12" t="s">
        <v>3408</v>
      </c>
      <c r="H1215" s="9" t="s">
        <v>3409</v>
      </c>
      <c r="I1215" s="10">
        <v>45530</v>
      </c>
    </row>
    <row r="1216" spans="1:9" x14ac:dyDescent="0.15">
      <c r="A1216" s="9">
        <v>1215</v>
      </c>
      <c r="B1216" s="9" t="s">
        <v>9</v>
      </c>
      <c r="C1216" s="9">
        <v>1912</v>
      </c>
      <c r="D1216" s="10">
        <v>45616</v>
      </c>
      <c r="E1216" s="13" t="str">
        <f>+HYPERLINK("http://trademark.i-assist.jp/data/china/image_1912th/80574405.pdf","80574405")</f>
        <v>80574405</v>
      </c>
      <c r="F1216" s="9" t="s">
        <v>3410</v>
      </c>
      <c r="G1216" s="9" t="s">
        <v>3411</v>
      </c>
      <c r="H1216" s="9" t="s">
        <v>3412</v>
      </c>
      <c r="I1216" s="10">
        <v>45530</v>
      </c>
    </row>
    <row r="1217" spans="1:9" x14ac:dyDescent="0.15">
      <c r="A1217" s="9">
        <v>1216</v>
      </c>
      <c r="B1217" s="9" t="s">
        <v>9</v>
      </c>
      <c r="C1217" s="9">
        <v>1912</v>
      </c>
      <c r="D1217" s="10">
        <v>45616</v>
      </c>
      <c r="E1217" s="13" t="str">
        <f>+HYPERLINK("http://trademark.i-assist.jp/data/china/image_1912th/80574479.pdf","80574479")</f>
        <v>80574479</v>
      </c>
      <c r="F1217" s="9" t="s">
        <v>3413</v>
      </c>
      <c r="G1217" s="12" t="s">
        <v>3316</v>
      </c>
      <c r="H1217" s="9" t="s">
        <v>3414</v>
      </c>
      <c r="I1217" s="10">
        <v>45530</v>
      </c>
    </row>
    <row r="1218" spans="1:9" x14ac:dyDescent="0.15">
      <c r="A1218" s="9">
        <v>1217</v>
      </c>
      <c r="B1218" s="9" t="s">
        <v>9</v>
      </c>
      <c r="C1218" s="9">
        <v>1912</v>
      </c>
      <c r="D1218" s="10">
        <v>45616</v>
      </c>
      <c r="E1218" s="13" t="str">
        <f>+HYPERLINK("http://trademark.i-assist.jp/data/china/image_1912th/80574560.pdf","80574560")</f>
        <v>80574560</v>
      </c>
      <c r="F1218" s="12" t="s">
        <v>3415</v>
      </c>
      <c r="G1218" s="9" t="s">
        <v>3416</v>
      </c>
      <c r="H1218" s="9" t="s">
        <v>3417</v>
      </c>
      <c r="I1218" s="10">
        <v>45530</v>
      </c>
    </row>
    <row r="1219" spans="1:9" x14ac:dyDescent="0.15">
      <c r="A1219" s="9">
        <v>1218</v>
      </c>
      <c r="B1219" s="9" t="s">
        <v>9</v>
      </c>
      <c r="C1219" s="9">
        <v>1912</v>
      </c>
      <c r="D1219" s="10">
        <v>45616</v>
      </c>
      <c r="E1219" s="13" t="str">
        <f>+HYPERLINK("http://trademark.i-assist.jp/data/china/image_1912th/80574693.pdf","80574693")</f>
        <v>80574693</v>
      </c>
      <c r="F1219" s="9" t="s">
        <v>3418</v>
      </c>
      <c r="G1219" s="9" t="s">
        <v>3419</v>
      </c>
      <c r="H1219" s="9" t="s">
        <v>3420</v>
      </c>
      <c r="I1219" s="10">
        <v>45530</v>
      </c>
    </row>
    <row r="1220" spans="1:9" x14ac:dyDescent="0.15">
      <c r="A1220" s="9">
        <v>1219</v>
      </c>
      <c r="B1220" s="9" t="s">
        <v>9</v>
      </c>
      <c r="C1220" s="9">
        <v>1912</v>
      </c>
      <c r="D1220" s="10">
        <v>45616</v>
      </c>
      <c r="E1220" s="13" t="str">
        <f>+HYPERLINK("http://trademark.i-assist.jp/data/china/image_1912th/80574850.pdf","80574850")</f>
        <v>80574850</v>
      </c>
      <c r="F1220" s="9" t="s">
        <v>3421</v>
      </c>
      <c r="G1220" s="9" t="s">
        <v>3422</v>
      </c>
      <c r="H1220" s="9" t="s">
        <v>3423</v>
      </c>
      <c r="I1220" s="10">
        <v>45530</v>
      </c>
    </row>
    <row r="1221" spans="1:9" x14ac:dyDescent="0.15">
      <c r="A1221" s="9">
        <v>1220</v>
      </c>
      <c r="B1221" s="9" t="s">
        <v>9</v>
      </c>
      <c r="C1221" s="9">
        <v>1912</v>
      </c>
      <c r="D1221" s="10">
        <v>45616</v>
      </c>
      <c r="E1221" s="13" t="str">
        <f>+HYPERLINK("http://trademark.i-assist.jp/data/china/image_1912th/80574923.pdf","80574923")</f>
        <v>80574923</v>
      </c>
      <c r="F1221" s="9" t="s">
        <v>3424</v>
      </c>
      <c r="G1221" s="9" t="s">
        <v>3425</v>
      </c>
      <c r="H1221" s="9" t="s">
        <v>3426</v>
      </c>
      <c r="I1221" s="10">
        <v>45530</v>
      </c>
    </row>
    <row r="1222" spans="1:9" x14ac:dyDescent="0.15">
      <c r="A1222" s="9">
        <v>1221</v>
      </c>
      <c r="B1222" s="9" t="s">
        <v>9</v>
      </c>
      <c r="C1222" s="9">
        <v>1912</v>
      </c>
      <c r="D1222" s="10">
        <v>45616</v>
      </c>
      <c r="E1222" s="13" t="str">
        <f>+HYPERLINK("http://trademark.i-assist.jp/data/china/image_1912th/80574953.pdf","80574953")</f>
        <v>80574953</v>
      </c>
      <c r="F1222" s="12" t="s">
        <v>3427</v>
      </c>
      <c r="G1222" s="9" t="s">
        <v>3428</v>
      </c>
      <c r="H1222" s="9" t="s">
        <v>3429</v>
      </c>
      <c r="I1222" s="10">
        <v>45530</v>
      </c>
    </row>
    <row r="1223" spans="1:9" x14ac:dyDescent="0.15">
      <c r="A1223" s="9">
        <v>1222</v>
      </c>
      <c r="B1223" s="9" t="s">
        <v>9</v>
      </c>
      <c r="C1223" s="9">
        <v>1912</v>
      </c>
      <c r="D1223" s="10">
        <v>45616</v>
      </c>
      <c r="E1223" s="13" t="str">
        <f>+HYPERLINK("http://trademark.i-assist.jp/data/china/image_1912th/80575480.pdf","80575480")</f>
        <v>80575480</v>
      </c>
      <c r="F1223" s="9" t="s">
        <v>3430</v>
      </c>
      <c r="G1223" s="12" t="s">
        <v>3431</v>
      </c>
      <c r="H1223" s="9" t="s">
        <v>3432</v>
      </c>
      <c r="I1223" s="10">
        <v>45530</v>
      </c>
    </row>
    <row r="1224" spans="1:9" x14ac:dyDescent="0.15">
      <c r="A1224" s="9">
        <v>1223</v>
      </c>
      <c r="B1224" s="9" t="s">
        <v>9</v>
      </c>
      <c r="C1224" s="9">
        <v>1912</v>
      </c>
      <c r="D1224" s="10">
        <v>45616</v>
      </c>
      <c r="E1224" s="13" t="str">
        <f>+HYPERLINK("http://trademark.i-assist.jp/data/china/image_1912th/80575566.pdf","80575566")</f>
        <v>80575566</v>
      </c>
      <c r="F1224" s="9" t="s">
        <v>3433</v>
      </c>
      <c r="G1224" s="12" t="s">
        <v>3434</v>
      </c>
      <c r="H1224" s="9" t="s">
        <v>3435</v>
      </c>
      <c r="I1224" s="10">
        <v>45530</v>
      </c>
    </row>
    <row r="1225" spans="1:9" x14ac:dyDescent="0.15">
      <c r="A1225" s="9">
        <v>1224</v>
      </c>
      <c r="B1225" s="9" t="s">
        <v>9</v>
      </c>
      <c r="C1225" s="9">
        <v>1912</v>
      </c>
      <c r="D1225" s="10">
        <v>45616</v>
      </c>
      <c r="E1225" s="13" t="str">
        <f>+HYPERLINK("http://trademark.i-assist.jp/data/china/image_1912th/80575759.pdf","80575759")</f>
        <v>80575759</v>
      </c>
      <c r="F1225" s="9" t="s">
        <v>3436</v>
      </c>
      <c r="G1225" s="12" t="s">
        <v>3437</v>
      </c>
      <c r="H1225" s="9" t="s">
        <v>3438</v>
      </c>
      <c r="I1225" s="10">
        <v>45530</v>
      </c>
    </row>
    <row r="1226" spans="1:9" x14ac:dyDescent="0.15">
      <c r="A1226" s="9">
        <v>1225</v>
      </c>
      <c r="B1226" s="9" t="s">
        <v>9</v>
      </c>
      <c r="C1226" s="9">
        <v>1912</v>
      </c>
      <c r="D1226" s="10">
        <v>45616</v>
      </c>
      <c r="E1226" s="13" t="str">
        <f>+HYPERLINK("http://trademark.i-assist.jp/data/china/image_1912th/80575867.pdf","80575867")</f>
        <v>80575867</v>
      </c>
      <c r="F1226" s="12" t="s">
        <v>3439</v>
      </c>
      <c r="G1226" s="9" t="s">
        <v>3440</v>
      </c>
      <c r="H1226" s="9" t="s">
        <v>3441</v>
      </c>
      <c r="I1226" s="10">
        <v>45530</v>
      </c>
    </row>
    <row r="1227" spans="1:9" x14ac:dyDescent="0.15">
      <c r="A1227" s="9">
        <v>1226</v>
      </c>
      <c r="B1227" s="9" t="s">
        <v>9</v>
      </c>
      <c r="C1227" s="9">
        <v>1912</v>
      </c>
      <c r="D1227" s="10">
        <v>45616</v>
      </c>
      <c r="E1227" s="13" t="str">
        <f>+HYPERLINK("http://trademark.i-assist.jp/data/china/image_1912th/80576082.pdf","80576082")</f>
        <v>80576082</v>
      </c>
      <c r="F1227" s="9" t="s">
        <v>3442</v>
      </c>
      <c r="G1227" s="9" t="s">
        <v>1158</v>
      </c>
      <c r="H1227" s="9" t="s">
        <v>3443</v>
      </c>
      <c r="I1227" s="10">
        <v>45530</v>
      </c>
    </row>
    <row r="1228" spans="1:9" x14ac:dyDescent="0.15">
      <c r="A1228" s="9">
        <v>1227</v>
      </c>
      <c r="B1228" s="9" t="s">
        <v>9</v>
      </c>
      <c r="C1228" s="9">
        <v>1912</v>
      </c>
      <c r="D1228" s="10">
        <v>45616</v>
      </c>
      <c r="E1228" s="13" t="str">
        <f>+HYPERLINK("http://trademark.i-assist.jp/data/china/image_1912th/80576150.pdf","80576150")</f>
        <v>80576150</v>
      </c>
      <c r="F1228" s="9" t="s">
        <v>3444</v>
      </c>
      <c r="G1228" s="9" t="s">
        <v>3419</v>
      </c>
      <c r="H1228" s="9" t="s">
        <v>3445</v>
      </c>
      <c r="I1228" s="10">
        <v>45530</v>
      </c>
    </row>
    <row r="1229" spans="1:9" x14ac:dyDescent="0.15">
      <c r="A1229" s="9">
        <v>1228</v>
      </c>
      <c r="B1229" s="9" t="s">
        <v>9</v>
      </c>
      <c r="C1229" s="9">
        <v>1912</v>
      </c>
      <c r="D1229" s="10">
        <v>45616</v>
      </c>
      <c r="E1229" s="13" t="str">
        <f>+HYPERLINK("http://trademark.i-assist.jp/data/china/image_1912th/80576172.pdf","80576172")</f>
        <v>80576172</v>
      </c>
      <c r="F1229" s="9" t="s">
        <v>3446</v>
      </c>
      <c r="G1229" s="9" t="s">
        <v>3208</v>
      </c>
      <c r="H1229" s="9" t="s">
        <v>3447</v>
      </c>
      <c r="I1229" s="10">
        <v>45530</v>
      </c>
    </row>
    <row r="1230" spans="1:9" x14ac:dyDescent="0.15">
      <c r="A1230" s="9">
        <v>1229</v>
      </c>
      <c r="B1230" s="9" t="s">
        <v>9</v>
      </c>
      <c r="C1230" s="9">
        <v>1912</v>
      </c>
      <c r="D1230" s="10">
        <v>45616</v>
      </c>
      <c r="E1230" s="13" t="str">
        <f>+HYPERLINK("http://trademark.i-assist.jp/data/china/image_1912th/80576232.pdf","80576232")</f>
        <v>80576232</v>
      </c>
      <c r="F1230" s="9" t="s">
        <v>3448</v>
      </c>
      <c r="G1230" s="12" t="s">
        <v>3449</v>
      </c>
      <c r="H1230" s="9" t="s">
        <v>3450</v>
      </c>
      <c r="I1230" s="10">
        <v>45530</v>
      </c>
    </row>
    <row r="1231" spans="1:9" x14ac:dyDescent="0.15">
      <c r="A1231" s="9">
        <v>1230</v>
      </c>
      <c r="B1231" s="9" t="s">
        <v>9</v>
      </c>
      <c r="C1231" s="9">
        <v>1912</v>
      </c>
      <c r="D1231" s="10">
        <v>45616</v>
      </c>
      <c r="E1231" s="13" t="str">
        <f>+HYPERLINK("http://trademark.i-assist.jp/data/china/image_1912th/80576240.pdf","80576240")</f>
        <v>80576240</v>
      </c>
      <c r="F1231" s="9" t="s">
        <v>3451</v>
      </c>
      <c r="G1231" s="9" t="s">
        <v>3452</v>
      </c>
      <c r="H1231" s="12" t="s">
        <v>3453</v>
      </c>
      <c r="I1231" s="10">
        <v>45530</v>
      </c>
    </row>
    <row r="1232" spans="1:9" x14ac:dyDescent="0.15">
      <c r="A1232" s="9">
        <v>1231</v>
      </c>
      <c r="B1232" s="9" t="s">
        <v>9</v>
      </c>
      <c r="C1232" s="9">
        <v>1912</v>
      </c>
      <c r="D1232" s="10">
        <v>45616</v>
      </c>
      <c r="E1232" s="13" t="str">
        <f>+HYPERLINK("http://trademark.i-assist.jp/data/china/image_1912th/80576273.pdf","80576273")</f>
        <v>80576273</v>
      </c>
      <c r="F1232" s="9" t="s">
        <v>3454</v>
      </c>
      <c r="G1232" s="9" t="s">
        <v>3455</v>
      </c>
      <c r="H1232" s="9" t="s">
        <v>3456</v>
      </c>
      <c r="I1232" s="10">
        <v>45530</v>
      </c>
    </row>
    <row r="1233" spans="1:9" x14ac:dyDescent="0.15">
      <c r="A1233" s="9">
        <v>1232</v>
      </c>
      <c r="B1233" s="9" t="s">
        <v>9</v>
      </c>
      <c r="C1233" s="9">
        <v>1912</v>
      </c>
      <c r="D1233" s="10">
        <v>45616</v>
      </c>
      <c r="E1233" s="13" t="str">
        <f>+HYPERLINK("http://trademark.i-assist.jp/data/china/image_1912th/80576390.pdf","80576390")</f>
        <v>80576390</v>
      </c>
      <c r="F1233" s="9" t="s">
        <v>3457</v>
      </c>
      <c r="G1233" s="12" t="s">
        <v>3143</v>
      </c>
      <c r="H1233" s="9" t="s">
        <v>3458</v>
      </c>
      <c r="I1233" s="10">
        <v>45530</v>
      </c>
    </row>
    <row r="1234" spans="1:9" x14ac:dyDescent="0.15">
      <c r="A1234" s="9">
        <v>1233</v>
      </c>
      <c r="B1234" s="9" t="s">
        <v>9</v>
      </c>
      <c r="C1234" s="9">
        <v>1912</v>
      </c>
      <c r="D1234" s="10">
        <v>45616</v>
      </c>
      <c r="E1234" s="13" t="str">
        <f>+HYPERLINK("http://trademark.i-assist.jp/data/china/image_1912th/80576538.pdf","80576538")</f>
        <v>80576538</v>
      </c>
      <c r="F1234" s="9" t="s">
        <v>3459</v>
      </c>
      <c r="G1234" s="9" t="s">
        <v>3307</v>
      </c>
      <c r="H1234" s="9" t="s">
        <v>3460</v>
      </c>
      <c r="I1234" s="10">
        <v>45530</v>
      </c>
    </row>
    <row r="1235" spans="1:9" x14ac:dyDescent="0.15">
      <c r="A1235" s="9">
        <v>1234</v>
      </c>
      <c r="B1235" s="9" t="s">
        <v>9</v>
      </c>
      <c r="C1235" s="9">
        <v>1912</v>
      </c>
      <c r="D1235" s="10">
        <v>45616</v>
      </c>
      <c r="E1235" s="13" t="str">
        <f>+HYPERLINK("http://trademark.i-assist.jp/data/china/image_1912th/80576552.pdf","80576552")</f>
        <v>80576552</v>
      </c>
      <c r="F1235" s="9" t="s">
        <v>3461</v>
      </c>
      <c r="G1235" s="9" t="s">
        <v>3227</v>
      </c>
      <c r="H1235" s="9" t="s">
        <v>3462</v>
      </c>
      <c r="I1235" s="10">
        <v>45530</v>
      </c>
    </row>
    <row r="1236" spans="1:9" x14ac:dyDescent="0.15">
      <c r="A1236" s="9">
        <v>1235</v>
      </c>
      <c r="B1236" s="9" t="s">
        <v>9</v>
      </c>
      <c r="C1236" s="9">
        <v>1912</v>
      </c>
      <c r="D1236" s="10">
        <v>45616</v>
      </c>
      <c r="E1236" s="13" t="str">
        <f>+HYPERLINK("http://trademark.i-assist.jp/data/china/image_1912th/80576668.pdf","80576668")</f>
        <v>80576668</v>
      </c>
      <c r="F1236" s="12" t="s">
        <v>3463</v>
      </c>
      <c r="G1236" s="9" t="s">
        <v>3464</v>
      </c>
      <c r="H1236" s="9" t="s">
        <v>3465</v>
      </c>
      <c r="I1236" s="10">
        <v>45530</v>
      </c>
    </row>
    <row r="1237" spans="1:9" x14ac:dyDescent="0.15">
      <c r="A1237" s="9">
        <v>1236</v>
      </c>
      <c r="B1237" s="9" t="s">
        <v>9</v>
      </c>
      <c r="C1237" s="9">
        <v>1912</v>
      </c>
      <c r="D1237" s="10">
        <v>45616</v>
      </c>
      <c r="E1237" s="13" t="str">
        <f>+HYPERLINK("http://trademark.i-assist.jp/data/china/image_1912th/80576713.pdf","80576713")</f>
        <v>80576713</v>
      </c>
      <c r="F1237" s="9" t="s">
        <v>3466</v>
      </c>
      <c r="G1237" s="9" t="s">
        <v>3467</v>
      </c>
      <c r="H1237" s="9" t="s">
        <v>3468</v>
      </c>
      <c r="I1237" s="10">
        <v>45530</v>
      </c>
    </row>
    <row r="1238" spans="1:9" x14ac:dyDescent="0.15">
      <c r="A1238" s="9">
        <v>1237</v>
      </c>
      <c r="B1238" s="9" t="s">
        <v>9</v>
      </c>
      <c r="C1238" s="9">
        <v>1912</v>
      </c>
      <c r="D1238" s="10">
        <v>45616</v>
      </c>
      <c r="E1238" s="13" t="str">
        <f>+HYPERLINK("http://trademark.i-assist.jp/data/china/image_1912th/80576980.pdf","80576980")</f>
        <v>80576980</v>
      </c>
      <c r="F1238" s="11" t="s">
        <v>3469</v>
      </c>
      <c r="G1238" s="9" t="s">
        <v>3470</v>
      </c>
      <c r="H1238" s="12" t="s">
        <v>3471</v>
      </c>
      <c r="I1238" s="10">
        <v>45530</v>
      </c>
    </row>
    <row r="1239" spans="1:9" x14ac:dyDescent="0.15">
      <c r="A1239" s="9">
        <v>1238</v>
      </c>
      <c r="B1239" s="9" t="s">
        <v>9</v>
      </c>
      <c r="C1239" s="9">
        <v>1912</v>
      </c>
      <c r="D1239" s="10">
        <v>45616</v>
      </c>
      <c r="E1239" s="13" t="str">
        <f>+HYPERLINK("http://trademark.i-assist.jp/data/china/image_1912th/80577490.pdf","80577490")</f>
        <v>80577490</v>
      </c>
      <c r="F1239" s="12" t="s">
        <v>3472</v>
      </c>
      <c r="G1239" s="9" t="s">
        <v>3473</v>
      </c>
      <c r="H1239" s="9" t="s">
        <v>3474</v>
      </c>
      <c r="I1239" s="10">
        <v>45530</v>
      </c>
    </row>
    <row r="1240" spans="1:9" x14ac:dyDescent="0.15">
      <c r="A1240" s="9">
        <v>1239</v>
      </c>
      <c r="B1240" s="9" t="s">
        <v>9</v>
      </c>
      <c r="C1240" s="9">
        <v>1912</v>
      </c>
      <c r="D1240" s="10">
        <v>45616</v>
      </c>
      <c r="E1240" s="13" t="str">
        <f>+HYPERLINK("http://trademark.i-assist.jp/data/china/image_1912th/80577945.pdf","80577945")</f>
        <v>80577945</v>
      </c>
      <c r="F1240" s="12" t="s">
        <v>3475</v>
      </c>
      <c r="G1240" s="12" t="s">
        <v>3476</v>
      </c>
      <c r="H1240" s="9" t="s">
        <v>3477</v>
      </c>
      <c r="I1240" s="10">
        <v>45530</v>
      </c>
    </row>
    <row r="1241" spans="1:9" x14ac:dyDescent="0.15">
      <c r="A1241" s="9">
        <v>1240</v>
      </c>
      <c r="B1241" s="9" t="s">
        <v>9</v>
      </c>
      <c r="C1241" s="9">
        <v>1912</v>
      </c>
      <c r="D1241" s="10">
        <v>45616</v>
      </c>
      <c r="E1241" s="13" t="str">
        <f>+HYPERLINK("http://trademark.i-assist.jp/data/china/image_1912th/80578283.pdf","80578283")</f>
        <v>80578283</v>
      </c>
      <c r="F1241" s="9" t="s">
        <v>3478</v>
      </c>
      <c r="G1241" s="12" t="s">
        <v>3479</v>
      </c>
      <c r="H1241" s="9" t="s">
        <v>3480</v>
      </c>
      <c r="I1241" s="10">
        <v>45531</v>
      </c>
    </row>
    <row r="1242" spans="1:9" x14ac:dyDescent="0.15">
      <c r="A1242" s="9">
        <v>1241</v>
      </c>
      <c r="B1242" s="9" t="s">
        <v>9</v>
      </c>
      <c r="C1242" s="9">
        <v>1912</v>
      </c>
      <c r="D1242" s="10">
        <v>45616</v>
      </c>
      <c r="E1242" s="13" t="str">
        <f>+HYPERLINK("http://trademark.i-assist.jp/data/china/image_1912th/80578302.pdf","80578302")</f>
        <v>80578302</v>
      </c>
      <c r="F1242" s="9" t="s">
        <v>3481</v>
      </c>
      <c r="G1242" s="12" t="s">
        <v>3479</v>
      </c>
      <c r="H1242" s="9" t="s">
        <v>3482</v>
      </c>
      <c r="I1242" s="10">
        <v>45531</v>
      </c>
    </row>
    <row r="1243" spans="1:9" x14ac:dyDescent="0.15">
      <c r="A1243" s="9">
        <v>1242</v>
      </c>
      <c r="B1243" s="9" t="s">
        <v>9</v>
      </c>
      <c r="C1243" s="9">
        <v>1912</v>
      </c>
      <c r="D1243" s="10">
        <v>45616</v>
      </c>
      <c r="E1243" s="13" t="str">
        <f>+HYPERLINK("http://trademark.i-assist.jp/data/china/image_1912th/80578421.pdf","80578421")</f>
        <v>80578421</v>
      </c>
      <c r="F1243" s="9" t="s">
        <v>3483</v>
      </c>
      <c r="G1243" s="9" t="s">
        <v>3484</v>
      </c>
      <c r="H1243" s="9" t="s">
        <v>3485</v>
      </c>
      <c r="I1243" s="10">
        <v>45531</v>
      </c>
    </row>
    <row r="1244" spans="1:9" x14ac:dyDescent="0.15">
      <c r="A1244" s="9">
        <v>1243</v>
      </c>
      <c r="B1244" s="9" t="s">
        <v>9</v>
      </c>
      <c r="C1244" s="9">
        <v>1912</v>
      </c>
      <c r="D1244" s="10">
        <v>45616</v>
      </c>
      <c r="E1244" s="13" t="str">
        <f>+HYPERLINK("http://trademark.i-assist.jp/data/china/image_1912th/80578928.pdf","80578928")</f>
        <v>80578928</v>
      </c>
      <c r="F1244" s="12" t="s">
        <v>15</v>
      </c>
      <c r="G1244" s="9" t="s">
        <v>50</v>
      </c>
      <c r="H1244" s="12" t="s">
        <v>3486</v>
      </c>
      <c r="I1244" s="10">
        <v>45531</v>
      </c>
    </row>
    <row r="1245" spans="1:9" x14ac:dyDescent="0.15">
      <c r="A1245" s="9">
        <v>1244</v>
      </c>
      <c r="B1245" s="9" t="s">
        <v>9</v>
      </c>
      <c r="C1245" s="9">
        <v>1912</v>
      </c>
      <c r="D1245" s="10">
        <v>45616</v>
      </c>
      <c r="E1245" s="13" t="str">
        <f>+HYPERLINK("http://trademark.i-assist.jp/data/china/image_1912th/80578973.pdf","80578973")</f>
        <v>80578973</v>
      </c>
      <c r="F1245" s="9" t="s">
        <v>3487</v>
      </c>
      <c r="G1245" s="9" t="s">
        <v>3488</v>
      </c>
      <c r="H1245" s="9" t="s">
        <v>3489</v>
      </c>
      <c r="I1245" s="10">
        <v>45531</v>
      </c>
    </row>
    <row r="1246" spans="1:9" x14ac:dyDescent="0.15">
      <c r="A1246" s="9">
        <v>1245</v>
      </c>
      <c r="B1246" s="9" t="s">
        <v>9</v>
      </c>
      <c r="C1246" s="9">
        <v>1912</v>
      </c>
      <c r="D1246" s="10">
        <v>45616</v>
      </c>
      <c r="E1246" s="13" t="str">
        <f>+HYPERLINK("http://trademark.i-assist.jp/data/china/image_1912th/80579013.pdf","80579013")</f>
        <v>80579013</v>
      </c>
      <c r="F1246" s="9" t="s">
        <v>3490</v>
      </c>
      <c r="G1246" s="9" t="s">
        <v>3491</v>
      </c>
      <c r="H1246" s="9" t="s">
        <v>3492</v>
      </c>
      <c r="I1246" s="10">
        <v>45531</v>
      </c>
    </row>
    <row r="1247" spans="1:9" x14ac:dyDescent="0.15">
      <c r="A1247" s="9">
        <v>1246</v>
      </c>
      <c r="B1247" s="9" t="s">
        <v>9</v>
      </c>
      <c r="C1247" s="9">
        <v>1912</v>
      </c>
      <c r="D1247" s="10">
        <v>45616</v>
      </c>
      <c r="E1247" s="13" t="str">
        <f>+HYPERLINK("http://trademark.i-assist.jp/data/china/image_1912th/80579269.pdf","80579269")</f>
        <v>80579269</v>
      </c>
      <c r="F1247" s="9" t="s">
        <v>3493</v>
      </c>
      <c r="G1247" s="9" t="s">
        <v>3494</v>
      </c>
      <c r="H1247" s="9" t="s">
        <v>3495</v>
      </c>
      <c r="I1247" s="10">
        <v>45531</v>
      </c>
    </row>
    <row r="1248" spans="1:9" x14ac:dyDescent="0.15">
      <c r="A1248" s="9">
        <v>1247</v>
      </c>
      <c r="B1248" s="9" t="s">
        <v>9</v>
      </c>
      <c r="C1248" s="9">
        <v>1912</v>
      </c>
      <c r="D1248" s="10">
        <v>45616</v>
      </c>
      <c r="E1248" s="13" t="str">
        <f>+HYPERLINK("http://trademark.i-assist.jp/data/china/image_1912th/80579381.pdf","80579381")</f>
        <v>80579381</v>
      </c>
      <c r="F1248" s="9" t="s">
        <v>3496</v>
      </c>
      <c r="G1248" s="12" t="s">
        <v>3497</v>
      </c>
      <c r="H1248" s="9" t="s">
        <v>3498</v>
      </c>
      <c r="I1248" s="10">
        <v>45531</v>
      </c>
    </row>
    <row r="1249" spans="1:9" x14ac:dyDescent="0.15">
      <c r="A1249" s="9">
        <v>1248</v>
      </c>
      <c r="B1249" s="9" t="s">
        <v>9</v>
      </c>
      <c r="C1249" s="9">
        <v>1912</v>
      </c>
      <c r="D1249" s="10">
        <v>45616</v>
      </c>
      <c r="E1249" s="13" t="str">
        <f>+HYPERLINK("http://trademark.i-assist.jp/data/china/image_1912th/80579916.pdf","80579916")</f>
        <v>80579916</v>
      </c>
      <c r="F1249" s="9" t="s">
        <v>3499</v>
      </c>
      <c r="G1249" s="9" t="s">
        <v>3500</v>
      </c>
      <c r="H1249" s="9" t="s">
        <v>3501</v>
      </c>
      <c r="I1249" s="10">
        <v>45531</v>
      </c>
    </row>
    <row r="1250" spans="1:9" x14ac:dyDescent="0.15">
      <c r="A1250" s="9">
        <v>1249</v>
      </c>
      <c r="B1250" s="9" t="s">
        <v>9</v>
      </c>
      <c r="C1250" s="9">
        <v>1912</v>
      </c>
      <c r="D1250" s="10">
        <v>45616</v>
      </c>
      <c r="E1250" s="13" t="str">
        <f>+HYPERLINK("http://trademark.i-assist.jp/data/china/image_1912th/80579947.pdf","80579947")</f>
        <v>80579947</v>
      </c>
      <c r="F1250" s="12" t="s">
        <v>3502</v>
      </c>
      <c r="G1250" s="12" t="s">
        <v>3503</v>
      </c>
      <c r="H1250" s="9" t="s">
        <v>3504</v>
      </c>
      <c r="I1250" s="10">
        <v>45531</v>
      </c>
    </row>
    <row r="1251" spans="1:9" x14ac:dyDescent="0.15">
      <c r="A1251" s="9">
        <v>1250</v>
      </c>
      <c r="B1251" s="9" t="s">
        <v>9</v>
      </c>
      <c r="C1251" s="9">
        <v>1912</v>
      </c>
      <c r="D1251" s="10">
        <v>45616</v>
      </c>
      <c r="E1251" s="13" t="str">
        <f>+HYPERLINK("http://trademark.i-assist.jp/data/china/image_1912th/80580611.pdf","80580611")</f>
        <v>80580611</v>
      </c>
      <c r="F1251" s="9" t="s">
        <v>3505</v>
      </c>
      <c r="G1251" s="12" t="s">
        <v>3506</v>
      </c>
      <c r="H1251" s="9" t="s">
        <v>3507</v>
      </c>
      <c r="I1251" s="10">
        <v>45531</v>
      </c>
    </row>
    <row r="1252" spans="1:9" x14ac:dyDescent="0.15">
      <c r="A1252" s="9">
        <v>1251</v>
      </c>
      <c r="B1252" s="9" t="s">
        <v>9</v>
      </c>
      <c r="C1252" s="9">
        <v>1912</v>
      </c>
      <c r="D1252" s="10">
        <v>45616</v>
      </c>
      <c r="E1252" s="13" t="str">
        <f>+HYPERLINK("http://trademark.i-assist.jp/data/china/image_1912th/80580918.pdf","80580918")</f>
        <v>80580918</v>
      </c>
      <c r="F1252" s="9" t="s">
        <v>3508</v>
      </c>
      <c r="G1252" s="9" t="s">
        <v>39</v>
      </c>
      <c r="H1252" s="9" t="s">
        <v>3509</v>
      </c>
      <c r="I1252" s="10">
        <v>45531</v>
      </c>
    </row>
    <row r="1253" spans="1:9" x14ac:dyDescent="0.15">
      <c r="A1253" s="9">
        <v>1252</v>
      </c>
      <c r="B1253" s="9" t="s">
        <v>9</v>
      </c>
      <c r="C1253" s="9">
        <v>1912</v>
      </c>
      <c r="D1253" s="10">
        <v>45616</v>
      </c>
      <c r="E1253" s="13" t="str">
        <f>+HYPERLINK("http://trademark.i-assist.jp/data/china/image_1912th/80581009.pdf","80581009")</f>
        <v>80581009</v>
      </c>
      <c r="F1253" s="9" t="s">
        <v>3510</v>
      </c>
      <c r="G1253" s="9" t="s">
        <v>3511</v>
      </c>
      <c r="H1253" s="12" t="s">
        <v>3512</v>
      </c>
      <c r="I1253" s="10">
        <v>45531</v>
      </c>
    </row>
    <row r="1254" spans="1:9" x14ac:dyDescent="0.15">
      <c r="A1254" s="9">
        <v>1253</v>
      </c>
      <c r="B1254" s="9" t="s">
        <v>9</v>
      </c>
      <c r="C1254" s="9">
        <v>1912</v>
      </c>
      <c r="D1254" s="10">
        <v>45616</v>
      </c>
      <c r="E1254" s="13" t="str">
        <f>+HYPERLINK("http://trademark.i-assist.jp/data/china/image_1912th/80581242.pdf","80581242")</f>
        <v>80581242</v>
      </c>
      <c r="F1254" s="9" t="s">
        <v>3513</v>
      </c>
      <c r="G1254" s="9" t="s">
        <v>3514</v>
      </c>
      <c r="H1254" s="9" t="s">
        <v>3515</v>
      </c>
      <c r="I1254" s="10">
        <v>45531</v>
      </c>
    </row>
    <row r="1255" spans="1:9" x14ac:dyDescent="0.15">
      <c r="A1255" s="9">
        <v>1254</v>
      </c>
      <c r="B1255" s="9" t="s">
        <v>9</v>
      </c>
      <c r="C1255" s="9">
        <v>1912</v>
      </c>
      <c r="D1255" s="10">
        <v>45616</v>
      </c>
      <c r="E1255" s="13" t="str">
        <f>+HYPERLINK("http://trademark.i-assist.jp/data/china/image_1912th/80581427.pdf","80581427")</f>
        <v>80581427</v>
      </c>
      <c r="F1255" s="9" t="s">
        <v>3516</v>
      </c>
      <c r="G1255" s="9" t="s">
        <v>3517</v>
      </c>
      <c r="H1255" s="9" t="s">
        <v>3518</v>
      </c>
      <c r="I1255" s="10">
        <v>45531</v>
      </c>
    </row>
    <row r="1256" spans="1:9" x14ac:dyDescent="0.15">
      <c r="A1256" s="9">
        <v>1255</v>
      </c>
      <c r="B1256" s="9" t="s">
        <v>9</v>
      </c>
      <c r="C1256" s="9">
        <v>1912</v>
      </c>
      <c r="D1256" s="10">
        <v>45616</v>
      </c>
      <c r="E1256" s="13" t="str">
        <f>+HYPERLINK("http://trademark.i-assist.jp/data/china/image_1912th/80581566.pdf","80581566")</f>
        <v>80581566</v>
      </c>
      <c r="F1256" s="9" t="s">
        <v>3519</v>
      </c>
      <c r="G1256" s="12" t="s">
        <v>3520</v>
      </c>
      <c r="H1256" s="9" t="s">
        <v>3521</v>
      </c>
      <c r="I1256" s="10">
        <v>45531</v>
      </c>
    </row>
    <row r="1257" spans="1:9" x14ac:dyDescent="0.15">
      <c r="A1257" s="9">
        <v>1256</v>
      </c>
      <c r="B1257" s="9" t="s">
        <v>9</v>
      </c>
      <c r="C1257" s="9">
        <v>1912</v>
      </c>
      <c r="D1257" s="10">
        <v>45616</v>
      </c>
      <c r="E1257" s="13" t="str">
        <f>+HYPERLINK("http://trademark.i-assist.jp/data/china/image_1912th/80581605.pdf","80581605")</f>
        <v>80581605</v>
      </c>
      <c r="F1257" s="12" t="s">
        <v>3522</v>
      </c>
      <c r="G1257" s="12" t="s">
        <v>3523</v>
      </c>
      <c r="H1257" s="9" t="s">
        <v>3524</v>
      </c>
      <c r="I1257" s="10">
        <v>45531</v>
      </c>
    </row>
    <row r="1258" spans="1:9" x14ac:dyDescent="0.15">
      <c r="A1258" s="9">
        <v>1257</v>
      </c>
      <c r="B1258" s="9" t="s">
        <v>9</v>
      </c>
      <c r="C1258" s="9">
        <v>1912</v>
      </c>
      <c r="D1258" s="10">
        <v>45616</v>
      </c>
      <c r="E1258" s="13" t="str">
        <f>+HYPERLINK("http://trademark.i-assist.jp/data/china/image_1912th/80581694.pdf","80581694")</f>
        <v>80581694</v>
      </c>
      <c r="F1258" s="9" t="s">
        <v>3525</v>
      </c>
      <c r="G1258" s="9" t="s">
        <v>3526</v>
      </c>
      <c r="H1258" s="9" t="s">
        <v>3527</v>
      </c>
      <c r="I1258" s="10">
        <v>45531</v>
      </c>
    </row>
    <row r="1259" spans="1:9" x14ac:dyDescent="0.15">
      <c r="A1259" s="9">
        <v>1258</v>
      </c>
      <c r="B1259" s="9" t="s">
        <v>9</v>
      </c>
      <c r="C1259" s="9">
        <v>1912</v>
      </c>
      <c r="D1259" s="10">
        <v>45616</v>
      </c>
      <c r="E1259" s="13" t="str">
        <f>+HYPERLINK("http://trademark.i-assist.jp/data/china/image_1912th/80581769.pdf","80581769")</f>
        <v>80581769</v>
      </c>
      <c r="F1259" s="9" t="s">
        <v>3528</v>
      </c>
      <c r="G1259" s="12" t="s">
        <v>3529</v>
      </c>
      <c r="H1259" s="9" t="s">
        <v>3530</v>
      </c>
      <c r="I1259" s="10">
        <v>45531</v>
      </c>
    </row>
    <row r="1260" spans="1:9" x14ac:dyDescent="0.15">
      <c r="A1260" s="9">
        <v>1259</v>
      </c>
      <c r="B1260" s="9" t="s">
        <v>9</v>
      </c>
      <c r="C1260" s="9">
        <v>1912</v>
      </c>
      <c r="D1260" s="10">
        <v>45616</v>
      </c>
      <c r="E1260" s="13" t="str">
        <f>+HYPERLINK("http://trademark.i-assist.jp/data/china/image_1912th/80581846.pdf","80581846")</f>
        <v>80581846</v>
      </c>
      <c r="F1260" s="9" t="s">
        <v>3531</v>
      </c>
      <c r="G1260" s="9" t="s">
        <v>3532</v>
      </c>
      <c r="H1260" s="9" t="s">
        <v>3533</v>
      </c>
      <c r="I1260" s="10">
        <v>45531</v>
      </c>
    </row>
    <row r="1261" spans="1:9" x14ac:dyDescent="0.15">
      <c r="A1261" s="9">
        <v>1260</v>
      </c>
      <c r="B1261" s="9" t="s">
        <v>9</v>
      </c>
      <c r="C1261" s="9">
        <v>1912</v>
      </c>
      <c r="D1261" s="10">
        <v>45616</v>
      </c>
      <c r="E1261" s="13" t="str">
        <f>+HYPERLINK("http://trademark.i-assist.jp/data/china/image_1912th/80582372.pdf","80582372")</f>
        <v>80582372</v>
      </c>
      <c r="F1261" s="12" t="s">
        <v>15</v>
      </c>
      <c r="G1261" s="9" t="s">
        <v>50</v>
      </c>
      <c r="H1261" s="9" t="s">
        <v>3534</v>
      </c>
      <c r="I1261" s="10">
        <v>45531</v>
      </c>
    </row>
    <row r="1262" spans="1:9" x14ac:dyDescent="0.15">
      <c r="A1262" s="9">
        <v>1261</v>
      </c>
      <c r="B1262" s="9" t="s">
        <v>9</v>
      </c>
      <c r="C1262" s="9">
        <v>1912</v>
      </c>
      <c r="D1262" s="10">
        <v>45616</v>
      </c>
      <c r="E1262" s="13" t="str">
        <f>+HYPERLINK("http://trademark.i-assist.jp/data/china/image_1912th/80582401.pdf","80582401")</f>
        <v>80582401</v>
      </c>
      <c r="F1262" s="9" t="s">
        <v>3535</v>
      </c>
      <c r="G1262" s="9" t="s">
        <v>3536</v>
      </c>
      <c r="H1262" s="9" t="s">
        <v>3537</v>
      </c>
      <c r="I1262" s="10">
        <v>45531</v>
      </c>
    </row>
    <row r="1263" spans="1:9" x14ac:dyDescent="0.15">
      <c r="A1263" s="9">
        <v>1262</v>
      </c>
      <c r="B1263" s="9" t="s">
        <v>9</v>
      </c>
      <c r="C1263" s="9">
        <v>1912</v>
      </c>
      <c r="D1263" s="10">
        <v>45616</v>
      </c>
      <c r="E1263" s="13" t="str">
        <f>+HYPERLINK("http://trademark.i-assist.jp/data/china/image_1912th/80582511.pdf","80582511")</f>
        <v>80582511</v>
      </c>
      <c r="F1263" s="9" t="s">
        <v>3538</v>
      </c>
      <c r="G1263" s="9" t="s">
        <v>3539</v>
      </c>
      <c r="H1263" s="12" t="s">
        <v>3540</v>
      </c>
      <c r="I1263" s="10">
        <v>45531</v>
      </c>
    </row>
    <row r="1264" spans="1:9" x14ac:dyDescent="0.15">
      <c r="A1264" s="9">
        <v>1263</v>
      </c>
      <c r="B1264" s="9" t="s">
        <v>9</v>
      </c>
      <c r="C1264" s="9">
        <v>1912</v>
      </c>
      <c r="D1264" s="10">
        <v>45616</v>
      </c>
      <c r="E1264" s="13" t="str">
        <f>+HYPERLINK("http://trademark.i-assist.jp/data/china/image_1912th/80582580.pdf","80582580")</f>
        <v>80582580</v>
      </c>
      <c r="F1264" s="12" t="s">
        <v>15</v>
      </c>
      <c r="G1264" s="9" t="s">
        <v>3541</v>
      </c>
      <c r="H1264" s="9" t="s">
        <v>3542</v>
      </c>
      <c r="I1264" s="10">
        <v>45531</v>
      </c>
    </row>
    <row r="1265" spans="1:9" x14ac:dyDescent="0.15">
      <c r="A1265" s="9">
        <v>1264</v>
      </c>
      <c r="B1265" s="9" t="s">
        <v>9</v>
      </c>
      <c r="C1265" s="9">
        <v>1912</v>
      </c>
      <c r="D1265" s="10">
        <v>45616</v>
      </c>
      <c r="E1265" s="13" t="str">
        <f>+HYPERLINK("http://trademark.i-assist.jp/data/china/image_1912th/80582583.pdf","80582583")</f>
        <v>80582583</v>
      </c>
      <c r="F1265" s="9" t="s">
        <v>3543</v>
      </c>
      <c r="G1265" s="9" t="s">
        <v>39</v>
      </c>
      <c r="H1265" s="9" t="s">
        <v>3544</v>
      </c>
      <c r="I1265" s="10">
        <v>45531</v>
      </c>
    </row>
    <row r="1266" spans="1:9" x14ac:dyDescent="0.15">
      <c r="A1266" s="9">
        <v>1265</v>
      </c>
      <c r="B1266" s="9" t="s">
        <v>9</v>
      </c>
      <c r="C1266" s="9">
        <v>1912</v>
      </c>
      <c r="D1266" s="10">
        <v>45616</v>
      </c>
      <c r="E1266" s="13" t="str">
        <f>+HYPERLINK("http://trademark.i-assist.jp/data/china/image_1912th/80582630.pdf","80582630")</f>
        <v>80582630</v>
      </c>
      <c r="F1266" s="12" t="s">
        <v>3545</v>
      </c>
      <c r="G1266" s="9" t="s">
        <v>3546</v>
      </c>
      <c r="H1266" s="9" t="s">
        <v>3547</v>
      </c>
      <c r="I1266" s="10">
        <v>45531</v>
      </c>
    </row>
    <row r="1267" spans="1:9" x14ac:dyDescent="0.15">
      <c r="A1267" s="9">
        <v>1266</v>
      </c>
      <c r="B1267" s="9" t="s">
        <v>9</v>
      </c>
      <c r="C1267" s="9">
        <v>1912</v>
      </c>
      <c r="D1267" s="10">
        <v>45616</v>
      </c>
      <c r="E1267" s="13" t="str">
        <f>+HYPERLINK("http://trademark.i-assist.jp/data/china/image_1912th/80582786.pdf","80582786")</f>
        <v>80582786</v>
      </c>
      <c r="F1267" s="12" t="s">
        <v>3548</v>
      </c>
      <c r="G1267" s="9" t="s">
        <v>3511</v>
      </c>
      <c r="H1267" s="9" t="s">
        <v>3549</v>
      </c>
      <c r="I1267" s="10">
        <v>45531</v>
      </c>
    </row>
    <row r="1268" spans="1:9" x14ac:dyDescent="0.15">
      <c r="A1268" s="9">
        <v>1267</v>
      </c>
      <c r="B1268" s="9" t="s">
        <v>9</v>
      </c>
      <c r="C1268" s="9">
        <v>1912</v>
      </c>
      <c r="D1268" s="10">
        <v>45616</v>
      </c>
      <c r="E1268" s="13" t="str">
        <f>+HYPERLINK("http://trademark.i-assist.jp/data/china/image_1912th/80583190.pdf","80583190")</f>
        <v>80583190</v>
      </c>
      <c r="F1268" s="9" t="s">
        <v>3550</v>
      </c>
      <c r="G1268" s="9" t="s">
        <v>3551</v>
      </c>
      <c r="H1268" s="9" t="s">
        <v>3552</v>
      </c>
      <c r="I1268" s="10">
        <v>45531</v>
      </c>
    </row>
    <row r="1269" spans="1:9" x14ac:dyDescent="0.15">
      <c r="A1269" s="9">
        <v>1268</v>
      </c>
      <c r="B1269" s="9" t="s">
        <v>9</v>
      </c>
      <c r="C1269" s="9">
        <v>1912</v>
      </c>
      <c r="D1269" s="10">
        <v>45616</v>
      </c>
      <c r="E1269" s="13" t="str">
        <f>+HYPERLINK("http://trademark.i-assist.jp/data/china/image_1912th/80583223.pdf","80583223")</f>
        <v>80583223</v>
      </c>
      <c r="F1269" s="12" t="s">
        <v>15</v>
      </c>
      <c r="G1269" s="12" t="s">
        <v>3553</v>
      </c>
      <c r="H1269" s="9" t="s">
        <v>3554</v>
      </c>
      <c r="I1269" s="10">
        <v>45531</v>
      </c>
    </row>
    <row r="1270" spans="1:9" x14ac:dyDescent="0.15">
      <c r="A1270" s="9">
        <v>1269</v>
      </c>
      <c r="B1270" s="9" t="s">
        <v>9</v>
      </c>
      <c r="C1270" s="9">
        <v>1912</v>
      </c>
      <c r="D1270" s="10">
        <v>45616</v>
      </c>
      <c r="E1270" s="13" t="str">
        <f>+HYPERLINK("http://trademark.i-assist.jp/data/china/image_1912th/80583391.pdf","80583391")</f>
        <v>80583391</v>
      </c>
      <c r="F1270" s="9" t="s">
        <v>3555</v>
      </c>
      <c r="G1270" s="12" t="s">
        <v>3556</v>
      </c>
      <c r="H1270" s="9" t="s">
        <v>3557</v>
      </c>
      <c r="I1270" s="10">
        <v>45531</v>
      </c>
    </row>
    <row r="1271" spans="1:9" x14ac:dyDescent="0.15">
      <c r="A1271" s="9">
        <v>1270</v>
      </c>
      <c r="B1271" s="9" t="s">
        <v>9</v>
      </c>
      <c r="C1271" s="9">
        <v>1912</v>
      </c>
      <c r="D1271" s="10">
        <v>45616</v>
      </c>
      <c r="E1271" s="13" t="str">
        <f>+HYPERLINK("http://trademark.i-assist.jp/data/china/image_1912th/80583426.pdf","80583426")</f>
        <v>80583426</v>
      </c>
      <c r="F1271" s="12" t="s">
        <v>3558</v>
      </c>
      <c r="G1271" s="12" t="s">
        <v>3559</v>
      </c>
      <c r="H1271" s="9" t="s">
        <v>3560</v>
      </c>
      <c r="I1271" s="10">
        <v>45531</v>
      </c>
    </row>
    <row r="1272" spans="1:9" x14ac:dyDescent="0.15">
      <c r="A1272" s="9">
        <v>1271</v>
      </c>
      <c r="B1272" s="9" t="s">
        <v>9</v>
      </c>
      <c r="C1272" s="9">
        <v>1912</v>
      </c>
      <c r="D1272" s="10">
        <v>45616</v>
      </c>
      <c r="E1272" s="13" t="str">
        <f>+HYPERLINK("http://trademark.i-assist.jp/data/china/image_1912th/80583450.pdf","80583450")</f>
        <v>80583450</v>
      </c>
      <c r="F1272" s="9" t="s">
        <v>3561</v>
      </c>
      <c r="G1272" s="12" t="s">
        <v>3562</v>
      </c>
      <c r="H1272" s="9" t="s">
        <v>3563</v>
      </c>
      <c r="I1272" s="10">
        <v>45531</v>
      </c>
    </row>
    <row r="1273" spans="1:9" x14ac:dyDescent="0.15">
      <c r="A1273" s="9">
        <v>1272</v>
      </c>
      <c r="B1273" s="9" t="s">
        <v>9</v>
      </c>
      <c r="C1273" s="9">
        <v>1912</v>
      </c>
      <c r="D1273" s="10">
        <v>45616</v>
      </c>
      <c r="E1273" s="13" t="str">
        <f>+HYPERLINK("http://trademark.i-assist.jp/data/china/image_1912th/80583453.pdf","80583453")</f>
        <v>80583453</v>
      </c>
      <c r="F1273" s="12" t="s">
        <v>3564</v>
      </c>
      <c r="G1273" s="9" t="s">
        <v>3532</v>
      </c>
      <c r="H1273" s="9" t="s">
        <v>3565</v>
      </c>
      <c r="I1273" s="10">
        <v>45531</v>
      </c>
    </row>
    <row r="1274" spans="1:9" x14ac:dyDescent="0.15">
      <c r="A1274" s="9">
        <v>1273</v>
      </c>
      <c r="B1274" s="9" t="s">
        <v>9</v>
      </c>
      <c r="C1274" s="9">
        <v>1912</v>
      </c>
      <c r="D1274" s="10">
        <v>45616</v>
      </c>
      <c r="E1274" s="13" t="str">
        <f>+HYPERLINK("http://trademark.i-assist.jp/data/china/image_1912th/80583462.pdf","80583462")</f>
        <v>80583462</v>
      </c>
      <c r="F1274" s="9" t="s">
        <v>3566</v>
      </c>
      <c r="G1274" s="12" t="s">
        <v>3562</v>
      </c>
      <c r="H1274" s="9" t="s">
        <v>3567</v>
      </c>
      <c r="I1274" s="10">
        <v>45531</v>
      </c>
    </row>
    <row r="1275" spans="1:9" x14ac:dyDescent="0.15">
      <c r="A1275" s="9">
        <v>1274</v>
      </c>
      <c r="B1275" s="9" t="s">
        <v>9</v>
      </c>
      <c r="C1275" s="9">
        <v>1912</v>
      </c>
      <c r="D1275" s="10">
        <v>45616</v>
      </c>
      <c r="E1275" s="13" t="str">
        <f>+HYPERLINK("http://trademark.i-assist.jp/data/china/image_1912th/80583569.pdf","80583569")</f>
        <v>80583569</v>
      </c>
      <c r="F1275" s="9" t="s">
        <v>3568</v>
      </c>
      <c r="G1275" s="9" t="s">
        <v>3569</v>
      </c>
      <c r="H1275" s="9" t="s">
        <v>3570</v>
      </c>
      <c r="I1275" s="10">
        <v>45531</v>
      </c>
    </row>
    <row r="1276" spans="1:9" x14ac:dyDescent="0.15">
      <c r="A1276" s="9">
        <v>1275</v>
      </c>
      <c r="B1276" s="9" t="s">
        <v>9</v>
      </c>
      <c r="C1276" s="9">
        <v>1912</v>
      </c>
      <c r="D1276" s="10">
        <v>45616</v>
      </c>
      <c r="E1276" s="13" t="str">
        <f>+HYPERLINK("http://trademark.i-assist.jp/data/china/image_1912th/80583840.pdf","80583840")</f>
        <v>80583840</v>
      </c>
      <c r="F1276" s="9" t="s">
        <v>3571</v>
      </c>
      <c r="G1276" s="12" t="s">
        <v>3572</v>
      </c>
      <c r="H1276" s="12" t="s">
        <v>3573</v>
      </c>
      <c r="I1276" s="10">
        <v>45531</v>
      </c>
    </row>
    <row r="1277" spans="1:9" x14ac:dyDescent="0.15">
      <c r="A1277" s="9">
        <v>1276</v>
      </c>
      <c r="B1277" s="9" t="s">
        <v>9</v>
      </c>
      <c r="C1277" s="9">
        <v>1912</v>
      </c>
      <c r="D1277" s="10">
        <v>45616</v>
      </c>
      <c r="E1277" s="13" t="str">
        <f>+HYPERLINK("http://trademark.i-assist.jp/data/china/image_1912th/80583873.pdf","80583873")</f>
        <v>80583873</v>
      </c>
      <c r="F1277" s="9" t="s">
        <v>3574</v>
      </c>
      <c r="G1277" s="9" t="s">
        <v>3575</v>
      </c>
      <c r="H1277" s="9" t="s">
        <v>3576</v>
      </c>
      <c r="I1277" s="10">
        <v>45531</v>
      </c>
    </row>
    <row r="1278" spans="1:9" x14ac:dyDescent="0.15">
      <c r="A1278" s="9">
        <v>1277</v>
      </c>
      <c r="B1278" s="9" t="s">
        <v>9</v>
      </c>
      <c r="C1278" s="9">
        <v>1912</v>
      </c>
      <c r="D1278" s="10">
        <v>45616</v>
      </c>
      <c r="E1278" s="13" t="str">
        <f>+HYPERLINK("http://trademark.i-assist.jp/data/china/image_1912th/80583896.pdf","80583896")</f>
        <v>80583896</v>
      </c>
      <c r="F1278" s="9" t="s">
        <v>3577</v>
      </c>
      <c r="G1278" s="9" t="s">
        <v>2325</v>
      </c>
      <c r="H1278" s="9" t="s">
        <v>3578</v>
      </c>
      <c r="I1278" s="10">
        <v>45531</v>
      </c>
    </row>
    <row r="1279" spans="1:9" x14ac:dyDescent="0.15">
      <c r="A1279" s="9">
        <v>1278</v>
      </c>
      <c r="B1279" s="9" t="s">
        <v>9</v>
      </c>
      <c r="C1279" s="9">
        <v>1912</v>
      </c>
      <c r="D1279" s="10">
        <v>45616</v>
      </c>
      <c r="E1279" s="13" t="str">
        <f>+HYPERLINK("http://trademark.i-assist.jp/data/china/image_1912th/80583943.pdf","80583943")</f>
        <v>80583943</v>
      </c>
      <c r="F1279" s="12" t="s">
        <v>3579</v>
      </c>
      <c r="G1279" s="9" t="s">
        <v>3580</v>
      </c>
      <c r="H1279" s="12" t="s">
        <v>3581</v>
      </c>
      <c r="I1279" s="10">
        <v>45531</v>
      </c>
    </row>
    <row r="1280" spans="1:9" x14ac:dyDescent="0.15">
      <c r="A1280" s="9">
        <v>1279</v>
      </c>
      <c r="B1280" s="9" t="s">
        <v>9</v>
      </c>
      <c r="C1280" s="9">
        <v>1912</v>
      </c>
      <c r="D1280" s="10">
        <v>45616</v>
      </c>
      <c r="E1280" s="13" t="str">
        <f>+HYPERLINK("http://trademark.i-assist.jp/data/china/image_1912th/80583949.pdf","80583949")</f>
        <v>80583949</v>
      </c>
      <c r="F1280" s="12" t="s">
        <v>15</v>
      </c>
      <c r="G1280" s="9" t="s">
        <v>50</v>
      </c>
      <c r="H1280" s="12" t="s">
        <v>3582</v>
      </c>
      <c r="I1280" s="10">
        <v>45531</v>
      </c>
    </row>
    <row r="1281" spans="1:9" x14ac:dyDescent="0.15">
      <c r="A1281" s="9">
        <v>1280</v>
      </c>
      <c r="B1281" s="9" t="s">
        <v>9</v>
      </c>
      <c r="C1281" s="9">
        <v>1912</v>
      </c>
      <c r="D1281" s="10">
        <v>45616</v>
      </c>
      <c r="E1281" s="13" t="str">
        <f>+HYPERLINK("http://trademark.i-assist.jp/data/china/image_1912th/80583967.pdf","80583967")</f>
        <v>80583967</v>
      </c>
      <c r="F1281" s="12" t="s">
        <v>15</v>
      </c>
      <c r="G1281" s="9" t="s">
        <v>50</v>
      </c>
      <c r="H1281" s="12" t="s">
        <v>3583</v>
      </c>
      <c r="I1281" s="10">
        <v>45531</v>
      </c>
    </row>
    <row r="1282" spans="1:9" x14ac:dyDescent="0.15">
      <c r="A1282" s="9">
        <v>1281</v>
      </c>
      <c r="B1282" s="9" t="s">
        <v>9</v>
      </c>
      <c r="C1282" s="9">
        <v>1912</v>
      </c>
      <c r="D1282" s="10">
        <v>45616</v>
      </c>
      <c r="E1282" s="13" t="str">
        <f>+HYPERLINK("http://trademark.i-assist.jp/data/china/image_1912th/80583987.pdf","80583987")</f>
        <v>80583987</v>
      </c>
      <c r="F1282" s="12" t="s">
        <v>15</v>
      </c>
      <c r="G1282" s="9" t="s">
        <v>50</v>
      </c>
      <c r="H1282" s="9" t="s">
        <v>3584</v>
      </c>
      <c r="I1282" s="10">
        <v>45531</v>
      </c>
    </row>
    <row r="1283" spans="1:9" x14ac:dyDescent="0.15">
      <c r="A1283" s="9">
        <v>1282</v>
      </c>
      <c r="B1283" s="9" t="s">
        <v>9</v>
      </c>
      <c r="C1283" s="9">
        <v>1912</v>
      </c>
      <c r="D1283" s="10">
        <v>45616</v>
      </c>
      <c r="E1283" s="13" t="str">
        <f>+HYPERLINK("http://trademark.i-assist.jp/data/china/image_1912th/80584076.pdf","80584076")</f>
        <v>80584076</v>
      </c>
      <c r="F1283" s="9" t="s">
        <v>3585</v>
      </c>
      <c r="G1283" s="12" t="s">
        <v>3479</v>
      </c>
      <c r="H1283" s="9" t="s">
        <v>3586</v>
      </c>
      <c r="I1283" s="10">
        <v>45531</v>
      </c>
    </row>
    <row r="1284" spans="1:9" x14ac:dyDescent="0.15">
      <c r="A1284" s="9">
        <v>1283</v>
      </c>
      <c r="B1284" s="9" t="s">
        <v>9</v>
      </c>
      <c r="C1284" s="9">
        <v>1912</v>
      </c>
      <c r="D1284" s="10">
        <v>45616</v>
      </c>
      <c r="E1284" s="13" t="str">
        <f>+HYPERLINK("http://trademark.i-assist.jp/data/china/image_1912th/80584258.pdf","80584258")</f>
        <v>80584258</v>
      </c>
      <c r="F1284" s="9" t="s">
        <v>3587</v>
      </c>
      <c r="G1284" s="12" t="s">
        <v>46</v>
      </c>
      <c r="H1284" s="9" t="s">
        <v>3588</v>
      </c>
      <c r="I1284" s="10">
        <v>45531</v>
      </c>
    </row>
    <row r="1285" spans="1:9" x14ac:dyDescent="0.15">
      <c r="A1285" s="9">
        <v>1284</v>
      </c>
      <c r="B1285" s="9" t="s">
        <v>9</v>
      </c>
      <c r="C1285" s="9">
        <v>1912</v>
      </c>
      <c r="D1285" s="10">
        <v>45616</v>
      </c>
      <c r="E1285" s="13" t="str">
        <f>+HYPERLINK("http://trademark.i-assist.jp/data/china/image_1912th/80584397.pdf","80584397")</f>
        <v>80584397</v>
      </c>
      <c r="F1285" s="9" t="s">
        <v>3589</v>
      </c>
      <c r="G1285" s="9" t="s">
        <v>2520</v>
      </c>
      <c r="H1285" s="12" t="s">
        <v>3590</v>
      </c>
      <c r="I1285" s="10">
        <v>45531</v>
      </c>
    </row>
    <row r="1286" spans="1:9" x14ac:dyDescent="0.15">
      <c r="A1286" s="9">
        <v>1285</v>
      </c>
      <c r="B1286" s="9" t="s">
        <v>9</v>
      </c>
      <c r="C1286" s="9">
        <v>1912</v>
      </c>
      <c r="D1286" s="10">
        <v>45616</v>
      </c>
      <c r="E1286" s="13" t="str">
        <f>+HYPERLINK("http://trademark.i-assist.jp/data/china/image_1912th/80584442.pdf","80584442")</f>
        <v>80584442</v>
      </c>
      <c r="F1286" s="9" t="s">
        <v>3591</v>
      </c>
      <c r="G1286" s="9" t="s">
        <v>3592</v>
      </c>
      <c r="H1286" s="12" t="s">
        <v>3593</v>
      </c>
      <c r="I1286" s="10">
        <v>45531</v>
      </c>
    </row>
    <row r="1287" spans="1:9" x14ac:dyDescent="0.15">
      <c r="A1287" s="9">
        <v>1286</v>
      </c>
      <c r="B1287" s="9" t="s">
        <v>9</v>
      </c>
      <c r="C1287" s="9">
        <v>1912</v>
      </c>
      <c r="D1287" s="10">
        <v>45616</v>
      </c>
      <c r="E1287" s="13" t="str">
        <f>+HYPERLINK("http://trademark.i-assist.jp/data/china/image_1912th/80584540.pdf","80584540")</f>
        <v>80584540</v>
      </c>
      <c r="F1287" s="9" t="s">
        <v>3594</v>
      </c>
      <c r="G1287" s="9" t="s">
        <v>3595</v>
      </c>
      <c r="H1287" s="9" t="s">
        <v>3596</v>
      </c>
      <c r="I1287" s="10">
        <v>45531</v>
      </c>
    </row>
    <row r="1288" spans="1:9" x14ac:dyDescent="0.15">
      <c r="A1288" s="9">
        <v>1287</v>
      </c>
      <c r="B1288" s="9" t="s">
        <v>9</v>
      </c>
      <c r="C1288" s="9">
        <v>1912</v>
      </c>
      <c r="D1288" s="10">
        <v>45616</v>
      </c>
      <c r="E1288" s="13" t="str">
        <f>+HYPERLINK("http://trademark.i-assist.jp/data/china/image_1912th/80584578.pdf","80584578")</f>
        <v>80584578</v>
      </c>
      <c r="F1288" s="9" t="s">
        <v>3513</v>
      </c>
      <c r="G1288" s="9" t="s">
        <v>3514</v>
      </c>
      <c r="H1288" s="12" t="s">
        <v>3597</v>
      </c>
      <c r="I1288" s="10">
        <v>45531</v>
      </c>
    </row>
    <row r="1289" spans="1:9" x14ac:dyDescent="0.15">
      <c r="A1289" s="9">
        <v>1288</v>
      </c>
      <c r="B1289" s="9" t="s">
        <v>9</v>
      </c>
      <c r="C1289" s="9">
        <v>1912</v>
      </c>
      <c r="D1289" s="10">
        <v>45616</v>
      </c>
      <c r="E1289" s="13" t="str">
        <f>+HYPERLINK("http://trademark.i-assist.jp/data/china/image_1912th/80584679.pdf","80584679")</f>
        <v>80584679</v>
      </c>
      <c r="F1289" s="12" t="s">
        <v>15</v>
      </c>
      <c r="G1289" s="9" t="s">
        <v>3541</v>
      </c>
      <c r="H1289" s="9" t="s">
        <v>3598</v>
      </c>
      <c r="I1289" s="10">
        <v>45531</v>
      </c>
    </row>
    <row r="1290" spans="1:9" x14ac:dyDescent="0.15">
      <c r="A1290" s="9">
        <v>1289</v>
      </c>
      <c r="B1290" s="9" t="s">
        <v>9</v>
      </c>
      <c r="C1290" s="9">
        <v>1912</v>
      </c>
      <c r="D1290" s="10">
        <v>45616</v>
      </c>
      <c r="E1290" s="13" t="str">
        <f>+HYPERLINK("http://trademark.i-assist.jp/data/china/image_1912th/80584834.pdf","80584834")</f>
        <v>80584834</v>
      </c>
      <c r="F1290" s="9" t="s">
        <v>3599</v>
      </c>
      <c r="G1290" s="12" t="s">
        <v>85</v>
      </c>
      <c r="H1290" s="9" t="s">
        <v>3600</v>
      </c>
      <c r="I1290" s="10">
        <v>45531</v>
      </c>
    </row>
    <row r="1291" spans="1:9" x14ac:dyDescent="0.15">
      <c r="A1291" s="9">
        <v>1290</v>
      </c>
      <c r="B1291" s="9" t="s">
        <v>9</v>
      </c>
      <c r="C1291" s="9">
        <v>1912</v>
      </c>
      <c r="D1291" s="10">
        <v>45616</v>
      </c>
      <c r="E1291" s="13" t="str">
        <f>+HYPERLINK("http://trademark.i-assist.jp/data/china/image_1912th/80585003.pdf","80585003")</f>
        <v>80585003</v>
      </c>
      <c r="F1291" s="9" t="s">
        <v>3601</v>
      </c>
      <c r="G1291" s="12" t="s">
        <v>3602</v>
      </c>
      <c r="H1291" s="12" t="s">
        <v>3603</v>
      </c>
      <c r="I1291" s="10">
        <v>45531</v>
      </c>
    </row>
    <row r="1292" spans="1:9" x14ac:dyDescent="0.15">
      <c r="A1292" s="9">
        <v>1291</v>
      </c>
      <c r="B1292" s="9" t="s">
        <v>9</v>
      </c>
      <c r="C1292" s="9">
        <v>1912</v>
      </c>
      <c r="D1292" s="10">
        <v>45616</v>
      </c>
      <c r="E1292" s="13" t="str">
        <f>+HYPERLINK("http://trademark.i-assist.jp/data/china/image_1912th/80585108.pdf","80585108")</f>
        <v>80585108</v>
      </c>
      <c r="F1292" s="9" t="s">
        <v>3604</v>
      </c>
      <c r="G1292" s="9" t="s">
        <v>3605</v>
      </c>
      <c r="H1292" s="12" t="s">
        <v>3606</v>
      </c>
      <c r="I1292" s="10">
        <v>45531</v>
      </c>
    </row>
    <row r="1293" spans="1:9" x14ac:dyDescent="0.15">
      <c r="A1293" s="9">
        <v>1292</v>
      </c>
      <c r="B1293" s="9" t="s">
        <v>9</v>
      </c>
      <c r="C1293" s="9">
        <v>1912</v>
      </c>
      <c r="D1293" s="10">
        <v>45616</v>
      </c>
      <c r="E1293" s="13" t="str">
        <f>+HYPERLINK("http://trademark.i-assist.jp/data/china/image_1912th/80585179.pdf","80585179")</f>
        <v>80585179</v>
      </c>
      <c r="F1293" s="9" t="s">
        <v>3607</v>
      </c>
      <c r="G1293" s="12" t="s">
        <v>18</v>
      </c>
      <c r="H1293" s="12" t="s">
        <v>3608</v>
      </c>
      <c r="I1293" s="10">
        <v>45531</v>
      </c>
    </row>
    <row r="1294" spans="1:9" x14ac:dyDescent="0.15">
      <c r="A1294" s="9">
        <v>1293</v>
      </c>
      <c r="B1294" s="9" t="s">
        <v>9</v>
      </c>
      <c r="C1294" s="9">
        <v>1912</v>
      </c>
      <c r="D1294" s="10">
        <v>45616</v>
      </c>
      <c r="E1294" s="13" t="str">
        <f>+HYPERLINK("http://trademark.i-assist.jp/data/china/image_1912th/80585308.pdf","80585308")</f>
        <v>80585308</v>
      </c>
      <c r="F1294" s="9" t="s">
        <v>3609</v>
      </c>
      <c r="G1294" s="12" t="s">
        <v>3610</v>
      </c>
      <c r="H1294" s="12" t="s">
        <v>3611</v>
      </c>
      <c r="I1294" s="10">
        <v>45531</v>
      </c>
    </row>
    <row r="1295" spans="1:9" x14ac:dyDescent="0.15">
      <c r="A1295" s="9">
        <v>1294</v>
      </c>
      <c r="B1295" s="9" t="s">
        <v>9</v>
      </c>
      <c r="C1295" s="9">
        <v>1912</v>
      </c>
      <c r="D1295" s="10">
        <v>45616</v>
      </c>
      <c r="E1295" s="13" t="str">
        <f>+HYPERLINK("http://trademark.i-assist.jp/data/china/image_1912th/80585465.pdf","80585465")</f>
        <v>80585465</v>
      </c>
      <c r="F1295" s="9" t="s">
        <v>3612</v>
      </c>
      <c r="G1295" s="9" t="s">
        <v>3613</v>
      </c>
      <c r="H1295" s="9" t="s">
        <v>3614</v>
      </c>
      <c r="I1295" s="10">
        <v>45531</v>
      </c>
    </row>
    <row r="1296" spans="1:9" x14ac:dyDescent="0.15">
      <c r="A1296" s="9">
        <v>1295</v>
      </c>
      <c r="B1296" s="9" t="s">
        <v>9</v>
      </c>
      <c r="C1296" s="9">
        <v>1912</v>
      </c>
      <c r="D1296" s="10">
        <v>45616</v>
      </c>
      <c r="E1296" s="13" t="str">
        <f>+HYPERLINK("http://trademark.i-assist.jp/data/china/image_1912th/80585518.pdf","80585518")</f>
        <v>80585518</v>
      </c>
      <c r="F1296" s="12" t="s">
        <v>3615</v>
      </c>
      <c r="G1296" s="12" t="s">
        <v>43</v>
      </c>
      <c r="H1296" s="12" t="s">
        <v>3616</v>
      </c>
      <c r="I1296" s="10">
        <v>45531</v>
      </c>
    </row>
    <row r="1297" spans="1:9" x14ac:dyDescent="0.15">
      <c r="A1297" s="9">
        <v>1296</v>
      </c>
      <c r="B1297" s="9" t="s">
        <v>9</v>
      </c>
      <c r="C1297" s="9">
        <v>1912</v>
      </c>
      <c r="D1297" s="10">
        <v>45616</v>
      </c>
      <c r="E1297" s="13" t="str">
        <f>+HYPERLINK("http://trademark.i-assist.jp/data/china/image_1912th/80585540.pdf","80585540")</f>
        <v>80585540</v>
      </c>
      <c r="F1297" s="9" t="s">
        <v>3617</v>
      </c>
      <c r="G1297" s="9" t="s">
        <v>3618</v>
      </c>
      <c r="H1297" s="9" t="s">
        <v>3619</v>
      </c>
      <c r="I1297" s="10">
        <v>45531</v>
      </c>
    </row>
    <row r="1298" spans="1:9" x14ac:dyDescent="0.15">
      <c r="A1298" s="9">
        <v>1297</v>
      </c>
      <c r="B1298" s="9" t="s">
        <v>9</v>
      </c>
      <c r="C1298" s="9">
        <v>1912</v>
      </c>
      <c r="D1298" s="10">
        <v>45616</v>
      </c>
      <c r="E1298" s="13" t="str">
        <f>+HYPERLINK("http://trademark.i-assist.jp/data/china/image_1912th/80585557.pdf","80585557")</f>
        <v>80585557</v>
      </c>
      <c r="F1298" s="9" t="s">
        <v>3620</v>
      </c>
      <c r="G1298" s="9" t="s">
        <v>3621</v>
      </c>
      <c r="H1298" s="9" t="s">
        <v>3622</v>
      </c>
      <c r="I1298" s="10">
        <v>45531</v>
      </c>
    </row>
    <row r="1299" spans="1:9" x14ac:dyDescent="0.15">
      <c r="A1299" s="9">
        <v>1298</v>
      </c>
      <c r="B1299" s="9" t="s">
        <v>9</v>
      </c>
      <c r="C1299" s="9">
        <v>1912</v>
      </c>
      <c r="D1299" s="10">
        <v>45616</v>
      </c>
      <c r="E1299" s="13" t="str">
        <f>+HYPERLINK("http://trademark.i-assist.jp/data/china/image_1912th/80585683.pdf","80585683")</f>
        <v>80585683</v>
      </c>
      <c r="F1299" s="9" t="s">
        <v>3623</v>
      </c>
      <c r="G1299" s="12" t="s">
        <v>3624</v>
      </c>
      <c r="H1299" s="9" t="s">
        <v>3625</v>
      </c>
      <c r="I1299" s="10">
        <v>45531</v>
      </c>
    </row>
    <row r="1300" spans="1:9" x14ac:dyDescent="0.15">
      <c r="A1300" s="9">
        <v>1299</v>
      </c>
      <c r="B1300" s="9" t="s">
        <v>9</v>
      </c>
      <c r="C1300" s="9">
        <v>1912</v>
      </c>
      <c r="D1300" s="10">
        <v>45616</v>
      </c>
      <c r="E1300" s="13" t="str">
        <f>+HYPERLINK("http://trademark.i-assist.jp/data/china/image_1912th/80585876.pdf","80585876")</f>
        <v>80585876</v>
      </c>
      <c r="F1300" s="12" t="s">
        <v>3626</v>
      </c>
      <c r="G1300" s="9" t="s">
        <v>3627</v>
      </c>
      <c r="H1300" s="9" t="s">
        <v>3628</v>
      </c>
      <c r="I1300" s="10">
        <v>45531</v>
      </c>
    </row>
    <row r="1301" spans="1:9" x14ac:dyDescent="0.15">
      <c r="A1301" s="9">
        <v>1300</v>
      </c>
      <c r="B1301" s="9" t="s">
        <v>9</v>
      </c>
      <c r="C1301" s="9">
        <v>1912</v>
      </c>
      <c r="D1301" s="10">
        <v>45616</v>
      </c>
      <c r="E1301" s="13" t="str">
        <f>+HYPERLINK("http://trademark.i-assist.jp/data/china/image_1912th/80585901.pdf","80585901")</f>
        <v>80585901</v>
      </c>
      <c r="F1301" s="9" t="s">
        <v>3629</v>
      </c>
      <c r="G1301" s="9" t="s">
        <v>3630</v>
      </c>
      <c r="H1301" s="12" t="s">
        <v>3631</v>
      </c>
      <c r="I1301" s="10">
        <v>45531</v>
      </c>
    </row>
    <row r="1302" spans="1:9" x14ac:dyDescent="0.15">
      <c r="A1302" s="9">
        <v>1301</v>
      </c>
      <c r="B1302" s="9" t="s">
        <v>9</v>
      </c>
      <c r="C1302" s="9">
        <v>1912</v>
      </c>
      <c r="D1302" s="10">
        <v>45616</v>
      </c>
      <c r="E1302" s="13" t="str">
        <f>+HYPERLINK("http://trademark.i-assist.jp/data/china/image_1912th/80586306.pdf","80586306")</f>
        <v>80586306</v>
      </c>
      <c r="F1302" s="9" t="s">
        <v>3632</v>
      </c>
      <c r="G1302" s="9" t="s">
        <v>3633</v>
      </c>
      <c r="H1302" s="9" t="s">
        <v>3634</v>
      </c>
      <c r="I1302" s="10">
        <v>45531</v>
      </c>
    </row>
    <row r="1303" spans="1:9" x14ac:dyDescent="0.15">
      <c r="A1303" s="9">
        <v>1302</v>
      </c>
      <c r="B1303" s="9" t="s">
        <v>9</v>
      </c>
      <c r="C1303" s="9">
        <v>1912</v>
      </c>
      <c r="D1303" s="10">
        <v>45616</v>
      </c>
      <c r="E1303" s="13" t="str">
        <f>+HYPERLINK("http://trademark.i-assist.jp/data/china/image_1912th/80586691.pdf","80586691")</f>
        <v>80586691</v>
      </c>
      <c r="F1303" s="9" t="s">
        <v>3635</v>
      </c>
      <c r="G1303" s="12" t="s">
        <v>3636</v>
      </c>
      <c r="H1303" s="9" t="s">
        <v>3637</v>
      </c>
      <c r="I1303" s="10">
        <v>45531</v>
      </c>
    </row>
    <row r="1304" spans="1:9" x14ac:dyDescent="0.15">
      <c r="A1304" s="9">
        <v>1303</v>
      </c>
      <c r="B1304" s="9" t="s">
        <v>9</v>
      </c>
      <c r="C1304" s="9">
        <v>1912</v>
      </c>
      <c r="D1304" s="10">
        <v>45616</v>
      </c>
      <c r="E1304" s="13" t="str">
        <f>+HYPERLINK("http://trademark.i-assist.jp/data/china/image_1912th/80586740.pdf","80586740")</f>
        <v>80586740</v>
      </c>
      <c r="F1304" s="9" t="s">
        <v>3638</v>
      </c>
      <c r="G1304" s="9" t="s">
        <v>3639</v>
      </c>
      <c r="H1304" s="9" t="s">
        <v>3640</v>
      </c>
      <c r="I1304" s="10">
        <v>45531</v>
      </c>
    </row>
    <row r="1305" spans="1:9" x14ac:dyDescent="0.15">
      <c r="A1305" s="9">
        <v>1304</v>
      </c>
      <c r="B1305" s="9" t="s">
        <v>9</v>
      </c>
      <c r="C1305" s="9">
        <v>1912</v>
      </c>
      <c r="D1305" s="10">
        <v>45616</v>
      </c>
      <c r="E1305" s="13" t="str">
        <f>+HYPERLINK("http://trademark.i-assist.jp/data/china/image_1912th/80586813.pdf","80586813")</f>
        <v>80586813</v>
      </c>
      <c r="F1305" s="9" t="s">
        <v>3641</v>
      </c>
      <c r="G1305" s="9" t="s">
        <v>3642</v>
      </c>
      <c r="H1305" s="9" t="s">
        <v>3643</v>
      </c>
      <c r="I1305" s="10">
        <v>45531</v>
      </c>
    </row>
    <row r="1306" spans="1:9" x14ac:dyDescent="0.15">
      <c r="A1306" s="9">
        <v>1305</v>
      </c>
      <c r="B1306" s="9" t="s">
        <v>9</v>
      </c>
      <c r="C1306" s="9">
        <v>1912</v>
      </c>
      <c r="D1306" s="10">
        <v>45616</v>
      </c>
      <c r="E1306" s="13" t="str">
        <f>+HYPERLINK("http://trademark.i-assist.jp/data/china/image_1912th/80586828.pdf","80586828")</f>
        <v>80586828</v>
      </c>
      <c r="F1306" s="9" t="s">
        <v>3644</v>
      </c>
      <c r="G1306" s="9" t="s">
        <v>3642</v>
      </c>
      <c r="H1306" s="9" t="s">
        <v>3645</v>
      </c>
      <c r="I1306" s="10">
        <v>45531</v>
      </c>
    </row>
    <row r="1307" spans="1:9" x14ac:dyDescent="0.15">
      <c r="A1307" s="9">
        <v>1306</v>
      </c>
      <c r="B1307" s="9" t="s">
        <v>9</v>
      </c>
      <c r="C1307" s="9">
        <v>1912</v>
      </c>
      <c r="D1307" s="10">
        <v>45616</v>
      </c>
      <c r="E1307" s="13" t="str">
        <f>+HYPERLINK("http://trademark.i-assist.jp/data/china/image_1912th/80586838.pdf","80586838")</f>
        <v>80586838</v>
      </c>
      <c r="F1307" s="9" t="s">
        <v>3646</v>
      </c>
      <c r="G1307" s="9" t="s">
        <v>2520</v>
      </c>
      <c r="H1307" s="9" t="s">
        <v>3647</v>
      </c>
      <c r="I1307" s="10">
        <v>45531</v>
      </c>
    </row>
    <row r="1308" spans="1:9" x14ac:dyDescent="0.15">
      <c r="A1308" s="9">
        <v>1307</v>
      </c>
      <c r="B1308" s="9" t="s">
        <v>9</v>
      </c>
      <c r="C1308" s="9">
        <v>1912</v>
      </c>
      <c r="D1308" s="10">
        <v>45616</v>
      </c>
      <c r="E1308" s="13" t="str">
        <f>+HYPERLINK("http://trademark.i-assist.jp/data/china/image_1912th/80587046.pdf","80587046")</f>
        <v>80587046</v>
      </c>
      <c r="F1308" s="12" t="s">
        <v>3648</v>
      </c>
      <c r="G1308" s="9" t="s">
        <v>3649</v>
      </c>
      <c r="H1308" s="9" t="s">
        <v>3650</v>
      </c>
      <c r="I1308" s="10">
        <v>45531</v>
      </c>
    </row>
    <row r="1309" spans="1:9" x14ac:dyDescent="0.15">
      <c r="A1309" s="9">
        <v>1308</v>
      </c>
      <c r="B1309" s="9" t="s">
        <v>9</v>
      </c>
      <c r="C1309" s="9">
        <v>1912</v>
      </c>
      <c r="D1309" s="10">
        <v>45616</v>
      </c>
      <c r="E1309" s="13" t="str">
        <f>+HYPERLINK("http://trademark.i-assist.jp/data/china/image_1912th/80587600.pdf","80587600")</f>
        <v>80587600</v>
      </c>
      <c r="F1309" s="12" t="s">
        <v>3651</v>
      </c>
      <c r="G1309" s="12" t="s">
        <v>3652</v>
      </c>
      <c r="H1309" s="9" t="s">
        <v>3653</v>
      </c>
      <c r="I1309" s="10">
        <v>45531</v>
      </c>
    </row>
    <row r="1310" spans="1:9" x14ac:dyDescent="0.15">
      <c r="A1310" s="9">
        <v>1309</v>
      </c>
      <c r="B1310" s="9" t="s">
        <v>9</v>
      </c>
      <c r="C1310" s="9">
        <v>1912</v>
      </c>
      <c r="D1310" s="10">
        <v>45616</v>
      </c>
      <c r="E1310" s="13" t="str">
        <f>+HYPERLINK("http://trademark.i-assist.jp/data/china/image_1912th/80588109.pdf","80588109")</f>
        <v>80588109</v>
      </c>
      <c r="F1310" s="12" t="s">
        <v>3654</v>
      </c>
      <c r="G1310" s="12" t="s">
        <v>3503</v>
      </c>
      <c r="H1310" s="12" t="s">
        <v>3655</v>
      </c>
      <c r="I1310" s="10">
        <v>45531</v>
      </c>
    </row>
    <row r="1311" spans="1:9" x14ac:dyDescent="0.15">
      <c r="A1311" s="9">
        <v>1310</v>
      </c>
      <c r="B1311" s="9" t="s">
        <v>9</v>
      </c>
      <c r="C1311" s="9">
        <v>1912</v>
      </c>
      <c r="D1311" s="10">
        <v>45616</v>
      </c>
      <c r="E1311" s="13" t="str">
        <f>+HYPERLINK("http://trademark.i-assist.jp/data/china/image_1912th/80588270.pdf","80588270")</f>
        <v>80588270</v>
      </c>
      <c r="F1311" s="12" t="s">
        <v>15</v>
      </c>
      <c r="G1311" s="12" t="s">
        <v>3497</v>
      </c>
      <c r="H1311" s="9" t="s">
        <v>3656</v>
      </c>
      <c r="I1311" s="10">
        <v>45531</v>
      </c>
    </row>
    <row r="1312" spans="1:9" x14ac:dyDescent="0.15">
      <c r="A1312" s="9">
        <v>1311</v>
      </c>
      <c r="B1312" s="9" t="s">
        <v>9</v>
      </c>
      <c r="C1312" s="9">
        <v>1912</v>
      </c>
      <c r="D1312" s="10">
        <v>45616</v>
      </c>
      <c r="E1312" s="13" t="str">
        <f>+HYPERLINK("http://trademark.i-assist.jp/data/china/image_1912th/80588423.pdf","80588423")</f>
        <v>80588423</v>
      </c>
      <c r="F1312" s="9" t="s">
        <v>3657</v>
      </c>
      <c r="G1312" s="9" t="s">
        <v>3546</v>
      </c>
      <c r="H1312" s="9" t="s">
        <v>3658</v>
      </c>
      <c r="I1312" s="10">
        <v>45531</v>
      </c>
    </row>
    <row r="1313" spans="1:9" x14ac:dyDescent="0.15">
      <c r="A1313" s="9">
        <v>1312</v>
      </c>
      <c r="B1313" s="9" t="s">
        <v>9</v>
      </c>
      <c r="C1313" s="9">
        <v>1912</v>
      </c>
      <c r="D1313" s="10">
        <v>45616</v>
      </c>
      <c r="E1313" s="13" t="str">
        <f>+HYPERLINK("http://trademark.i-assist.jp/data/china/image_1912th/80588478.pdf","80588478")</f>
        <v>80588478</v>
      </c>
      <c r="F1313" s="12" t="s">
        <v>3659</v>
      </c>
      <c r="G1313" s="12" t="s">
        <v>3660</v>
      </c>
      <c r="H1313" s="9" t="s">
        <v>3661</v>
      </c>
      <c r="I1313" s="10">
        <v>45531</v>
      </c>
    </row>
    <row r="1314" spans="1:9" x14ac:dyDescent="0.15">
      <c r="A1314" s="9">
        <v>1313</v>
      </c>
      <c r="B1314" s="9" t="s">
        <v>9</v>
      </c>
      <c r="C1314" s="9">
        <v>1912</v>
      </c>
      <c r="D1314" s="10">
        <v>45616</v>
      </c>
      <c r="E1314" s="13" t="str">
        <f>+HYPERLINK("http://trademark.i-assist.jp/data/china/image_1912th/80588696.pdf","80588696")</f>
        <v>80588696</v>
      </c>
      <c r="F1314" s="9" t="s">
        <v>3662</v>
      </c>
      <c r="G1314" s="12" t="s">
        <v>3663</v>
      </c>
      <c r="H1314" s="9" t="s">
        <v>3664</v>
      </c>
      <c r="I1314" s="10">
        <v>45531</v>
      </c>
    </row>
    <row r="1315" spans="1:9" x14ac:dyDescent="0.15">
      <c r="A1315" s="9">
        <v>1314</v>
      </c>
      <c r="B1315" s="9" t="s">
        <v>9</v>
      </c>
      <c r="C1315" s="9">
        <v>1912</v>
      </c>
      <c r="D1315" s="10">
        <v>45616</v>
      </c>
      <c r="E1315" s="13" t="str">
        <f>+HYPERLINK("http://trademark.i-assist.jp/data/china/image_1912th/80588805.pdf","80588805")</f>
        <v>80588805</v>
      </c>
      <c r="F1315" s="9" t="s">
        <v>3665</v>
      </c>
      <c r="G1315" s="9" t="s">
        <v>3666</v>
      </c>
      <c r="H1315" s="9" t="s">
        <v>3667</v>
      </c>
      <c r="I1315" s="10">
        <v>45531</v>
      </c>
    </row>
    <row r="1316" spans="1:9" x14ac:dyDescent="0.15">
      <c r="A1316" s="9">
        <v>1315</v>
      </c>
      <c r="B1316" s="9" t="s">
        <v>9</v>
      </c>
      <c r="C1316" s="9">
        <v>1912</v>
      </c>
      <c r="D1316" s="10">
        <v>45616</v>
      </c>
      <c r="E1316" s="13" t="str">
        <f>+HYPERLINK("http://trademark.i-assist.jp/data/china/image_1912th/80589236.pdf","80589236")</f>
        <v>80589236</v>
      </c>
      <c r="F1316" s="9" t="s">
        <v>3668</v>
      </c>
      <c r="G1316" s="12" t="s">
        <v>3669</v>
      </c>
      <c r="H1316" s="9" t="s">
        <v>3670</v>
      </c>
      <c r="I1316" s="10">
        <v>45531</v>
      </c>
    </row>
    <row r="1317" spans="1:9" x14ac:dyDescent="0.15">
      <c r="A1317" s="9">
        <v>1316</v>
      </c>
      <c r="B1317" s="9" t="s">
        <v>9</v>
      </c>
      <c r="C1317" s="9">
        <v>1912</v>
      </c>
      <c r="D1317" s="10">
        <v>45616</v>
      </c>
      <c r="E1317" s="13" t="str">
        <f>+HYPERLINK("http://trademark.i-assist.jp/data/china/image_1912th/80589262.pdf","80589262")</f>
        <v>80589262</v>
      </c>
      <c r="F1317" s="9" t="s">
        <v>3671</v>
      </c>
      <c r="G1317" s="12" t="s">
        <v>3672</v>
      </c>
      <c r="H1317" s="9" t="s">
        <v>3673</v>
      </c>
      <c r="I1317" s="10">
        <v>45531</v>
      </c>
    </row>
    <row r="1318" spans="1:9" x14ac:dyDescent="0.15">
      <c r="A1318" s="9">
        <v>1317</v>
      </c>
      <c r="B1318" s="9" t="s">
        <v>9</v>
      </c>
      <c r="C1318" s="9">
        <v>1912</v>
      </c>
      <c r="D1318" s="10">
        <v>45616</v>
      </c>
      <c r="E1318" s="13" t="str">
        <f>+HYPERLINK("http://trademark.i-assist.jp/data/china/image_1912th/80589412.pdf","80589412")</f>
        <v>80589412</v>
      </c>
      <c r="F1318" s="9" t="s">
        <v>3674</v>
      </c>
      <c r="G1318" s="9" t="s">
        <v>3675</v>
      </c>
      <c r="H1318" s="9" t="s">
        <v>3676</v>
      </c>
      <c r="I1318" s="10">
        <v>45531</v>
      </c>
    </row>
    <row r="1319" spans="1:9" x14ac:dyDescent="0.15">
      <c r="A1319" s="9">
        <v>1318</v>
      </c>
      <c r="B1319" s="9" t="s">
        <v>9</v>
      </c>
      <c r="C1319" s="9">
        <v>1912</v>
      </c>
      <c r="D1319" s="10">
        <v>45616</v>
      </c>
      <c r="E1319" s="13" t="str">
        <f>+HYPERLINK("http://trademark.i-assist.jp/data/china/image_1912th/80589462.pdf","80589462")</f>
        <v>80589462</v>
      </c>
      <c r="F1319" s="12" t="s">
        <v>3677</v>
      </c>
      <c r="G1319" s="12" t="s">
        <v>3678</v>
      </c>
      <c r="H1319" s="9" t="s">
        <v>3679</v>
      </c>
      <c r="I1319" s="10">
        <v>45531</v>
      </c>
    </row>
    <row r="1320" spans="1:9" x14ac:dyDescent="0.15">
      <c r="A1320" s="9">
        <v>1319</v>
      </c>
      <c r="B1320" s="9" t="s">
        <v>9</v>
      </c>
      <c r="C1320" s="9">
        <v>1912</v>
      </c>
      <c r="D1320" s="10">
        <v>45616</v>
      </c>
      <c r="E1320" s="13" t="str">
        <f>+HYPERLINK("http://trademark.i-assist.jp/data/china/image_1912th/80589665.pdf","80589665")</f>
        <v>80589665</v>
      </c>
      <c r="F1320" s="9" t="s">
        <v>3680</v>
      </c>
      <c r="G1320" s="12" t="s">
        <v>3503</v>
      </c>
      <c r="H1320" s="9" t="s">
        <v>3681</v>
      </c>
      <c r="I1320" s="10">
        <v>45531</v>
      </c>
    </row>
    <row r="1321" spans="1:9" x14ac:dyDescent="0.15">
      <c r="A1321" s="9">
        <v>1320</v>
      </c>
      <c r="B1321" s="9" t="s">
        <v>9</v>
      </c>
      <c r="C1321" s="9">
        <v>1912</v>
      </c>
      <c r="D1321" s="10">
        <v>45616</v>
      </c>
      <c r="E1321" s="13" t="str">
        <f>+HYPERLINK("http://trademark.i-assist.jp/data/china/image_1912th/80589912.pdf","80589912")</f>
        <v>80589912</v>
      </c>
      <c r="F1321" s="9" t="s">
        <v>3682</v>
      </c>
      <c r="G1321" s="12" t="s">
        <v>3683</v>
      </c>
      <c r="H1321" s="9" t="s">
        <v>3684</v>
      </c>
      <c r="I1321" s="10">
        <v>45531</v>
      </c>
    </row>
    <row r="1322" spans="1:9" x14ac:dyDescent="0.15">
      <c r="A1322" s="9">
        <v>1321</v>
      </c>
      <c r="B1322" s="9" t="s">
        <v>9</v>
      </c>
      <c r="C1322" s="9">
        <v>1912</v>
      </c>
      <c r="D1322" s="10">
        <v>45616</v>
      </c>
      <c r="E1322" s="13" t="str">
        <f>+HYPERLINK("http://trademark.i-assist.jp/data/china/image_1912th/80590339.pdf","80590339")</f>
        <v>80590339</v>
      </c>
      <c r="F1322" s="12" t="s">
        <v>3685</v>
      </c>
      <c r="G1322" s="12" t="s">
        <v>3686</v>
      </c>
      <c r="H1322" s="12" t="s">
        <v>3687</v>
      </c>
      <c r="I1322" s="10">
        <v>45531</v>
      </c>
    </row>
    <row r="1323" spans="1:9" x14ac:dyDescent="0.15">
      <c r="A1323" s="9">
        <v>1322</v>
      </c>
      <c r="B1323" s="9" t="s">
        <v>9</v>
      </c>
      <c r="C1323" s="9">
        <v>1912</v>
      </c>
      <c r="D1323" s="10">
        <v>45616</v>
      </c>
      <c r="E1323" s="13" t="str">
        <f>+HYPERLINK("http://trademark.i-assist.jp/data/china/image_1912th/80590392.pdf","80590392")</f>
        <v>80590392</v>
      </c>
      <c r="F1323" s="12" t="s">
        <v>3688</v>
      </c>
      <c r="G1323" s="9" t="s">
        <v>3689</v>
      </c>
      <c r="H1323" s="9" t="s">
        <v>3690</v>
      </c>
      <c r="I1323" s="10">
        <v>45531</v>
      </c>
    </row>
    <row r="1324" spans="1:9" x14ac:dyDescent="0.15">
      <c r="A1324" s="9">
        <v>1323</v>
      </c>
      <c r="B1324" s="9" t="s">
        <v>9</v>
      </c>
      <c r="C1324" s="9">
        <v>1912</v>
      </c>
      <c r="D1324" s="10">
        <v>45616</v>
      </c>
      <c r="E1324" s="13" t="str">
        <f>+HYPERLINK("http://trademark.i-assist.jp/data/china/image_1912th/80590426.pdf","80590426")</f>
        <v>80590426</v>
      </c>
      <c r="F1324" s="9" t="s">
        <v>3691</v>
      </c>
      <c r="G1324" s="9" t="s">
        <v>3692</v>
      </c>
      <c r="H1324" s="9" t="s">
        <v>3693</v>
      </c>
      <c r="I1324" s="10">
        <v>45531</v>
      </c>
    </row>
    <row r="1325" spans="1:9" x14ac:dyDescent="0.15">
      <c r="A1325" s="9">
        <v>1324</v>
      </c>
      <c r="B1325" s="9" t="s">
        <v>9</v>
      </c>
      <c r="C1325" s="9">
        <v>1912</v>
      </c>
      <c r="D1325" s="10">
        <v>45616</v>
      </c>
      <c r="E1325" s="13" t="str">
        <f>+HYPERLINK("http://trademark.i-assist.jp/data/china/image_1912th/80590622.pdf","80590622")</f>
        <v>80590622</v>
      </c>
      <c r="F1325" s="9" t="s">
        <v>3694</v>
      </c>
      <c r="G1325" s="9" t="s">
        <v>3695</v>
      </c>
      <c r="H1325" s="9" t="s">
        <v>3696</v>
      </c>
      <c r="I1325" s="10">
        <v>45531</v>
      </c>
    </row>
    <row r="1326" spans="1:9" x14ac:dyDescent="0.15">
      <c r="A1326" s="9">
        <v>1325</v>
      </c>
      <c r="B1326" s="9" t="s">
        <v>9</v>
      </c>
      <c r="C1326" s="9">
        <v>1912</v>
      </c>
      <c r="D1326" s="10">
        <v>45616</v>
      </c>
      <c r="E1326" s="13" t="str">
        <f>+HYPERLINK("http://trademark.i-assist.jp/data/china/image_1912th/80590641.pdf","80590641")</f>
        <v>80590641</v>
      </c>
      <c r="F1326" s="9" t="s">
        <v>3513</v>
      </c>
      <c r="G1326" s="9" t="s">
        <v>3514</v>
      </c>
      <c r="H1326" s="9" t="s">
        <v>3697</v>
      </c>
      <c r="I1326" s="10">
        <v>45531</v>
      </c>
    </row>
    <row r="1327" spans="1:9" x14ac:dyDescent="0.15">
      <c r="A1327" s="9">
        <v>1326</v>
      </c>
      <c r="B1327" s="9" t="s">
        <v>9</v>
      </c>
      <c r="C1327" s="9">
        <v>1912</v>
      </c>
      <c r="D1327" s="10">
        <v>45616</v>
      </c>
      <c r="E1327" s="13" t="str">
        <f>+HYPERLINK("http://trademark.i-assist.jp/data/china/image_1912th/80590649.pdf","80590649")</f>
        <v>80590649</v>
      </c>
      <c r="F1327" s="9" t="s">
        <v>3513</v>
      </c>
      <c r="G1327" s="9" t="s">
        <v>3514</v>
      </c>
      <c r="H1327" s="9" t="s">
        <v>3698</v>
      </c>
      <c r="I1327" s="10">
        <v>45531</v>
      </c>
    </row>
    <row r="1328" spans="1:9" x14ac:dyDescent="0.15">
      <c r="A1328" s="9">
        <v>1327</v>
      </c>
      <c r="B1328" s="9" t="s">
        <v>9</v>
      </c>
      <c r="C1328" s="9">
        <v>1912</v>
      </c>
      <c r="D1328" s="10">
        <v>45616</v>
      </c>
      <c r="E1328" s="13" t="str">
        <f>+HYPERLINK("http://trademark.i-assist.jp/data/china/image_1912th/80591068.pdf","80591068")</f>
        <v>80591068</v>
      </c>
      <c r="F1328" s="9" t="s">
        <v>3699</v>
      </c>
      <c r="G1328" s="9" t="s">
        <v>3511</v>
      </c>
      <c r="H1328" s="9" t="s">
        <v>3700</v>
      </c>
      <c r="I1328" s="10">
        <v>45531</v>
      </c>
    </row>
    <row r="1329" spans="1:9" x14ac:dyDescent="0.15">
      <c r="A1329" s="9">
        <v>1328</v>
      </c>
      <c r="B1329" s="9" t="s">
        <v>9</v>
      </c>
      <c r="C1329" s="9">
        <v>1912</v>
      </c>
      <c r="D1329" s="10">
        <v>45616</v>
      </c>
      <c r="E1329" s="13" t="str">
        <f>+HYPERLINK("http://trademark.i-assist.jp/data/china/image_1912th/80591224.pdf","80591224")</f>
        <v>80591224</v>
      </c>
      <c r="F1329" s="9" t="s">
        <v>3701</v>
      </c>
      <c r="G1329" s="9" t="s">
        <v>82</v>
      </c>
      <c r="H1329" s="9" t="s">
        <v>3702</v>
      </c>
      <c r="I1329" s="10">
        <v>45531</v>
      </c>
    </row>
    <row r="1330" spans="1:9" x14ac:dyDescent="0.15">
      <c r="A1330" s="9">
        <v>1329</v>
      </c>
      <c r="B1330" s="9" t="s">
        <v>9</v>
      </c>
      <c r="C1330" s="9">
        <v>1912</v>
      </c>
      <c r="D1330" s="10">
        <v>45616</v>
      </c>
      <c r="E1330" s="13" t="str">
        <f>+HYPERLINK("http://trademark.i-assist.jp/data/china/image_1912th/80591381.pdf","80591381")</f>
        <v>80591381</v>
      </c>
      <c r="F1330" s="9" t="s">
        <v>3703</v>
      </c>
      <c r="G1330" s="9" t="s">
        <v>3704</v>
      </c>
      <c r="H1330" s="9" t="s">
        <v>3705</v>
      </c>
      <c r="I1330" s="10">
        <v>45531</v>
      </c>
    </row>
    <row r="1331" spans="1:9" x14ac:dyDescent="0.15">
      <c r="A1331" s="9">
        <v>1330</v>
      </c>
      <c r="B1331" s="9" t="s">
        <v>9</v>
      </c>
      <c r="C1331" s="9">
        <v>1912</v>
      </c>
      <c r="D1331" s="10">
        <v>45616</v>
      </c>
      <c r="E1331" s="13" t="str">
        <f>+HYPERLINK("http://trademark.i-assist.jp/data/china/image_1912th/80591402.pdf","80591402")</f>
        <v>80591402</v>
      </c>
      <c r="F1331" s="9" t="s">
        <v>3706</v>
      </c>
      <c r="G1331" s="12" t="s">
        <v>3503</v>
      </c>
      <c r="H1331" s="12" t="s">
        <v>3707</v>
      </c>
      <c r="I1331" s="10">
        <v>45531</v>
      </c>
    </row>
    <row r="1332" spans="1:9" x14ac:dyDescent="0.15">
      <c r="A1332" s="9">
        <v>1331</v>
      </c>
      <c r="B1332" s="9" t="s">
        <v>9</v>
      </c>
      <c r="C1332" s="9">
        <v>1912</v>
      </c>
      <c r="D1332" s="10">
        <v>45616</v>
      </c>
      <c r="E1332" s="13" t="str">
        <f>+HYPERLINK("http://trademark.i-assist.jp/data/china/image_1912th/80591931.pdf","80591931")</f>
        <v>80591931</v>
      </c>
      <c r="F1332" s="9" t="s">
        <v>3708</v>
      </c>
      <c r="G1332" s="9" t="s">
        <v>61</v>
      </c>
      <c r="H1332" s="9" t="s">
        <v>3709</v>
      </c>
      <c r="I1332" s="10">
        <v>45531</v>
      </c>
    </row>
    <row r="1333" spans="1:9" x14ac:dyDescent="0.15">
      <c r="A1333" s="9">
        <v>1332</v>
      </c>
      <c r="B1333" s="9" t="s">
        <v>9</v>
      </c>
      <c r="C1333" s="9">
        <v>1912</v>
      </c>
      <c r="D1333" s="10">
        <v>45616</v>
      </c>
      <c r="E1333" s="13" t="str">
        <f>+HYPERLINK("http://trademark.i-assist.jp/data/china/image_1912th/80592050.pdf","80592050")</f>
        <v>80592050</v>
      </c>
      <c r="F1333" s="9" t="s">
        <v>3710</v>
      </c>
      <c r="G1333" s="9" t="s">
        <v>3711</v>
      </c>
      <c r="H1333" s="9" t="s">
        <v>3712</v>
      </c>
      <c r="I1333" s="10">
        <v>45531</v>
      </c>
    </row>
    <row r="1334" spans="1:9" x14ac:dyDescent="0.15">
      <c r="A1334" s="9">
        <v>1333</v>
      </c>
      <c r="B1334" s="9" t="s">
        <v>9</v>
      </c>
      <c r="C1334" s="9">
        <v>1912</v>
      </c>
      <c r="D1334" s="10">
        <v>45616</v>
      </c>
      <c r="E1334" s="13" t="str">
        <f>+HYPERLINK("http://trademark.i-assist.jp/data/china/image_1912th/80592346.pdf","80592346")</f>
        <v>80592346</v>
      </c>
      <c r="F1334" s="12" t="s">
        <v>15</v>
      </c>
      <c r="G1334" s="9" t="s">
        <v>3541</v>
      </c>
      <c r="H1334" s="9" t="s">
        <v>3713</v>
      </c>
      <c r="I1334" s="10">
        <v>45531</v>
      </c>
    </row>
    <row r="1335" spans="1:9" x14ac:dyDescent="0.15">
      <c r="A1335" s="9">
        <v>1334</v>
      </c>
      <c r="B1335" s="9" t="s">
        <v>9</v>
      </c>
      <c r="C1335" s="9">
        <v>1912</v>
      </c>
      <c r="D1335" s="10">
        <v>45616</v>
      </c>
      <c r="E1335" s="13" t="str">
        <f>+HYPERLINK("http://trademark.i-assist.jp/data/china/image_1912th/80592544.pdf","80592544")</f>
        <v>80592544</v>
      </c>
      <c r="F1335" s="9" t="s">
        <v>3714</v>
      </c>
      <c r="G1335" s="9" t="s">
        <v>3715</v>
      </c>
      <c r="H1335" s="9" t="s">
        <v>3716</v>
      </c>
      <c r="I1335" s="10">
        <v>45531</v>
      </c>
    </row>
    <row r="1336" spans="1:9" x14ac:dyDescent="0.15">
      <c r="A1336" s="9">
        <v>1335</v>
      </c>
      <c r="B1336" s="9" t="s">
        <v>9</v>
      </c>
      <c r="C1336" s="9">
        <v>1912</v>
      </c>
      <c r="D1336" s="10">
        <v>45616</v>
      </c>
      <c r="E1336" s="13" t="str">
        <f>+HYPERLINK("http://trademark.i-assist.jp/data/china/image_1912th/80592568.pdf","80592568")</f>
        <v>80592568</v>
      </c>
      <c r="F1336" s="9" t="s">
        <v>3717</v>
      </c>
      <c r="G1336" s="9" t="s">
        <v>3718</v>
      </c>
      <c r="H1336" s="9" t="s">
        <v>3719</v>
      </c>
      <c r="I1336" s="10">
        <v>45531</v>
      </c>
    </row>
    <row r="1337" spans="1:9" x14ac:dyDescent="0.15">
      <c r="A1337" s="9">
        <v>1336</v>
      </c>
      <c r="B1337" s="9" t="s">
        <v>9</v>
      </c>
      <c r="C1337" s="9">
        <v>1912</v>
      </c>
      <c r="D1337" s="10">
        <v>45616</v>
      </c>
      <c r="E1337" s="13" t="str">
        <f>+HYPERLINK("http://trademark.i-assist.jp/data/china/image_1912th/80592655.pdf","80592655")</f>
        <v>80592655</v>
      </c>
      <c r="F1337" s="12" t="s">
        <v>3720</v>
      </c>
      <c r="G1337" s="9" t="s">
        <v>3721</v>
      </c>
      <c r="H1337" s="9" t="s">
        <v>3722</v>
      </c>
      <c r="I1337" s="10">
        <v>45531</v>
      </c>
    </row>
    <row r="1338" spans="1:9" x14ac:dyDescent="0.15">
      <c r="A1338" s="9">
        <v>1337</v>
      </c>
      <c r="B1338" s="9" t="s">
        <v>9</v>
      </c>
      <c r="C1338" s="9">
        <v>1912</v>
      </c>
      <c r="D1338" s="10">
        <v>45616</v>
      </c>
      <c r="E1338" s="13" t="str">
        <f>+HYPERLINK("http://trademark.i-assist.jp/data/china/image_1912th/80592688.pdf","80592688")</f>
        <v>80592688</v>
      </c>
      <c r="F1338" s="9" t="s">
        <v>3723</v>
      </c>
      <c r="G1338" s="12" t="s">
        <v>3724</v>
      </c>
      <c r="H1338" s="9" t="s">
        <v>3725</v>
      </c>
      <c r="I1338" s="10">
        <v>45531</v>
      </c>
    </row>
    <row r="1339" spans="1:9" x14ac:dyDescent="0.15">
      <c r="A1339" s="9">
        <v>1338</v>
      </c>
      <c r="B1339" s="9" t="s">
        <v>9</v>
      </c>
      <c r="C1339" s="9">
        <v>1912</v>
      </c>
      <c r="D1339" s="10">
        <v>45616</v>
      </c>
      <c r="E1339" s="13" t="str">
        <f>+HYPERLINK("http://trademark.i-assist.jp/data/china/image_1912th/80593534.pdf","80593534")</f>
        <v>80593534</v>
      </c>
      <c r="F1339" s="12" t="s">
        <v>15</v>
      </c>
      <c r="G1339" s="9" t="s">
        <v>3541</v>
      </c>
      <c r="H1339" s="9" t="s">
        <v>3726</v>
      </c>
      <c r="I1339" s="10">
        <v>45531</v>
      </c>
    </row>
    <row r="1340" spans="1:9" x14ac:dyDescent="0.15">
      <c r="A1340" s="9">
        <v>1339</v>
      </c>
      <c r="B1340" s="9" t="s">
        <v>9</v>
      </c>
      <c r="C1340" s="9">
        <v>1912</v>
      </c>
      <c r="D1340" s="10">
        <v>45616</v>
      </c>
      <c r="E1340" s="13" t="str">
        <f>+HYPERLINK("http://trademark.i-assist.jp/data/china/image_1912th/80593729.pdf","80593729")</f>
        <v>80593729</v>
      </c>
      <c r="F1340" s="9" t="s">
        <v>3727</v>
      </c>
      <c r="G1340" s="12" t="s">
        <v>18</v>
      </c>
      <c r="H1340" s="9" t="s">
        <v>3728</v>
      </c>
      <c r="I1340" s="10">
        <v>45531</v>
      </c>
    </row>
    <row r="1341" spans="1:9" x14ac:dyDescent="0.15">
      <c r="A1341" s="9">
        <v>1340</v>
      </c>
      <c r="B1341" s="9" t="s">
        <v>9</v>
      </c>
      <c r="C1341" s="9">
        <v>1912</v>
      </c>
      <c r="D1341" s="10">
        <v>45616</v>
      </c>
      <c r="E1341" s="13" t="str">
        <f>+HYPERLINK("http://trademark.i-assist.jp/data/china/image_1912th/80593956.pdf","80593956")</f>
        <v>80593956</v>
      </c>
      <c r="F1341" s="9" t="s">
        <v>3729</v>
      </c>
      <c r="G1341" s="12" t="s">
        <v>3730</v>
      </c>
      <c r="H1341" s="9" t="s">
        <v>3731</v>
      </c>
      <c r="I1341" s="10">
        <v>45531</v>
      </c>
    </row>
    <row r="1342" spans="1:9" x14ac:dyDescent="0.15">
      <c r="A1342" s="9">
        <v>1341</v>
      </c>
      <c r="B1342" s="9" t="s">
        <v>9</v>
      </c>
      <c r="C1342" s="9">
        <v>1912</v>
      </c>
      <c r="D1342" s="10">
        <v>45616</v>
      </c>
      <c r="E1342" s="13" t="str">
        <f>+HYPERLINK("http://trademark.i-assist.jp/data/china/image_1912th/80594068.pdf","80594068")</f>
        <v>80594068</v>
      </c>
      <c r="F1342" s="9" t="s">
        <v>3732</v>
      </c>
      <c r="G1342" s="12" t="s">
        <v>46</v>
      </c>
      <c r="H1342" s="9" t="s">
        <v>3733</v>
      </c>
      <c r="I1342" s="10">
        <v>45531</v>
      </c>
    </row>
    <row r="1343" spans="1:9" x14ac:dyDescent="0.15">
      <c r="A1343" s="9">
        <v>1342</v>
      </c>
      <c r="B1343" s="9" t="s">
        <v>9</v>
      </c>
      <c r="C1343" s="9">
        <v>1912</v>
      </c>
      <c r="D1343" s="10">
        <v>45616</v>
      </c>
      <c r="E1343" s="13" t="str">
        <f>+HYPERLINK("http://trademark.i-assist.jp/data/china/image_1912th/80594531.pdf","80594531")</f>
        <v>80594531</v>
      </c>
      <c r="F1343" s="9" t="s">
        <v>3734</v>
      </c>
      <c r="G1343" s="9" t="s">
        <v>3735</v>
      </c>
      <c r="H1343" s="12" t="s">
        <v>3736</v>
      </c>
      <c r="I1343" s="10">
        <v>45531</v>
      </c>
    </row>
    <row r="1344" spans="1:9" x14ac:dyDescent="0.15">
      <c r="A1344" s="9">
        <v>1343</v>
      </c>
      <c r="B1344" s="9" t="s">
        <v>9</v>
      </c>
      <c r="C1344" s="9">
        <v>1912</v>
      </c>
      <c r="D1344" s="10">
        <v>45616</v>
      </c>
      <c r="E1344" s="13" t="str">
        <f>+HYPERLINK("http://trademark.i-assist.jp/data/china/image_1912th/80594573.pdf","80594573")</f>
        <v>80594573</v>
      </c>
      <c r="F1344" s="12" t="s">
        <v>3737</v>
      </c>
      <c r="G1344" s="12" t="s">
        <v>3624</v>
      </c>
      <c r="H1344" s="9" t="s">
        <v>3738</v>
      </c>
      <c r="I1344" s="10">
        <v>45531</v>
      </c>
    </row>
    <row r="1345" spans="1:9" x14ac:dyDescent="0.15">
      <c r="A1345" s="9">
        <v>1344</v>
      </c>
      <c r="B1345" s="9" t="s">
        <v>9</v>
      </c>
      <c r="C1345" s="9">
        <v>1912</v>
      </c>
      <c r="D1345" s="10">
        <v>45616</v>
      </c>
      <c r="E1345" s="13" t="str">
        <f>+HYPERLINK("http://trademark.i-assist.jp/data/china/image_1912th/80594697.pdf","80594697")</f>
        <v>80594697</v>
      </c>
      <c r="F1345" s="9" t="s">
        <v>3739</v>
      </c>
      <c r="G1345" s="12" t="s">
        <v>3503</v>
      </c>
      <c r="H1345" s="9" t="s">
        <v>3740</v>
      </c>
      <c r="I1345" s="10">
        <v>45531</v>
      </c>
    </row>
    <row r="1346" spans="1:9" x14ac:dyDescent="0.15">
      <c r="A1346" s="9">
        <v>1345</v>
      </c>
      <c r="B1346" s="9" t="s">
        <v>9</v>
      </c>
      <c r="C1346" s="9">
        <v>1912</v>
      </c>
      <c r="D1346" s="10">
        <v>45616</v>
      </c>
      <c r="E1346" s="13" t="str">
        <f>+HYPERLINK("http://trademark.i-assist.jp/data/china/image_1912th/80594739.pdf","80594739")</f>
        <v>80594739</v>
      </c>
      <c r="F1346" s="9" t="s">
        <v>3741</v>
      </c>
      <c r="G1346" s="9" t="s">
        <v>3742</v>
      </c>
      <c r="H1346" s="9" t="s">
        <v>3743</v>
      </c>
      <c r="I1346" s="10">
        <v>45531</v>
      </c>
    </row>
    <row r="1347" spans="1:9" x14ac:dyDescent="0.15">
      <c r="A1347" s="9">
        <v>1346</v>
      </c>
      <c r="B1347" s="9" t="s">
        <v>9</v>
      </c>
      <c r="C1347" s="9">
        <v>1912</v>
      </c>
      <c r="D1347" s="10">
        <v>45616</v>
      </c>
      <c r="E1347" s="13" t="str">
        <f>+HYPERLINK("http://trademark.i-assist.jp/data/china/image_1912th/80594977.pdf","80594977")</f>
        <v>80594977</v>
      </c>
      <c r="F1347" s="9" t="s">
        <v>3744</v>
      </c>
      <c r="G1347" s="9" t="s">
        <v>3745</v>
      </c>
      <c r="H1347" s="9" t="s">
        <v>3746</v>
      </c>
      <c r="I1347" s="10">
        <v>45531</v>
      </c>
    </row>
    <row r="1348" spans="1:9" x14ac:dyDescent="0.15">
      <c r="A1348" s="9">
        <v>1347</v>
      </c>
      <c r="B1348" s="9" t="s">
        <v>9</v>
      </c>
      <c r="C1348" s="9">
        <v>1912</v>
      </c>
      <c r="D1348" s="10">
        <v>45616</v>
      </c>
      <c r="E1348" s="13" t="str">
        <f>+HYPERLINK("http://trademark.i-assist.jp/data/china/image_1912th/80595263.pdf","80595263")</f>
        <v>80595263</v>
      </c>
      <c r="F1348" s="9" t="s">
        <v>3747</v>
      </c>
      <c r="G1348" s="9" t="s">
        <v>3748</v>
      </c>
      <c r="H1348" s="9" t="s">
        <v>3749</v>
      </c>
      <c r="I1348" s="10">
        <v>45531</v>
      </c>
    </row>
    <row r="1349" spans="1:9" x14ac:dyDescent="0.15">
      <c r="A1349" s="9">
        <v>1348</v>
      </c>
      <c r="B1349" s="9" t="s">
        <v>9</v>
      </c>
      <c r="C1349" s="9">
        <v>1912</v>
      </c>
      <c r="D1349" s="10">
        <v>45616</v>
      </c>
      <c r="E1349" s="13" t="str">
        <f>+HYPERLINK("http://trademark.i-assist.jp/data/china/image_1912th/80595361.pdf","80595361")</f>
        <v>80595361</v>
      </c>
      <c r="F1349" s="9" t="s">
        <v>3750</v>
      </c>
      <c r="G1349" s="9" t="s">
        <v>3751</v>
      </c>
      <c r="H1349" s="9" t="s">
        <v>3752</v>
      </c>
      <c r="I1349" s="10">
        <v>45531</v>
      </c>
    </row>
    <row r="1350" spans="1:9" x14ac:dyDescent="0.15">
      <c r="A1350" s="9">
        <v>1349</v>
      </c>
      <c r="B1350" s="9" t="s">
        <v>9</v>
      </c>
      <c r="C1350" s="9">
        <v>1912</v>
      </c>
      <c r="D1350" s="10">
        <v>45616</v>
      </c>
      <c r="E1350" s="13" t="str">
        <f>+HYPERLINK("http://trademark.i-assist.jp/data/china/image_1912th/80595403.pdf","80595403")</f>
        <v>80595403</v>
      </c>
      <c r="F1350" s="12" t="s">
        <v>3753</v>
      </c>
      <c r="G1350" s="12" t="s">
        <v>3754</v>
      </c>
      <c r="H1350" s="9" t="s">
        <v>3755</v>
      </c>
      <c r="I1350" s="10">
        <v>45531</v>
      </c>
    </row>
    <row r="1351" spans="1:9" x14ac:dyDescent="0.15">
      <c r="A1351" s="9">
        <v>1350</v>
      </c>
      <c r="B1351" s="9" t="s">
        <v>9</v>
      </c>
      <c r="C1351" s="9">
        <v>1912</v>
      </c>
      <c r="D1351" s="10">
        <v>45616</v>
      </c>
      <c r="E1351" s="13" t="str">
        <f>+HYPERLINK("http://trademark.i-assist.jp/data/china/image_1912th/80595460.pdf","80595460")</f>
        <v>80595460</v>
      </c>
      <c r="F1351" s="12" t="s">
        <v>3756</v>
      </c>
      <c r="G1351" s="9" t="s">
        <v>3757</v>
      </c>
      <c r="H1351" s="9" t="s">
        <v>3758</v>
      </c>
      <c r="I1351" s="10">
        <v>45531</v>
      </c>
    </row>
    <row r="1352" spans="1:9" x14ac:dyDescent="0.15">
      <c r="A1352" s="9">
        <v>1351</v>
      </c>
      <c r="B1352" s="9" t="s">
        <v>9</v>
      </c>
      <c r="C1352" s="9">
        <v>1912</v>
      </c>
      <c r="D1352" s="10">
        <v>45616</v>
      </c>
      <c r="E1352" s="13" t="str">
        <f>+HYPERLINK("http://trademark.i-assist.jp/data/china/image_1912th/80595573.pdf","80595573")</f>
        <v>80595573</v>
      </c>
      <c r="F1352" s="12" t="s">
        <v>3759</v>
      </c>
      <c r="G1352" s="9" t="s">
        <v>535</v>
      </c>
      <c r="H1352" s="12" t="s">
        <v>3760</v>
      </c>
      <c r="I1352" s="10">
        <v>45531</v>
      </c>
    </row>
    <row r="1353" spans="1:9" x14ac:dyDescent="0.15">
      <c r="A1353" s="9">
        <v>1352</v>
      </c>
      <c r="B1353" s="9" t="s">
        <v>9</v>
      </c>
      <c r="C1353" s="9">
        <v>1912</v>
      </c>
      <c r="D1353" s="10">
        <v>45616</v>
      </c>
      <c r="E1353" s="13" t="str">
        <f>+HYPERLINK("http://trademark.i-assist.jp/data/china/image_1912th/80595885.pdf","80595885")</f>
        <v>80595885</v>
      </c>
      <c r="F1353" s="9" t="s">
        <v>3761</v>
      </c>
      <c r="G1353" s="12" t="s">
        <v>3762</v>
      </c>
      <c r="H1353" s="9" t="s">
        <v>3763</v>
      </c>
      <c r="I1353" s="10">
        <v>45531</v>
      </c>
    </row>
    <row r="1354" spans="1:9" x14ac:dyDescent="0.15">
      <c r="A1354" s="9">
        <v>1353</v>
      </c>
      <c r="B1354" s="9" t="s">
        <v>9</v>
      </c>
      <c r="C1354" s="9">
        <v>1912</v>
      </c>
      <c r="D1354" s="10">
        <v>45616</v>
      </c>
      <c r="E1354" s="13" t="str">
        <f>+HYPERLINK("http://trademark.i-assist.jp/data/china/image_1912th/80595991.pdf","80595991")</f>
        <v>80595991</v>
      </c>
      <c r="F1354" s="9" t="s">
        <v>3764</v>
      </c>
      <c r="G1354" s="9" t="s">
        <v>3580</v>
      </c>
      <c r="H1354" s="12" t="s">
        <v>3765</v>
      </c>
      <c r="I1354" s="10">
        <v>45531</v>
      </c>
    </row>
    <row r="1355" spans="1:9" x14ac:dyDescent="0.15">
      <c r="A1355" s="9">
        <v>1354</v>
      </c>
      <c r="B1355" s="9" t="s">
        <v>9</v>
      </c>
      <c r="C1355" s="9">
        <v>1912</v>
      </c>
      <c r="D1355" s="10">
        <v>45616</v>
      </c>
      <c r="E1355" s="13" t="str">
        <f>+HYPERLINK("http://trademark.i-assist.jp/data/china/image_1912th/80596347.pdf","80596347")</f>
        <v>80596347</v>
      </c>
      <c r="F1355" s="12" t="s">
        <v>15</v>
      </c>
      <c r="G1355" s="12" t="s">
        <v>3766</v>
      </c>
      <c r="H1355" s="9" t="s">
        <v>3767</v>
      </c>
      <c r="I1355" s="10">
        <v>45531</v>
      </c>
    </row>
    <row r="1356" spans="1:9" x14ac:dyDescent="0.15">
      <c r="A1356" s="9">
        <v>1355</v>
      </c>
      <c r="B1356" s="9" t="s">
        <v>9</v>
      </c>
      <c r="C1356" s="9">
        <v>1912</v>
      </c>
      <c r="D1356" s="10">
        <v>45616</v>
      </c>
      <c r="E1356" s="13" t="str">
        <f>+HYPERLINK("http://trademark.i-assist.jp/data/china/image_1912th/80596388.pdf","80596388")</f>
        <v>80596388</v>
      </c>
      <c r="F1356" s="9" t="s">
        <v>3768</v>
      </c>
      <c r="G1356" s="9" t="s">
        <v>3769</v>
      </c>
      <c r="H1356" s="9" t="s">
        <v>3770</v>
      </c>
      <c r="I1356" s="10">
        <v>45531</v>
      </c>
    </row>
    <row r="1357" spans="1:9" x14ac:dyDescent="0.15">
      <c r="A1357" s="9">
        <v>1356</v>
      </c>
      <c r="B1357" s="9" t="s">
        <v>9</v>
      </c>
      <c r="C1357" s="9">
        <v>1912</v>
      </c>
      <c r="D1357" s="10">
        <v>45616</v>
      </c>
      <c r="E1357" s="13" t="str">
        <f>+HYPERLINK("http://trademark.i-assist.jp/data/china/image_1912th/80596456.pdf","80596456")</f>
        <v>80596456</v>
      </c>
      <c r="F1357" s="9" t="s">
        <v>3771</v>
      </c>
      <c r="G1357" s="9" t="s">
        <v>3772</v>
      </c>
      <c r="H1357" s="12" t="s">
        <v>3773</v>
      </c>
      <c r="I1357" s="10">
        <v>45531</v>
      </c>
    </row>
    <row r="1358" spans="1:9" x14ac:dyDescent="0.15">
      <c r="A1358" s="9">
        <v>1357</v>
      </c>
      <c r="B1358" s="9" t="s">
        <v>9</v>
      </c>
      <c r="C1358" s="9">
        <v>1912</v>
      </c>
      <c r="D1358" s="10">
        <v>45616</v>
      </c>
      <c r="E1358" s="13" t="str">
        <f>+HYPERLINK("http://trademark.i-assist.jp/data/china/image_1912th/80596492.pdf","80596492")</f>
        <v>80596492</v>
      </c>
      <c r="F1358" s="9" t="s">
        <v>3774</v>
      </c>
      <c r="G1358" s="9" t="s">
        <v>3775</v>
      </c>
      <c r="H1358" s="9" t="s">
        <v>3776</v>
      </c>
      <c r="I1358" s="10">
        <v>45531</v>
      </c>
    </row>
    <row r="1359" spans="1:9" x14ac:dyDescent="0.15">
      <c r="A1359" s="9">
        <v>1358</v>
      </c>
      <c r="B1359" s="9" t="s">
        <v>9</v>
      </c>
      <c r="C1359" s="9">
        <v>1912</v>
      </c>
      <c r="D1359" s="10">
        <v>45616</v>
      </c>
      <c r="E1359" s="13" t="str">
        <f>+HYPERLINK("http://trademark.i-assist.jp/data/china/image_1912th/80596555.pdf","80596555")</f>
        <v>80596555</v>
      </c>
      <c r="F1359" s="9" t="s">
        <v>3777</v>
      </c>
      <c r="G1359" s="9" t="s">
        <v>49</v>
      </c>
      <c r="H1359" s="9" t="s">
        <v>3778</v>
      </c>
      <c r="I1359" s="10">
        <v>45531</v>
      </c>
    </row>
    <row r="1360" spans="1:9" x14ac:dyDescent="0.15">
      <c r="A1360" s="9">
        <v>1359</v>
      </c>
      <c r="B1360" s="9" t="s">
        <v>9</v>
      </c>
      <c r="C1360" s="9">
        <v>1912</v>
      </c>
      <c r="D1360" s="10">
        <v>45616</v>
      </c>
      <c r="E1360" s="13" t="str">
        <f>+HYPERLINK("http://trademark.i-assist.jp/data/china/image_1912th/80596660.pdf","80596660")</f>
        <v>80596660</v>
      </c>
      <c r="F1360" s="9" t="s">
        <v>3779</v>
      </c>
      <c r="G1360" s="9" t="s">
        <v>3780</v>
      </c>
      <c r="H1360" s="9" t="s">
        <v>3781</v>
      </c>
      <c r="I1360" s="10">
        <v>45531</v>
      </c>
    </row>
    <row r="1361" spans="1:9" x14ac:dyDescent="0.15">
      <c r="A1361" s="9">
        <v>1360</v>
      </c>
      <c r="B1361" s="9" t="s">
        <v>9</v>
      </c>
      <c r="C1361" s="9">
        <v>1912</v>
      </c>
      <c r="D1361" s="10">
        <v>45616</v>
      </c>
      <c r="E1361" s="13" t="str">
        <f>+HYPERLINK("http://trademark.i-assist.jp/data/china/image_1912th/80596984.pdf","80596984")</f>
        <v>80596984</v>
      </c>
      <c r="F1361" s="9" t="s">
        <v>3782</v>
      </c>
      <c r="G1361" s="12" t="s">
        <v>3724</v>
      </c>
      <c r="H1361" s="9" t="s">
        <v>3783</v>
      </c>
      <c r="I1361" s="10">
        <v>45531</v>
      </c>
    </row>
    <row r="1362" spans="1:9" x14ac:dyDescent="0.15">
      <c r="A1362" s="9">
        <v>1361</v>
      </c>
      <c r="B1362" s="9" t="s">
        <v>9</v>
      </c>
      <c r="C1362" s="9">
        <v>1912</v>
      </c>
      <c r="D1362" s="10">
        <v>45616</v>
      </c>
      <c r="E1362" s="13" t="str">
        <f>+HYPERLINK("http://trademark.i-assist.jp/data/china/image_1912th/80597069.pdf","80597069")</f>
        <v>80597069</v>
      </c>
      <c r="F1362" s="9" t="s">
        <v>3784</v>
      </c>
      <c r="G1362" s="9" t="s">
        <v>3785</v>
      </c>
      <c r="H1362" s="9" t="s">
        <v>3786</v>
      </c>
      <c r="I1362" s="10">
        <v>45531</v>
      </c>
    </row>
    <row r="1363" spans="1:9" x14ac:dyDescent="0.15">
      <c r="A1363" s="9">
        <v>1362</v>
      </c>
      <c r="B1363" s="9" t="s">
        <v>9</v>
      </c>
      <c r="C1363" s="9">
        <v>1912</v>
      </c>
      <c r="D1363" s="10">
        <v>45616</v>
      </c>
      <c r="E1363" s="13" t="str">
        <f>+HYPERLINK("http://trademark.i-assist.jp/data/china/image_1912th/80597716.pdf","80597716")</f>
        <v>80597716</v>
      </c>
      <c r="F1363" s="12" t="s">
        <v>3787</v>
      </c>
      <c r="G1363" s="9" t="s">
        <v>3788</v>
      </c>
      <c r="H1363" s="9" t="s">
        <v>3789</v>
      </c>
      <c r="I1363" s="10">
        <v>45531</v>
      </c>
    </row>
    <row r="1364" spans="1:9" x14ac:dyDescent="0.15">
      <c r="A1364" s="9">
        <v>1363</v>
      </c>
      <c r="B1364" s="9" t="s">
        <v>9</v>
      </c>
      <c r="C1364" s="9">
        <v>1912</v>
      </c>
      <c r="D1364" s="10">
        <v>45616</v>
      </c>
      <c r="E1364" s="13" t="str">
        <f>+HYPERLINK("http://trademark.i-assist.jp/data/china/image_1912th/80597849.pdf","80597849")</f>
        <v>80597849</v>
      </c>
      <c r="F1364" s="9" t="s">
        <v>3790</v>
      </c>
      <c r="G1364" s="9" t="s">
        <v>3791</v>
      </c>
      <c r="H1364" s="9" t="s">
        <v>3792</v>
      </c>
      <c r="I1364" s="10">
        <v>45531</v>
      </c>
    </row>
    <row r="1365" spans="1:9" x14ac:dyDescent="0.15">
      <c r="A1365" s="9">
        <v>1364</v>
      </c>
      <c r="B1365" s="9" t="s">
        <v>9</v>
      </c>
      <c r="C1365" s="9">
        <v>1912</v>
      </c>
      <c r="D1365" s="10">
        <v>45616</v>
      </c>
      <c r="E1365" s="13" t="str">
        <f>+HYPERLINK("http://trademark.i-assist.jp/data/china/image_1912th/80597861.pdf","80597861")</f>
        <v>80597861</v>
      </c>
      <c r="F1365" s="9" t="s">
        <v>3793</v>
      </c>
      <c r="G1365" s="9" t="s">
        <v>1795</v>
      </c>
      <c r="H1365" s="9" t="s">
        <v>3794</v>
      </c>
      <c r="I1365" s="10">
        <v>45531</v>
      </c>
    </row>
    <row r="1366" spans="1:9" x14ac:dyDescent="0.15">
      <c r="A1366" s="9">
        <v>1365</v>
      </c>
      <c r="B1366" s="9" t="s">
        <v>9</v>
      </c>
      <c r="C1366" s="9">
        <v>1912</v>
      </c>
      <c r="D1366" s="10">
        <v>45616</v>
      </c>
      <c r="E1366" s="13" t="str">
        <f>+HYPERLINK("http://trademark.i-assist.jp/data/china/image_1912th/80598261.pdf","80598261")</f>
        <v>80598261</v>
      </c>
      <c r="F1366" s="9" t="s">
        <v>3795</v>
      </c>
      <c r="G1366" s="9" t="s">
        <v>3796</v>
      </c>
      <c r="H1366" s="12" t="s">
        <v>3797</v>
      </c>
      <c r="I1366" s="10">
        <v>45531</v>
      </c>
    </row>
    <row r="1367" spans="1:9" x14ac:dyDescent="0.15">
      <c r="A1367" s="9">
        <v>1366</v>
      </c>
      <c r="B1367" s="9" t="s">
        <v>9</v>
      </c>
      <c r="C1367" s="9">
        <v>1912</v>
      </c>
      <c r="D1367" s="10">
        <v>45616</v>
      </c>
      <c r="E1367" s="13" t="str">
        <f>+HYPERLINK("http://trademark.i-assist.jp/data/china/image_1912th/80598338.pdf","80598338")</f>
        <v>80598338</v>
      </c>
      <c r="F1367" s="9" t="s">
        <v>3798</v>
      </c>
      <c r="G1367" s="9" t="s">
        <v>3642</v>
      </c>
      <c r="H1367" s="9" t="s">
        <v>3799</v>
      </c>
      <c r="I1367" s="10">
        <v>45531</v>
      </c>
    </row>
    <row r="1368" spans="1:9" x14ac:dyDescent="0.15">
      <c r="A1368" s="9">
        <v>1367</v>
      </c>
      <c r="B1368" s="9" t="s">
        <v>9</v>
      </c>
      <c r="C1368" s="9">
        <v>1912</v>
      </c>
      <c r="D1368" s="10">
        <v>45616</v>
      </c>
      <c r="E1368" s="13" t="str">
        <f>+HYPERLINK("http://trademark.i-assist.jp/data/china/image_1912th/80598512.pdf","80598512")</f>
        <v>80598512</v>
      </c>
      <c r="F1368" s="12" t="s">
        <v>3800</v>
      </c>
      <c r="G1368" s="12" t="s">
        <v>3624</v>
      </c>
      <c r="H1368" s="9" t="s">
        <v>3801</v>
      </c>
      <c r="I1368" s="10">
        <v>45531</v>
      </c>
    </row>
    <row r="1369" spans="1:9" x14ac:dyDescent="0.15">
      <c r="A1369" s="9">
        <v>1368</v>
      </c>
      <c r="B1369" s="9" t="s">
        <v>9</v>
      </c>
      <c r="C1369" s="9">
        <v>1912</v>
      </c>
      <c r="D1369" s="10">
        <v>45616</v>
      </c>
      <c r="E1369" s="13" t="str">
        <f>+HYPERLINK("http://trademark.i-assist.jp/data/china/image_1912th/80598551.pdf","80598551")</f>
        <v>80598551</v>
      </c>
      <c r="F1369" s="9" t="s">
        <v>3802</v>
      </c>
      <c r="G1369" s="12" t="s">
        <v>3803</v>
      </c>
      <c r="H1369" s="9" t="s">
        <v>3804</v>
      </c>
      <c r="I1369" s="10">
        <v>45531</v>
      </c>
    </row>
    <row r="1370" spans="1:9" x14ac:dyDescent="0.15">
      <c r="A1370" s="9">
        <v>1369</v>
      </c>
      <c r="B1370" s="9" t="s">
        <v>9</v>
      </c>
      <c r="C1370" s="9">
        <v>1912</v>
      </c>
      <c r="D1370" s="10">
        <v>45616</v>
      </c>
      <c r="E1370" s="13" t="str">
        <f>+HYPERLINK("http://trademark.i-assist.jp/data/china/image_1912th/80598704.pdf","80598704")</f>
        <v>80598704</v>
      </c>
      <c r="F1370" s="12" t="s">
        <v>3805</v>
      </c>
      <c r="G1370" s="12" t="s">
        <v>3503</v>
      </c>
      <c r="H1370" s="9" t="s">
        <v>3806</v>
      </c>
      <c r="I1370" s="10">
        <v>45531</v>
      </c>
    </row>
    <row r="1371" spans="1:9" x14ac:dyDescent="0.15">
      <c r="A1371" s="9">
        <v>1370</v>
      </c>
      <c r="B1371" s="9" t="s">
        <v>9</v>
      </c>
      <c r="C1371" s="9">
        <v>1912</v>
      </c>
      <c r="D1371" s="10">
        <v>45616</v>
      </c>
      <c r="E1371" s="13" t="str">
        <f>+HYPERLINK("http://trademark.i-assist.jp/data/china/image_1912th/80598728.pdf","80598728")</f>
        <v>80598728</v>
      </c>
      <c r="F1371" s="9" t="s">
        <v>3807</v>
      </c>
      <c r="G1371" s="9" t="s">
        <v>3808</v>
      </c>
      <c r="H1371" s="9" t="s">
        <v>3809</v>
      </c>
      <c r="I1371" s="10">
        <v>45531</v>
      </c>
    </row>
    <row r="1372" spans="1:9" x14ac:dyDescent="0.15">
      <c r="A1372" s="9">
        <v>1371</v>
      </c>
      <c r="B1372" s="9" t="s">
        <v>9</v>
      </c>
      <c r="C1372" s="9">
        <v>1912</v>
      </c>
      <c r="D1372" s="10">
        <v>45616</v>
      </c>
      <c r="E1372" s="13" t="str">
        <f>+HYPERLINK("http://trademark.i-assist.jp/data/china/image_1912th/80598756.pdf","80598756")</f>
        <v>80598756</v>
      </c>
      <c r="F1372" s="9" t="s">
        <v>3810</v>
      </c>
      <c r="G1372" s="9" t="s">
        <v>3811</v>
      </c>
      <c r="H1372" s="9" t="s">
        <v>3812</v>
      </c>
      <c r="I1372" s="10">
        <v>45531</v>
      </c>
    </row>
    <row r="1373" spans="1:9" x14ac:dyDescent="0.15">
      <c r="A1373" s="9">
        <v>1372</v>
      </c>
      <c r="B1373" s="9" t="s">
        <v>9</v>
      </c>
      <c r="C1373" s="9">
        <v>1912</v>
      </c>
      <c r="D1373" s="10">
        <v>45616</v>
      </c>
      <c r="E1373" s="13" t="str">
        <f>+HYPERLINK("http://trademark.i-assist.jp/data/china/image_1912th/80599074.pdf","80599074")</f>
        <v>80599074</v>
      </c>
      <c r="F1373" s="9" t="s">
        <v>3813</v>
      </c>
      <c r="G1373" s="12" t="s">
        <v>46</v>
      </c>
      <c r="H1373" s="9" t="s">
        <v>3814</v>
      </c>
      <c r="I1373" s="10">
        <v>45531</v>
      </c>
    </row>
    <row r="1374" spans="1:9" x14ac:dyDescent="0.15">
      <c r="A1374" s="9">
        <v>1373</v>
      </c>
      <c r="B1374" s="9" t="s">
        <v>9</v>
      </c>
      <c r="C1374" s="9">
        <v>1912</v>
      </c>
      <c r="D1374" s="10">
        <v>45616</v>
      </c>
      <c r="E1374" s="13" t="str">
        <f>+HYPERLINK("http://trademark.i-assist.jp/data/china/image_1912th/80599126.pdf","80599126")</f>
        <v>80599126</v>
      </c>
      <c r="F1374" s="9" t="s">
        <v>3815</v>
      </c>
      <c r="G1374" s="9" t="s">
        <v>3816</v>
      </c>
      <c r="H1374" s="12" t="s">
        <v>3817</v>
      </c>
      <c r="I1374" s="10">
        <v>45531</v>
      </c>
    </row>
    <row r="1375" spans="1:9" x14ac:dyDescent="0.15">
      <c r="A1375" s="9">
        <v>1374</v>
      </c>
      <c r="B1375" s="9" t="s">
        <v>9</v>
      </c>
      <c r="C1375" s="9">
        <v>1912</v>
      </c>
      <c r="D1375" s="10">
        <v>45616</v>
      </c>
      <c r="E1375" s="13" t="str">
        <f>+HYPERLINK("http://trademark.i-assist.jp/data/china/image_1912th/80599464.pdf","80599464")</f>
        <v>80599464</v>
      </c>
      <c r="F1375" s="9" t="s">
        <v>3818</v>
      </c>
      <c r="G1375" s="9" t="s">
        <v>3819</v>
      </c>
      <c r="H1375" s="9" t="s">
        <v>3820</v>
      </c>
      <c r="I1375" s="10">
        <v>45531</v>
      </c>
    </row>
    <row r="1376" spans="1:9" x14ac:dyDescent="0.15">
      <c r="A1376" s="9">
        <v>1375</v>
      </c>
      <c r="B1376" s="9" t="s">
        <v>9</v>
      </c>
      <c r="C1376" s="9">
        <v>1912</v>
      </c>
      <c r="D1376" s="10">
        <v>45616</v>
      </c>
      <c r="E1376" s="13" t="str">
        <f>+HYPERLINK("http://trademark.i-assist.jp/data/china/image_1912th/80599562.pdf","80599562")</f>
        <v>80599562</v>
      </c>
      <c r="F1376" s="9" t="s">
        <v>3821</v>
      </c>
      <c r="G1376" s="9" t="s">
        <v>3822</v>
      </c>
      <c r="H1376" s="9" t="s">
        <v>3823</v>
      </c>
      <c r="I1376" s="10">
        <v>45531</v>
      </c>
    </row>
    <row r="1377" spans="1:9" x14ac:dyDescent="0.15">
      <c r="A1377" s="9">
        <v>1376</v>
      </c>
      <c r="B1377" s="9" t="s">
        <v>9</v>
      </c>
      <c r="C1377" s="9">
        <v>1912</v>
      </c>
      <c r="D1377" s="10">
        <v>45616</v>
      </c>
      <c r="E1377" s="13" t="str">
        <f>+HYPERLINK("http://trademark.i-assist.jp/data/china/image_1912th/80599615.pdf","80599615")</f>
        <v>80599615</v>
      </c>
      <c r="F1377" s="9" t="s">
        <v>3824</v>
      </c>
      <c r="G1377" s="9" t="s">
        <v>3825</v>
      </c>
      <c r="H1377" s="9" t="s">
        <v>3826</v>
      </c>
      <c r="I1377" s="10">
        <v>45531</v>
      </c>
    </row>
    <row r="1378" spans="1:9" x14ac:dyDescent="0.15">
      <c r="A1378" s="9">
        <v>1377</v>
      </c>
      <c r="B1378" s="9" t="s">
        <v>9</v>
      </c>
      <c r="C1378" s="9">
        <v>1912</v>
      </c>
      <c r="D1378" s="10">
        <v>45616</v>
      </c>
      <c r="E1378" s="13" t="str">
        <f>+HYPERLINK("http://trademark.i-assist.jp/data/china/image_1912th/80599724.pdf","80599724")</f>
        <v>80599724</v>
      </c>
      <c r="F1378" s="9" t="s">
        <v>3827</v>
      </c>
      <c r="G1378" s="9" t="s">
        <v>3526</v>
      </c>
      <c r="H1378" s="9" t="s">
        <v>3828</v>
      </c>
      <c r="I1378" s="10">
        <v>45531</v>
      </c>
    </row>
    <row r="1379" spans="1:9" x14ac:dyDescent="0.15">
      <c r="A1379" s="9">
        <v>1378</v>
      </c>
      <c r="B1379" s="9" t="s">
        <v>9</v>
      </c>
      <c r="C1379" s="9">
        <v>1912</v>
      </c>
      <c r="D1379" s="10">
        <v>45616</v>
      </c>
      <c r="E1379" s="13" t="str">
        <f>+HYPERLINK("http://trademark.i-assist.jp/data/china/image_1912th/80599993.pdf","80599993")</f>
        <v>80599993</v>
      </c>
      <c r="F1379" s="9" t="s">
        <v>3829</v>
      </c>
      <c r="G1379" s="12" t="s">
        <v>3803</v>
      </c>
      <c r="H1379" s="9" t="s">
        <v>3830</v>
      </c>
      <c r="I1379" s="10">
        <v>45531</v>
      </c>
    </row>
    <row r="1380" spans="1:9" x14ac:dyDescent="0.15">
      <c r="A1380" s="9">
        <v>1379</v>
      </c>
      <c r="B1380" s="9" t="s">
        <v>9</v>
      </c>
      <c r="C1380" s="9">
        <v>1912</v>
      </c>
      <c r="D1380" s="10">
        <v>45616</v>
      </c>
      <c r="E1380" s="13" t="str">
        <f>+HYPERLINK("http://trademark.i-assist.jp/data/china/image_1912th/80600165.pdf","80600165")</f>
        <v>80600165</v>
      </c>
      <c r="F1380" s="9" t="s">
        <v>3831</v>
      </c>
      <c r="G1380" s="9" t="s">
        <v>3580</v>
      </c>
      <c r="H1380" s="12" t="s">
        <v>3832</v>
      </c>
      <c r="I1380" s="10">
        <v>45531</v>
      </c>
    </row>
    <row r="1381" spans="1:9" x14ac:dyDescent="0.15">
      <c r="A1381" s="9">
        <v>1380</v>
      </c>
      <c r="B1381" s="9" t="s">
        <v>9</v>
      </c>
      <c r="C1381" s="9">
        <v>1912</v>
      </c>
      <c r="D1381" s="10">
        <v>45616</v>
      </c>
      <c r="E1381" s="13" t="str">
        <f>+HYPERLINK("http://trademark.i-assist.jp/data/china/image_1912th/80600319.pdf","80600319")</f>
        <v>80600319</v>
      </c>
      <c r="F1381" s="9" t="s">
        <v>3833</v>
      </c>
      <c r="G1381" s="9" t="s">
        <v>3575</v>
      </c>
      <c r="H1381" s="9" t="s">
        <v>3834</v>
      </c>
      <c r="I1381" s="10">
        <v>45531</v>
      </c>
    </row>
    <row r="1382" spans="1:9" x14ac:dyDescent="0.15">
      <c r="A1382" s="9">
        <v>1381</v>
      </c>
      <c r="B1382" s="9" t="s">
        <v>9</v>
      </c>
      <c r="C1382" s="9">
        <v>1912</v>
      </c>
      <c r="D1382" s="10">
        <v>45616</v>
      </c>
      <c r="E1382" s="13" t="str">
        <f>+HYPERLINK("http://trademark.i-assist.jp/data/china/image_1912th/80600438.pdf","80600438")</f>
        <v>80600438</v>
      </c>
      <c r="F1382" s="12" t="s">
        <v>3835</v>
      </c>
      <c r="G1382" s="12" t="s">
        <v>3836</v>
      </c>
      <c r="H1382" s="9" t="s">
        <v>3837</v>
      </c>
      <c r="I1382" s="10">
        <v>45531</v>
      </c>
    </row>
    <row r="1383" spans="1:9" x14ac:dyDescent="0.15">
      <c r="A1383" s="9">
        <v>1382</v>
      </c>
      <c r="B1383" s="9" t="s">
        <v>9</v>
      </c>
      <c r="C1383" s="9">
        <v>1912</v>
      </c>
      <c r="D1383" s="10">
        <v>45616</v>
      </c>
      <c r="E1383" s="13" t="str">
        <f>+HYPERLINK("http://trademark.i-assist.jp/data/china/image_1912th/80600461.pdf","80600461")</f>
        <v>80600461</v>
      </c>
      <c r="F1383" s="9" t="s">
        <v>3838</v>
      </c>
      <c r="G1383" s="12" t="s">
        <v>3839</v>
      </c>
      <c r="H1383" s="9" t="s">
        <v>3840</v>
      </c>
      <c r="I1383" s="10">
        <v>45531</v>
      </c>
    </row>
    <row r="1384" spans="1:9" x14ac:dyDescent="0.15">
      <c r="A1384" s="9">
        <v>1383</v>
      </c>
      <c r="B1384" s="9" t="s">
        <v>9</v>
      </c>
      <c r="C1384" s="9">
        <v>1912</v>
      </c>
      <c r="D1384" s="10">
        <v>45616</v>
      </c>
      <c r="E1384" s="13" t="str">
        <f>+HYPERLINK("http://trademark.i-assist.jp/data/china/image_1912th/80600730.pdf","80600730")</f>
        <v>80600730</v>
      </c>
      <c r="F1384" s="9" t="s">
        <v>3841</v>
      </c>
      <c r="G1384" s="9" t="s">
        <v>3842</v>
      </c>
      <c r="H1384" s="9" t="s">
        <v>3843</v>
      </c>
      <c r="I1384" s="10">
        <v>45531</v>
      </c>
    </row>
    <row r="1385" spans="1:9" x14ac:dyDescent="0.15">
      <c r="A1385" s="9">
        <v>1384</v>
      </c>
      <c r="B1385" s="9" t="s">
        <v>9</v>
      </c>
      <c r="C1385" s="9">
        <v>1912</v>
      </c>
      <c r="D1385" s="10">
        <v>45616</v>
      </c>
      <c r="E1385" s="13" t="str">
        <f>+HYPERLINK("http://trademark.i-assist.jp/data/china/image_1912th/80601040.pdf","80601040")</f>
        <v>80601040</v>
      </c>
      <c r="F1385" s="9" t="s">
        <v>3844</v>
      </c>
      <c r="G1385" s="12" t="s">
        <v>46</v>
      </c>
      <c r="H1385" s="9" t="s">
        <v>3845</v>
      </c>
      <c r="I1385" s="10">
        <v>45531</v>
      </c>
    </row>
    <row r="1386" spans="1:9" x14ac:dyDescent="0.15">
      <c r="A1386" s="9">
        <v>1385</v>
      </c>
      <c r="B1386" s="9" t="s">
        <v>9</v>
      </c>
      <c r="C1386" s="9">
        <v>1912</v>
      </c>
      <c r="D1386" s="10">
        <v>45616</v>
      </c>
      <c r="E1386" s="13" t="str">
        <f>+HYPERLINK("http://trademark.i-assist.jp/data/china/image_1912th/80601226.pdf","80601226")</f>
        <v>80601226</v>
      </c>
      <c r="F1386" s="9" t="s">
        <v>3846</v>
      </c>
      <c r="G1386" s="9" t="s">
        <v>3511</v>
      </c>
      <c r="H1386" s="9" t="s">
        <v>3847</v>
      </c>
      <c r="I1386" s="10">
        <v>45531</v>
      </c>
    </row>
    <row r="1387" spans="1:9" x14ac:dyDescent="0.15">
      <c r="A1387" s="9">
        <v>1386</v>
      </c>
      <c r="B1387" s="9" t="s">
        <v>9</v>
      </c>
      <c r="C1387" s="9">
        <v>1912</v>
      </c>
      <c r="D1387" s="10">
        <v>45616</v>
      </c>
      <c r="E1387" s="13" t="str">
        <f>+HYPERLINK("http://trademark.i-assist.jp/data/china/image_1912th/80601365.pdf","80601365")</f>
        <v>80601365</v>
      </c>
      <c r="F1387" s="12" t="s">
        <v>3848</v>
      </c>
      <c r="G1387" s="9" t="s">
        <v>3849</v>
      </c>
      <c r="H1387" s="12" t="s">
        <v>3850</v>
      </c>
      <c r="I1387" s="10">
        <v>45531</v>
      </c>
    </row>
    <row r="1388" spans="1:9" x14ac:dyDescent="0.15">
      <c r="A1388" s="9">
        <v>1387</v>
      </c>
      <c r="B1388" s="9" t="s">
        <v>9</v>
      </c>
      <c r="C1388" s="9">
        <v>1912</v>
      </c>
      <c r="D1388" s="10">
        <v>45616</v>
      </c>
      <c r="E1388" s="13" t="str">
        <f>+HYPERLINK("http://trademark.i-assist.jp/data/china/image_1912th/80601382.pdf","80601382")</f>
        <v>80601382</v>
      </c>
      <c r="F1388" s="12" t="s">
        <v>3851</v>
      </c>
      <c r="G1388" s="9" t="s">
        <v>3852</v>
      </c>
      <c r="H1388" s="9" t="s">
        <v>3853</v>
      </c>
      <c r="I1388" s="10">
        <v>45531</v>
      </c>
    </row>
    <row r="1389" spans="1:9" x14ac:dyDescent="0.15">
      <c r="A1389" s="9">
        <v>1388</v>
      </c>
      <c r="B1389" s="9" t="s">
        <v>9</v>
      </c>
      <c r="C1389" s="9">
        <v>1912</v>
      </c>
      <c r="D1389" s="10">
        <v>45616</v>
      </c>
      <c r="E1389" s="13" t="str">
        <f>+HYPERLINK("http://trademark.i-assist.jp/data/china/image_1912th/80601390.pdf","80601390")</f>
        <v>80601390</v>
      </c>
      <c r="F1389" s="9" t="s">
        <v>3854</v>
      </c>
      <c r="G1389" s="9" t="s">
        <v>3488</v>
      </c>
      <c r="H1389" s="12" t="s">
        <v>3855</v>
      </c>
      <c r="I1389" s="10">
        <v>45531</v>
      </c>
    </row>
    <row r="1390" spans="1:9" x14ac:dyDescent="0.15">
      <c r="A1390" s="9">
        <v>1389</v>
      </c>
      <c r="B1390" s="9" t="s">
        <v>9</v>
      </c>
      <c r="C1390" s="9">
        <v>1912</v>
      </c>
      <c r="D1390" s="10">
        <v>45616</v>
      </c>
      <c r="E1390" s="13" t="str">
        <f>+HYPERLINK("http://trademark.i-assist.jp/data/china/image_1912th/80601629.pdf","80601629")</f>
        <v>80601629</v>
      </c>
      <c r="F1390" s="9" t="s">
        <v>3856</v>
      </c>
      <c r="G1390" s="9" t="s">
        <v>3857</v>
      </c>
      <c r="H1390" s="9" t="s">
        <v>3858</v>
      </c>
      <c r="I1390" s="10">
        <v>45532</v>
      </c>
    </row>
    <row r="1391" spans="1:9" x14ac:dyDescent="0.15">
      <c r="A1391" s="9">
        <v>1390</v>
      </c>
      <c r="B1391" s="9" t="s">
        <v>9</v>
      </c>
      <c r="C1391" s="9">
        <v>1912</v>
      </c>
      <c r="D1391" s="10">
        <v>45616</v>
      </c>
      <c r="E1391" s="13" t="str">
        <f>+HYPERLINK("http://trademark.i-assist.jp/data/china/image_1912th/80601634.pdf","80601634")</f>
        <v>80601634</v>
      </c>
      <c r="F1391" s="9" t="s">
        <v>3859</v>
      </c>
      <c r="G1391" s="9" t="s">
        <v>3860</v>
      </c>
      <c r="H1391" s="9" t="s">
        <v>3861</v>
      </c>
      <c r="I1391" s="10">
        <v>45532</v>
      </c>
    </row>
    <row r="1392" spans="1:9" x14ac:dyDescent="0.15">
      <c r="A1392" s="9">
        <v>1391</v>
      </c>
      <c r="B1392" s="9" t="s">
        <v>9</v>
      </c>
      <c r="C1392" s="9">
        <v>1912</v>
      </c>
      <c r="D1392" s="10">
        <v>45616</v>
      </c>
      <c r="E1392" s="13" t="str">
        <f>+HYPERLINK("http://trademark.i-assist.jp/data/china/image_1912th/80601764.pdf","80601764")</f>
        <v>80601764</v>
      </c>
      <c r="F1392" s="9" t="s">
        <v>3862</v>
      </c>
      <c r="G1392" s="9" t="s">
        <v>3863</v>
      </c>
      <c r="H1392" s="9" t="s">
        <v>3864</v>
      </c>
      <c r="I1392" s="10">
        <v>45532</v>
      </c>
    </row>
    <row r="1393" spans="1:9" x14ac:dyDescent="0.15">
      <c r="A1393" s="9">
        <v>1392</v>
      </c>
      <c r="B1393" s="9" t="s">
        <v>9</v>
      </c>
      <c r="C1393" s="9">
        <v>1912</v>
      </c>
      <c r="D1393" s="10">
        <v>45616</v>
      </c>
      <c r="E1393" s="13" t="str">
        <f>+HYPERLINK("http://trademark.i-assist.jp/data/china/image_1912th/80601932.pdf","80601932")</f>
        <v>80601932</v>
      </c>
      <c r="F1393" s="9" t="s">
        <v>3865</v>
      </c>
      <c r="G1393" s="9" t="s">
        <v>3866</v>
      </c>
      <c r="H1393" s="9" t="s">
        <v>3867</v>
      </c>
      <c r="I1393" s="10">
        <v>45532</v>
      </c>
    </row>
    <row r="1394" spans="1:9" x14ac:dyDescent="0.15">
      <c r="A1394" s="9">
        <v>1393</v>
      </c>
      <c r="B1394" s="9" t="s">
        <v>9</v>
      </c>
      <c r="C1394" s="9">
        <v>1912</v>
      </c>
      <c r="D1394" s="10">
        <v>45616</v>
      </c>
      <c r="E1394" s="13" t="str">
        <f>+HYPERLINK("http://trademark.i-assist.jp/data/china/image_1912th/80602079.pdf","80602079")</f>
        <v>80602079</v>
      </c>
      <c r="F1394" s="9" t="s">
        <v>3868</v>
      </c>
      <c r="G1394" s="9" t="s">
        <v>3869</v>
      </c>
      <c r="H1394" s="9" t="s">
        <v>3870</v>
      </c>
      <c r="I1394" s="10">
        <v>45532</v>
      </c>
    </row>
    <row r="1395" spans="1:9" x14ac:dyDescent="0.15">
      <c r="A1395" s="9">
        <v>1394</v>
      </c>
      <c r="B1395" s="9" t="s">
        <v>9</v>
      </c>
      <c r="C1395" s="9">
        <v>1912</v>
      </c>
      <c r="D1395" s="10">
        <v>45616</v>
      </c>
      <c r="E1395" s="13" t="str">
        <f>+HYPERLINK("http://trademark.i-assist.jp/data/china/image_1912th/80602097.pdf","80602097")</f>
        <v>80602097</v>
      </c>
      <c r="F1395" s="11" t="s">
        <v>3871</v>
      </c>
      <c r="G1395" s="9" t="s">
        <v>3872</v>
      </c>
      <c r="H1395" s="9" t="s">
        <v>3873</v>
      </c>
      <c r="I1395" s="10">
        <v>45532</v>
      </c>
    </row>
    <row r="1396" spans="1:9" x14ac:dyDescent="0.15">
      <c r="A1396" s="9">
        <v>1395</v>
      </c>
      <c r="B1396" s="9" t="s">
        <v>9</v>
      </c>
      <c r="C1396" s="9">
        <v>1912</v>
      </c>
      <c r="D1396" s="10">
        <v>45616</v>
      </c>
      <c r="E1396" s="13" t="str">
        <f>+HYPERLINK("http://trademark.i-assist.jp/data/china/image_1912th/80602276.pdf","80602276")</f>
        <v>80602276</v>
      </c>
      <c r="F1396" s="9" t="s">
        <v>3874</v>
      </c>
      <c r="G1396" s="9" t="s">
        <v>3875</v>
      </c>
      <c r="H1396" s="12" t="s">
        <v>3876</v>
      </c>
      <c r="I1396" s="10">
        <v>45532</v>
      </c>
    </row>
    <row r="1397" spans="1:9" x14ac:dyDescent="0.15">
      <c r="A1397" s="9">
        <v>1396</v>
      </c>
      <c r="B1397" s="9" t="s">
        <v>9</v>
      </c>
      <c r="C1397" s="9">
        <v>1912</v>
      </c>
      <c r="D1397" s="10">
        <v>45616</v>
      </c>
      <c r="E1397" s="13" t="str">
        <f>+HYPERLINK("http://trademark.i-assist.jp/data/china/image_1912th/80602309.pdf","80602309")</f>
        <v>80602309</v>
      </c>
      <c r="F1397" s="9" t="s">
        <v>3877</v>
      </c>
      <c r="G1397" s="9" t="s">
        <v>3878</v>
      </c>
      <c r="H1397" s="9" t="s">
        <v>3879</v>
      </c>
      <c r="I1397" s="10">
        <v>45532</v>
      </c>
    </row>
    <row r="1398" spans="1:9" x14ac:dyDescent="0.15">
      <c r="A1398" s="9">
        <v>1397</v>
      </c>
      <c r="B1398" s="9" t="s">
        <v>9</v>
      </c>
      <c r="C1398" s="9">
        <v>1912</v>
      </c>
      <c r="D1398" s="10">
        <v>45616</v>
      </c>
      <c r="E1398" s="13" t="str">
        <f>+HYPERLINK("http://trademark.i-assist.jp/data/china/image_1912th/80602748.pdf","80602748")</f>
        <v>80602748</v>
      </c>
      <c r="F1398" s="12" t="s">
        <v>3880</v>
      </c>
      <c r="G1398" s="9" t="s">
        <v>26</v>
      </c>
      <c r="H1398" s="9" t="s">
        <v>3881</v>
      </c>
      <c r="I1398" s="10">
        <v>45532</v>
      </c>
    </row>
    <row r="1399" spans="1:9" x14ac:dyDescent="0.15">
      <c r="A1399" s="9">
        <v>1398</v>
      </c>
      <c r="B1399" s="9" t="s">
        <v>9</v>
      </c>
      <c r="C1399" s="9">
        <v>1912</v>
      </c>
      <c r="D1399" s="10">
        <v>45616</v>
      </c>
      <c r="E1399" s="13" t="str">
        <f>+HYPERLINK("http://trademark.i-assist.jp/data/china/image_1912th/80602857.pdf","80602857")</f>
        <v>80602857</v>
      </c>
      <c r="F1399" s="9" t="s">
        <v>3882</v>
      </c>
      <c r="G1399" s="9" t="s">
        <v>3883</v>
      </c>
      <c r="H1399" s="9" t="s">
        <v>3884</v>
      </c>
      <c r="I1399" s="10">
        <v>45532</v>
      </c>
    </row>
    <row r="1400" spans="1:9" x14ac:dyDescent="0.15">
      <c r="A1400" s="9">
        <v>1399</v>
      </c>
      <c r="B1400" s="9" t="s">
        <v>9</v>
      </c>
      <c r="C1400" s="9">
        <v>1912</v>
      </c>
      <c r="D1400" s="10">
        <v>45616</v>
      </c>
      <c r="E1400" s="13" t="str">
        <f>+HYPERLINK("http://trademark.i-assist.jp/data/china/image_1912th/80602982.pdf","80602982")</f>
        <v>80602982</v>
      </c>
      <c r="F1400" s="9" t="s">
        <v>3885</v>
      </c>
      <c r="G1400" s="9" t="s">
        <v>3886</v>
      </c>
      <c r="H1400" s="9" t="s">
        <v>3887</v>
      </c>
      <c r="I1400" s="10">
        <v>45532</v>
      </c>
    </row>
    <row r="1401" spans="1:9" x14ac:dyDescent="0.15">
      <c r="A1401" s="9">
        <v>1400</v>
      </c>
      <c r="B1401" s="9" t="s">
        <v>9</v>
      </c>
      <c r="C1401" s="9">
        <v>1912</v>
      </c>
      <c r="D1401" s="10">
        <v>45616</v>
      </c>
      <c r="E1401" s="13" t="str">
        <f>+HYPERLINK("http://trademark.i-assist.jp/data/china/image_1912th/80603035.pdf","80603035")</f>
        <v>80603035</v>
      </c>
      <c r="F1401" s="9" t="s">
        <v>3888</v>
      </c>
      <c r="G1401" s="9" t="s">
        <v>3889</v>
      </c>
      <c r="H1401" s="9" t="s">
        <v>3890</v>
      </c>
      <c r="I1401" s="10">
        <v>45532</v>
      </c>
    </row>
    <row r="1402" spans="1:9" x14ac:dyDescent="0.15">
      <c r="A1402" s="9">
        <v>1401</v>
      </c>
      <c r="B1402" s="9" t="s">
        <v>9</v>
      </c>
      <c r="C1402" s="9">
        <v>1912</v>
      </c>
      <c r="D1402" s="10">
        <v>45616</v>
      </c>
      <c r="E1402" s="13" t="str">
        <f>+HYPERLINK("http://trademark.i-assist.jp/data/china/image_1912th/80603103.pdf","80603103")</f>
        <v>80603103</v>
      </c>
      <c r="F1402" s="9" t="s">
        <v>3891</v>
      </c>
      <c r="G1402" s="12" t="s">
        <v>3892</v>
      </c>
      <c r="H1402" s="9" t="s">
        <v>3893</v>
      </c>
      <c r="I1402" s="10">
        <v>45532</v>
      </c>
    </row>
    <row r="1403" spans="1:9" x14ac:dyDescent="0.15">
      <c r="A1403" s="9">
        <v>1402</v>
      </c>
      <c r="B1403" s="9" t="s">
        <v>9</v>
      </c>
      <c r="C1403" s="9">
        <v>1912</v>
      </c>
      <c r="D1403" s="10">
        <v>45616</v>
      </c>
      <c r="E1403" s="13" t="str">
        <f>+HYPERLINK("http://trademark.i-assist.jp/data/china/image_1912th/80603307.pdf","80603307")</f>
        <v>80603307</v>
      </c>
      <c r="F1403" s="9" t="s">
        <v>3894</v>
      </c>
      <c r="G1403" s="9" t="s">
        <v>3895</v>
      </c>
      <c r="H1403" s="9" t="s">
        <v>3896</v>
      </c>
      <c r="I1403" s="10">
        <v>45532</v>
      </c>
    </row>
    <row r="1404" spans="1:9" x14ac:dyDescent="0.15">
      <c r="A1404" s="9">
        <v>1403</v>
      </c>
      <c r="B1404" s="9" t="s">
        <v>9</v>
      </c>
      <c r="C1404" s="9">
        <v>1912</v>
      </c>
      <c r="D1404" s="10">
        <v>45616</v>
      </c>
      <c r="E1404" s="13" t="str">
        <f>+HYPERLINK("http://trademark.i-assist.jp/data/china/image_1912th/80603404.pdf","80603404")</f>
        <v>80603404</v>
      </c>
      <c r="F1404" s="9" t="s">
        <v>3897</v>
      </c>
      <c r="G1404" s="9" t="s">
        <v>3898</v>
      </c>
      <c r="H1404" s="12" t="s">
        <v>3899</v>
      </c>
      <c r="I1404" s="10">
        <v>45532</v>
      </c>
    </row>
    <row r="1405" spans="1:9" x14ac:dyDescent="0.15">
      <c r="A1405" s="9">
        <v>1404</v>
      </c>
      <c r="B1405" s="9" t="s">
        <v>9</v>
      </c>
      <c r="C1405" s="9">
        <v>1912</v>
      </c>
      <c r="D1405" s="10">
        <v>45616</v>
      </c>
      <c r="E1405" s="13" t="str">
        <f>+HYPERLINK("http://trademark.i-assist.jp/data/china/image_1912th/80603566.pdf","80603566")</f>
        <v>80603566</v>
      </c>
      <c r="F1405" s="12" t="s">
        <v>3900</v>
      </c>
      <c r="G1405" s="12" t="s">
        <v>3901</v>
      </c>
      <c r="H1405" s="9" t="s">
        <v>3902</v>
      </c>
      <c r="I1405" s="10">
        <v>45532</v>
      </c>
    </row>
    <row r="1406" spans="1:9" x14ac:dyDescent="0.15">
      <c r="A1406" s="9">
        <v>1405</v>
      </c>
      <c r="B1406" s="9" t="s">
        <v>9</v>
      </c>
      <c r="C1406" s="9">
        <v>1912</v>
      </c>
      <c r="D1406" s="10">
        <v>45616</v>
      </c>
      <c r="E1406" s="13" t="str">
        <f>+HYPERLINK("http://trademark.i-assist.jp/data/china/image_1912th/80603734.pdf","80603734")</f>
        <v>80603734</v>
      </c>
      <c r="F1406" s="9" t="s">
        <v>3903</v>
      </c>
      <c r="G1406" s="9" t="s">
        <v>3904</v>
      </c>
      <c r="H1406" s="9" t="s">
        <v>3905</v>
      </c>
      <c r="I1406" s="10">
        <v>45532</v>
      </c>
    </row>
    <row r="1407" spans="1:9" x14ac:dyDescent="0.15">
      <c r="A1407" s="9">
        <v>1406</v>
      </c>
      <c r="B1407" s="9" t="s">
        <v>9</v>
      </c>
      <c r="C1407" s="9">
        <v>1912</v>
      </c>
      <c r="D1407" s="10">
        <v>45616</v>
      </c>
      <c r="E1407" s="13" t="str">
        <f>+HYPERLINK("http://trademark.i-assist.jp/data/china/image_1912th/80603769.pdf","80603769")</f>
        <v>80603769</v>
      </c>
      <c r="F1407" s="12" t="s">
        <v>3906</v>
      </c>
      <c r="G1407" s="9" t="s">
        <v>2844</v>
      </c>
      <c r="H1407" s="9" t="s">
        <v>3907</v>
      </c>
      <c r="I1407" s="10">
        <v>45532</v>
      </c>
    </row>
    <row r="1408" spans="1:9" x14ac:dyDescent="0.15">
      <c r="A1408" s="9">
        <v>1407</v>
      </c>
      <c r="B1408" s="9" t="s">
        <v>9</v>
      </c>
      <c r="C1408" s="9">
        <v>1912</v>
      </c>
      <c r="D1408" s="10">
        <v>45616</v>
      </c>
      <c r="E1408" s="13" t="str">
        <f>+HYPERLINK("http://trademark.i-assist.jp/data/china/image_1912th/80603827.pdf","80603827")</f>
        <v>80603827</v>
      </c>
      <c r="F1408" s="12" t="s">
        <v>15</v>
      </c>
      <c r="G1408" s="12" t="s">
        <v>3908</v>
      </c>
      <c r="H1408" s="12" t="s">
        <v>3909</v>
      </c>
      <c r="I1408" s="10">
        <v>45532</v>
      </c>
    </row>
    <row r="1409" spans="1:9" x14ac:dyDescent="0.15">
      <c r="A1409" s="9">
        <v>1408</v>
      </c>
      <c r="B1409" s="9" t="s">
        <v>9</v>
      </c>
      <c r="C1409" s="9">
        <v>1912</v>
      </c>
      <c r="D1409" s="10">
        <v>45616</v>
      </c>
      <c r="E1409" s="13" t="str">
        <f>+HYPERLINK("http://trademark.i-assist.jp/data/china/image_1912th/80604018.pdf","80604018")</f>
        <v>80604018</v>
      </c>
      <c r="F1409" s="9" t="s">
        <v>3910</v>
      </c>
      <c r="G1409" s="12" t="s">
        <v>3911</v>
      </c>
      <c r="H1409" s="9" t="s">
        <v>3912</v>
      </c>
      <c r="I1409" s="10">
        <v>45532</v>
      </c>
    </row>
    <row r="1410" spans="1:9" x14ac:dyDescent="0.15">
      <c r="A1410" s="9">
        <v>1409</v>
      </c>
      <c r="B1410" s="9" t="s">
        <v>9</v>
      </c>
      <c r="C1410" s="9">
        <v>1912</v>
      </c>
      <c r="D1410" s="10">
        <v>45616</v>
      </c>
      <c r="E1410" s="13" t="str">
        <f>+HYPERLINK("http://trademark.i-assist.jp/data/china/image_1912th/80604129.pdf","80604129")</f>
        <v>80604129</v>
      </c>
      <c r="F1410" s="9" t="s">
        <v>3913</v>
      </c>
      <c r="G1410" s="12" t="s">
        <v>3901</v>
      </c>
      <c r="H1410" s="9" t="s">
        <v>3914</v>
      </c>
      <c r="I1410" s="10">
        <v>45532</v>
      </c>
    </row>
    <row r="1411" spans="1:9" x14ac:dyDescent="0.15">
      <c r="A1411" s="9">
        <v>1410</v>
      </c>
      <c r="B1411" s="9" t="s">
        <v>9</v>
      </c>
      <c r="C1411" s="9">
        <v>1912</v>
      </c>
      <c r="D1411" s="10">
        <v>45616</v>
      </c>
      <c r="E1411" s="13" t="str">
        <f>+HYPERLINK("http://trademark.i-assist.jp/data/china/image_1912th/80604240.pdf","80604240")</f>
        <v>80604240</v>
      </c>
      <c r="F1411" s="9" t="s">
        <v>3915</v>
      </c>
      <c r="G1411" s="9" t="s">
        <v>3916</v>
      </c>
      <c r="H1411" s="9" t="s">
        <v>3917</v>
      </c>
      <c r="I1411" s="10">
        <v>45532</v>
      </c>
    </row>
    <row r="1412" spans="1:9" x14ac:dyDescent="0.15">
      <c r="A1412" s="9">
        <v>1411</v>
      </c>
      <c r="B1412" s="9" t="s">
        <v>9</v>
      </c>
      <c r="C1412" s="9">
        <v>1912</v>
      </c>
      <c r="D1412" s="10">
        <v>45616</v>
      </c>
      <c r="E1412" s="13" t="str">
        <f>+HYPERLINK("http://trademark.i-assist.jp/data/china/image_1912th/80604276.pdf","80604276")</f>
        <v>80604276</v>
      </c>
      <c r="F1412" s="12" t="s">
        <v>3918</v>
      </c>
      <c r="G1412" s="9" t="s">
        <v>3919</v>
      </c>
      <c r="H1412" s="12" t="s">
        <v>3920</v>
      </c>
      <c r="I1412" s="10">
        <v>45532</v>
      </c>
    </row>
    <row r="1413" spans="1:9" x14ac:dyDescent="0.15">
      <c r="A1413" s="9">
        <v>1412</v>
      </c>
      <c r="B1413" s="9" t="s">
        <v>9</v>
      </c>
      <c r="C1413" s="9">
        <v>1912</v>
      </c>
      <c r="D1413" s="10">
        <v>45616</v>
      </c>
      <c r="E1413" s="13" t="str">
        <f>+HYPERLINK("http://trademark.i-assist.jp/data/china/image_1912th/80604481.pdf","80604481")</f>
        <v>80604481</v>
      </c>
      <c r="F1413" s="9" t="s">
        <v>3921</v>
      </c>
      <c r="G1413" s="9" t="s">
        <v>3922</v>
      </c>
      <c r="H1413" s="12" t="s">
        <v>3923</v>
      </c>
      <c r="I1413" s="10">
        <v>45532</v>
      </c>
    </row>
    <row r="1414" spans="1:9" x14ac:dyDescent="0.15">
      <c r="A1414" s="9">
        <v>1413</v>
      </c>
      <c r="B1414" s="9" t="s">
        <v>9</v>
      </c>
      <c r="C1414" s="9">
        <v>1912</v>
      </c>
      <c r="D1414" s="10">
        <v>45616</v>
      </c>
      <c r="E1414" s="13" t="str">
        <f>+HYPERLINK("http://trademark.i-assist.jp/data/china/image_1912th/80604491.pdf","80604491")</f>
        <v>80604491</v>
      </c>
      <c r="F1414" s="9" t="s">
        <v>3924</v>
      </c>
      <c r="G1414" s="9" t="s">
        <v>3922</v>
      </c>
      <c r="H1414" s="9" t="s">
        <v>3925</v>
      </c>
      <c r="I1414" s="10">
        <v>45532</v>
      </c>
    </row>
    <row r="1415" spans="1:9" x14ac:dyDescent="0.15">
      <c r="A1415" s="9">
        <v>1414</v>
      </c>
      <c r="B1415" s="9" t="s">
        <v>9</v>
      </c>
      <c r="C1415" s="9">
        <v>1912</v>
      </c>
      <c r="D1415" s="10">
        <v>45616</v>
      </c>
      <c r="E1415" s="13" t="str">
        <f>+HYPERLINK("http://trademark.i-assist.jp/data/china/image_1912th/80604662.pdf","80604662")</f>
        <v>80604662</v>
      </c>
      <c r="F1415" s="9" t="s">
        <v>3926</v>
      </c>
      <c r="G1415" s="9" t="s">
        <v>3875</v>
      </c>
      <c r="H1415" s="9" t="s">
        <v>3927</v>
      </c>
      <c r="I1415" s="10">
        <v>45532</v>
      </c>
    </row>
    <row r="1416" spans="1:9" x14ac:dyDescent="0.15">
      <c r="A1416" s="9">
        <v>1415</v>
      </c>
      <c r="B1416" s="9" t="s">
        <v>9</v>
      </c>
      <c r="C1416" s="9">
        <v>1912</v>
      </c>
      <c r="D1416" s="10">
        <v>45616</v>
      </c>
      <c r="E1416" s="13" t="str">
        <f>+HYPERLINK("http://trademark.i-assist.jp/data/china/image_1912th/80604720.pdf","80604720")</f>
        <v>80604720</v>
      </c>
      <c r="F1416" s="12" t="s">
        <v>3928</v>
      </c>
      <c r="G1416" s="9" t="s">
        <v>3919</v>
      </c>
      <c r="H1416" s="9" t="s">
        <v>3929</v>
      </c>
      <c r="I1416" s="10">
        <v>45532</v>
      </c>
    </row>
    <row r="1417" spans="1:9" x14ac:dyDescent="0.15">
      <c r="A1417" s="9">
        <v>1416</v>
      </c>
      <c r="B1417" s="9" t="s">
        <v>9</v>
      </c>
      <c r="C1417" s="9">
        <v>1912</v>
      </c>
      <c r="D1417" s="10">
        <v>45616</v>
      </c>
      <c r="E1417" s="13" t="str">
        <f>+HYPERLINK("http://trademark.i-assist.jp/data/china/image_1912th/80605056.pdf","80605056")</f>
        <v>80605056</v>
      </c>
      <c r="F1417" s="9" t="s">
        <v>3930</v>
      </c>
      <c r="G1417" s="9" t="s">
        <v>3931</v>
      </c>
      <c r="H1417" s="9" t="s">
        <v>3932</v>
      </c>
      <c r="I1417" s="10">
        <v>45532</v>
      </c>
    </row>
    <row r="1418" spans="1:9" x14ac:dyDescent="0.15">
      <c r="A1418" s="9">
        <v>1417</v>
      </c>
      <c r="B1418" s="9" t="s">
        <v>9</v>
      </c>
      <c r="C1418" s="9">
        <v>1912</v>
      </c>
      <c r="D1418" s="10">
        <v>45616</v>
      </c>
      <c r="E1418" s="13" t="str">
        <f>+HYPERLINK("http://trademark.i-assist.jp/data/china/image_1912th/80605058.pdf","80605058")</f>
        <v>80605058</v>
      </c>
      <c r="F1418" s="9" t="s">
        <v>3933</v>
      </c>
      <c r="G1418" s="9" t="s">
        <v>3931</v>
      </c>
      <c r="H1418" s="9" t="s">
        <v>3934</v>
      </c>
      <c r="I1418" s="10">
        <v>45532</v>
      </c>
    </row>
    <row r="1419" spans="1:9" x14ac:dyDescent="0.15">
      <c r="A1419" s="9">
        <v>1418</v>
      </c>
      <c r="B1419" s="9" t="s">
        <v>9</v>
      </c>
      <c r="C1419" s="9">
        <v>1912</v>
      </c>
      <c r="D1419" s="10">
        <v>45616</v>
      </c>
      <c r="E1419" s="13" t="str">
        <f>+HYPERLINK("http://trademark.i-assist.jp/data/china/image_1912th/80605064.pdf","80605064")</f>
        <v>80605064</v>
      </c>
      <c r="F1419" s="9" t="s">
        <v>3935</v>
      </c>
      <c r="G1419" s="9" t="s">
        <v>3936</v>
      </c>
      <c r="H1419" s="9" t="s">
        <v>3937</v>
      </c>
      <c r="I1419" s="10">
        <v>45532</v>
      </c>
    </row>
    <row r="1420" spans="1:9" x14ac:dyDescent="0.15">
      <c r="A1420" s="9">
        <v>1419</v>
      </c>
      <c r="B1420" s="9" t="s">
        <v>9</v>
      </c>
      <c r="C1420" s="9">
        <v>1912</v>
      </c>
      <c r="D1420" s="10">
        <v>45616</v>
      </c>
      <c r="E1420" s="13" t="str">
        <f>+HYPERLINK("http://trademark.i-assist.jp/data/china/image_1912th/80605247.pdf","80605247")</f>
        <v>80605247</v>
      </c>
      <c r="F1420" s="9" t="s">
        <v>3938</v>
      </c>
      <c r="G1420" s="9" t="s">
        <v>3939</v>
      </c>
      <c r="H1420" s="9" t="s">
        <v>3940</v>
      </c>
      <c r="I1420" s="10">
        <v>45532</v>
      </c>
    </row>
    <row r="1421" spans="1:9" x14ac:dyDescent="0.15">
      <c r="A1421" s="9">
        <v>1420</v>
      </c>
      <c r="B1421" s="9" t="s">
        <v>9</v>
      </c>
      <c r="C1421" s="9">
        <v>1912</v>
      </c>
      <c r="D1421" s="10">
        <v>45616</v>
      </c>
      <c r="E1421" s="13" t="str">
        <f>+HYPERLINK("http://trademark.i-assist.jp/data/china/image_1912th/80605582.pdf","80605582")</f>
        <v>80605582</v>
      </c>
      <c r="F1421" s="9" t="s">
        <v>3941</v>
      </c>
      <c r="G1421" s="9" t="s">
        <v>3942</v>
      </c>
      <c r="H1421" s="9" t="s">
        <v>3943</v>
      </c>
      <c r="I1421" s="10">
        <v>45532</v>
      </c>
    </row>
    <row r="1422" spans="1:9" x14ac:dyDescent="0.15">
      <c r="A1422" s="9">
        <v>1421</v>
      </c>
      <c r="B1422" s="9" t="s">
        <v>9</v>
      </c>
      <c r="C1422" s="9">
        <v>1912</v>
      </c>
      <c r="D1422" s="10">
        <v>45616</v>
      </c>
      <c r="E1422" s="13" t="str">
        <f>+HYPERLINK("http://trademark.i-assist.jp/data/china/image_1912th/80605692.pdf","80605692")</f>
        <v>80605692</v>
      </c>
      <c r="F1422" s="9" t="s">
        <v>3944</v>
      </c>
      <c r="G1422" s="9" t="s">
        <v>3945</v>
      </c>
      <c r="H1422" s="9" t="s">
        <v>3946</v>
      </c>
      <c r="I1422" s="10">
        <v>45532</v>
      </c>
    </row>
    <row r="1423" spans="1:9" x14ac:dyDescent="0.15">
      <c r="A1423" s="9">
        <v>1422</v>
      </c>
      <c r="B1423" s="9" t="s">
        <v>9</v>
      </c>
      <c r="C1423" s="9">
        <v>1912</v>
      </c>
      <c r="D1423" s="10">
        <v>45616</v>
      </c>
      <c r="E1423" s="13" t="str">
        <f>+HYPERLINK("http://trademark.i-assist.jp/data/china/image_1912th/80605800.pdf","80605800")</f>
        <v>80605800</v>
      </c>
      <c r="F1423" s="12" t="s">
        <v>15</v>
      </c>
      <c r="G1423" s="9" t="s">
        <v>3947</v>
      </c>
      <c r="H1423" s="9" t="s">
        <v>3948</v>
      </c>
      <c r="I1423" s="10">
        <v>45532</v>
      </c>
    </row>
    <row r="1424" spans="1:9" x14ac:dyDescent="0.15">
      <c r="A1424" s="9">
        <v>1423</v>
      </c>
      <c r="B1424" s="9" t="s">
        <v>9</v>
      </c>
      <c r="C1424" s="9">
        <v>1912</v>
      </c>
      <c r="D1424" s="10">
        <v>45616</v>
      </c>
      <c r="E1424" s="13" t="str">
        <f>+HYPERLINK("http://trademark.i-assist.jp/data/china/image_1912th/80606204.pdf","80606204")</f>
        <v>80606204</v>
      </c>
      <c r="F1424" s="12" t="s">
        <v>15</v>
      </c>
      <c r="G1424" s="9" t="s">
        <v>3949</v>
      </c>
      <c r="H1424" s="12" t="s">
        <v>3950</v>
      </c>
      <c r="I1424" s="10">
        <v>45532</v>
      </c>
    </row>
    <row r="1425" spans="1:9" x14ac:dyDescent="0.15">
      <c r="A1425" s="9">
        <v>1424</v>
      </c>
      <c r="B1425" s="9" t="s">
        <v>9</v>
      </c>
      <c r="C1425" s="9">
        <v>1912</v>
      </c>
      <c r="D1425" s="10">
        <v>45616</v>
      </c>
      <c r="E1425" s="13" t="str">
        <f>+HYPERLINK("http://trademark.i-assist.jp/data/china/image_1912th/80606227.pdf","80606227")</f>
        <v>80606227</v>
      </c>
      <c r="F1425" s="12" t="s">
        <v>15</v>
      </c>
      <c r="G1425" s="9" t="s">
        <v>3951</v>
      </c>
      <c r="H1425" s="9" t="s">
        <v>3952</v>
      </c>
      <c r="I1425" s="10">
        <v>45532</v>
      </c>
    </row>
    <row r="1426" spans="1:9" x14ac:dyDescent="0.15">
      <c r="A1426" s="9">
        <v>1425</v>
      </c>
      <c r="B1426" s="9" t="s">
        <v>9</v>
      </c>
      <c r="C1426" s="9">
        <v>1912</v>
      </c>
      <c r="D1426" s="10">
        <v>45616</v>
      </c>
      <c r="E1426" s="13" t="str">
        <f>+HYPERLINK("http://trademark.i-assist.jp/data/china/image_1912th/80606318.pdf","80606318")</f>
        <v>80606318</v>
      </c>
      <c r="F1426" s="12" t="s">
        <v>3953</v>
      </c>
      <c r="G1426" s="9" t="s">
        <v>3954</v>
      </c>
      <c r="H1426" s="12" t="s">
        <v>3955</v>
      </c>
      <c r="I1426" s="10">
        <v>45532</v>
      </c>
    </row>
    <row r="1427" spans="1:9" x14ac:dyDescent="0.15">
      <c r="A1427" s="9">
        <v>1426</v>
      </c>
      <c r="B1427" s="9" t="s">
        <v>9</v>
      </c>
      <c r="C1427" s="9">
        <v>1912</v>
      </c>
      <c r="D1427" s="10">
        <v>45616</v>
      </c>
      <c r="E1427" s="13" t="str">
        <f>+HYPERLINK("http://trademark.i-assist.jp/data/china/image_1912th/80606523.pdf","80606523")</f>
        <v>80606523</v>
      </c>
      <c r="F1427" s="9" t="s">
        <v>3956</v>
      </c>
      <c r="G1427" s="12" t="s">
        <v>3957</v>
      </c>
      <c r="H1427" s="12" t="s">
        <v>3958</v>
      </c>
      <c r="I1427" s="10">
        <v>45532</v>
      </c>
    </row>
    <row r="1428" spans="1:9" x14ac:dyDescent="0.15">
      <c r="A1428" s="9">
        <v>1427</v>
      </c>
      <c r="B1428" s="9" t="s">
        <v>9</v>
      </c>
      <c r="C1428" s="9">
        <v>1912</v>
      </c>
      <c r="D1428" s="10">
        <v>45616</v>
      </c>
      <c r="E1428" s="13" t="str">
        <f>+HYPERLINK("http://trademark.i-assist.jp/data/china/image_1912th/80606582.pdf","80606582")</f>
        <v>80606582</v>
      </c>
      <c r="F1428" s="11" t="s">
        <v>3959</v>
      </c>
      <c r="G1428" s="9" t="s">
        <v>3960</v>
      </c>
      <c r="H1428" s="9" t="s">
        <v>3961</v>
      </c>
      <c r="I1428" s="10">
        <v>45532</v>
      </c>
    </row>
    <row r="1429" spans="1:9" x14ac:dyDescent="0.15">
      <c r="A1429" s="9">
        <v>1428</v>
      </c>
      <c r="B1429" s="9" t="s">
        <v>9</v>
      </c>
      <c r="C1429" s="9">
        <v>1912</v>
      </c>
      <c r="D1429" s="10">
        <v>45616</v>
      </c>
      <c r="E1429" s="13" t="str">
        <f>+HYPERLINK("http://trademark.i-assist.jp/data/china/image_1912th/80606604.pdf","80606604")</f>
        <v>80606604</v>
      </c>
      <c r="F1429" s="9" t="s">
        <v>3962</v>
      </c>
      <c r="G1429" s="9" t="s">
        <v>3963</v>
      </c>
      <c r="H1429" s="9" t="s">
        <v>3964</v>
      </c>
      <c r="I1429" s="10">
        <v>45532</v>
      </c>
    </row>
    <row r="1430" spans="1:9" x14ac:dyDescent="0.15">
      <c r="A1430" s="9">
        <v>1429</v>
      </c>
      <c r="B1430" s="9" t="s">
        <v>9</v>
      </c>
      <c r="C1430" s="9">
        <v>1912</v>
      </c>
      <c r="D1430" s="10">
        <v>45616</v>
      </c>
      <c r="E1430" s="13" t="str">
        <f>+HYPERLINK("http://trademark.i-assist.jp/data/china/image_1912th/80606693.pdf","80606693")</f>
        <v>80606693</v>
      </c>
      <c r="F1430" s="12" t="s">
        <v>15</v>
      </c>
      <c r="G1430" s="9" t="s">
        <v>3965</v>
      </c>
      <c r="H1430" s="12" t="s">
        <v>3966</v>
      </c>
      <c r="I1430" s="10">
        <v>45532</v>
      </c>
    </row>
    <row r="1431" spans="1:9" x14ac:dyDescent="0.15">
      <c r="A1431" s="9">
        <v>1430</v>
      </c>
      <c r="B1431" s="9" t="s">
        <v>9</v>
      </c>
      <c r="C1431" s="9">
        <v>1912</v>
      </c>
      <c r="D1431" s="10">
        <v>45616</v>
      </c>
      <c r="E1431" s="13" t="str">
        <f>+HYPERLINK("http://trademark.i-assist.jp/data/china/image_1912th/80606777.pdf","80606777")</f>
        <v>80606777</v>
      </c>
      <c r="F1431" s="9" t="s">
        <v>3967</v>
      </c>
      <c r="G1431" s="9" t="s">
        <v>3968</v>
      </c>
      <c r="H1431" s="9" t="s">
        <v>3969</v>
      </c>
      <c r="I1431" s="10">
        <v>45532</v>
      </c>
    </row>
    <row r="1432" spans="1:9" x14ac:dyDescent="0.15">
      <c r="A1432" s="9">
        <v>1431</v>
      </c>
      <c r="B1432" s="9" t="s">
        <v>9</v>
      </c>
      <c r="C1432" s="9">
        <v>1912</v>
      </c>
      <c r="D1432" s="10">
        <v>45616</v>
      </c>
      <c r="E1432" s="13" t="str">
        <f>+HYPERLINK("http://trademark.i-assist.jp/data/china/image_1912th/80606803.pdf","80606803")</f>
        <v>80606803</v>
      </c>
      <c r="F1432" s="9" t="s">
        <v>3970</v>
      </c>
      <c r="G1432" s="9" t="s">
        <v>3971</v>
      </c>
      <c r="H1432" s="9" t="s">
        <v>3972</v>
      </c>
      <c r="I1432" s="10">
        <v>45532</v>
      </c>
    </row>
    <row r="1433" spans="1:9" x14ac:dyDescent="0.15">
      <c r="A1433" s="9">
        <v>1432</v>
      </c>
      <c r="B1433" s="9" t="s">
        <v>9</v>
      </c>
      <c r="C1433" s="9">
        <v>1912</v>
      </c>
      <c r="D1433" s="10">
        <v>45616</v>
      </c>
      <c r="E1433" s="13" t="str">
        <f>+HYPERLINK("http://trademark.i-assist.jp/data/china/image_1912th/80607171.pdf","80607171")</f>
        <v>80607171</v>
      </c>
      <c r="F1433" s="12" t="s">
        <v>3973</v>
      </c>
      <c r="G1433" s="12" t="s">
        <v>3974</v>
      </c>
      <c r="H1433" s="9" t="s">
        <v>3975</v>
      </c>
      <c r="I1433" s="10">
        <v>45532</v>
      </c>
    </row>
    <row r="1434" spans="1:9" x14ac:dyDescent="0.15">
      <c r="A1434" s="9">
        <v>1433</v>
      </c>
      <c r="B1434" s="9" t="s">
        <v>9</v>
      </c>
      <c r="C1434" s="9">
        <v>1912</v>
      </c>
      <c r="D1434" s="10">
        <v>45616</v>
      </c>
      <c r="E1434" s="13" t="str">
        <f>+HYPERLINK("http://trademark.i-assist.jp/data/china/image_1912th/80607294.pdf","80607294")</f>
        <v>80607294</v>
      </c>
      <c r="F1434" s="9" t="s">
        <v>3976</v>
      </c>
      <c r="G1434" s="9" t="s">
        <v>3977</v>
      </c>
      <c r="H1434" s="9" t="s">
        <v>3978</v>
      </c>
      <c r="I1434" s="10">
        <v>45532</v>
      </c>
    </row>
    <row r="1435" spans="1:9" x14ac:dyDescent="0.15">
      <c r="A1435" s="9">
        <v>1434</v>
      </c>
      <c r="B1435" s="9" t="s">
        <v>9</v>
      </c>
      <c r="C1435" s="9">
        <v>1912</v>
      </c>
      <c r="D1435" s="10">
        <v>45616</v>
      </c>
      <c r="E1435" s="13" t="str">
        <f>+HYPERLINK("http://trademark.i-assist.jp/data/china/image_1912th/80607502.pdf","80607502")</f>
        <v>80607502</v>
      </c>
      <c r="F1435" s="9" t="s">
        <v>3979</v>
      </c>
      <c r="G1435" s="9" t="s">
        <v>3980</v>
      </c>
      <c r="H1435" s="9" t="s">
        <v>3981</v>
      </c>
      <c r="I1435" s="10">
        <v>45532</v>
      </c>
    </row>
    <row r="1436" spans="1:9" x14ac:dyDescent="0.15">
      <c r="A1436" s="9">
        <v>1435</v>
      </c>
      <c r="B1436" s="9" t="s">
        <v>9</v>
      </c>
      <c r="C1436" s="9">
        <v>1912</v>
      </c>
      <c r="D1436" s="10">
        <v>45616</v>
      </c>
      <c r="E1436" s="13" t="str">
        <f>+HYPERLINK("http://trademark.i-assist.jp/data/china/image_1912th/80607613.pdf","80607613")</f>
        <v>80607613</v>
      </c>
      <c r="F1436" s="12" t="s">
        <v>3982</v>
      </c>
      <c r="G1436" s="9" t="s">
        <v>3983</v>
      </c>
      <c r="H1436" s="9" t="s">
        <v>3984</v>
      </c>
      <c r="I1436" s="10">
        <v>45532</v>
      </c>
    </row>
    <row r="1437" spans="1:9" x14ac:dyDescent="0.15">
      <c r="A1437" s="9">
        <v>1436</v>
      </c>
      <c r="B1437" s="9" t="s">
        <v>9</v>
      </c>
      <c r="C1437" s="9">
        <v>1912</v>
      </c>
      <c r="D1437" s="10">
        <v>45616</v>
      </c>
      <c r="E1437" s="13" t="str">
        <f>+HYPERLINK("http://trademark.i-assist.jp/data/china/image_1912th/80608078.pdf","80608078")</f>
        <v>80608078</v>
      </c>
      <c r="F1437" s="9" t="s">
        <v>3985</v>
      </c>
      <c r="G1437" s="12" t="s">
        <v>3986</v>
      </c>
      <c r="H1437" s="12" t="s">
        <v>3987</v>
      </c>
      <c r="I1437" s="10">
        <v>45532</v>
      </c>
    </row>
    <row r="1438" spans="1:9" x14ac:dyDescent="0.15">
      <c r="A1438" s="9">
        <v>1437</v>
      </c>
      <c r="B1438" s="9" t="s">
        <v>9</v>
      </c>
      <c r="C1438" s="9">
        <v>1912</v>
      </c>
      <c r="D1438" s="10">
        <v>45616</v>
      </c>
      <c r="E1438" s="13" t="str">
        <f>+HYPERLINK("http://trademark.i-assist.jp/data/china/image_1912th/80608125.pdf","80608125")</f>
        <v>80608125</v>
      </c>
      <c r="F1438" s="12" t="s">
        <v>3988</v>
      </c>
      <c r="G1438" s="12" t="s">
        <v>3901</v>
      </c>
      <c r="H1438" s="9" t="s">
        <v>3989</v>
      </c>
      <c r="I1438" s="10">
        <v>45532</v>
      </c>
    </row>
    <row r="1439" spans="1:9" x14ac:dyDescent="0.15">
      <c r="A1439" s="9">
        <v>1438</v>
      </c>
      <c r="B1439" s="9" t="s">
        <v>9</v>
      </c>
      <c r="C1439" s="9">
        <v>1912</v>
      </c>
      <c r="D1439" s="10">
        <v>45616</v>
      </c>
      <c r="E1439" s="13" t="str">
        <f>+HYPERLINK("http://trademark.i-assist.jp/data/china/image_1912th/80608135.pdf","80608135")</f>
        <v>80608135</v>
      </c>
      <c r="F1439" s="9" t="s">
        <v>3990</v>
      </c>
      <c r="G1439" s="9" t="s">
        <v>3991</v>
      </c>
      <c r="H1439" s="9" t="s">
        <v>3992</v>
      </c>
      <c r="I1439" s="10">
        <v>45532</v>
      </c>
    </row>
    <row r="1440" spans="1:9" x14ac:dyDescent="0.15">
      <c r="A1440" s="9">
        <v>1439</v>
      </c>
      <c r="B1440" s="9" t="s">
        <v>9</v>
      </c>
      <c r="C1440" s="9">
        <v>1912</v>
      </c>
      <c r="D1440" s="10">
        <v>45616</v>
      </c>
      <c r="E1440" s="13" t="str">
        <f>+HYPERLINK("http://trademark.i-assist.jp/data/china/image_1912th/80608201.pdf","80608201")</f>
        <v>80608201</v>
      </c>
      <c r="F1440" s="9" t="s">
        <v>3993</v>
      </c>
      <c r="G1440" s="9" t="s">
        <v>3951</v>
      </c>
      <c r="H1440" s="9" t="s">
        <v>3994</v>
      </c>
      <c r="I1440" s="10">
        <v>45532</v>
      </c>
    </row>
    <row r="1441" spans="1:9" x14ac:dyDescent="0.15">
      <c r="A1441" s="9">
        <v>1440</v>
      </c>
      <c r="B1441" s="9" t="s">
        <v>9</v>
      </c>
      <c r="C1441" s="9">
        <v>1912</v>
      </c>
      <c r="D1441" s="10">
        <v>45616</v>
      </c>
      <c r="E1441" s="13" t="str">
        <f>+HYPERLINK("http://trademark.i-assist.jp/data/china/image_1912th/80608311.pdf","80608311")</f>
        <v>80608311</v>
      </c>
      <c r="F1441" s="9" t="s">
        <v>3995</v>
      </c>
      <c r="G1441" s="9" t="s">
        <v>3922</v>
      </c>
      <c r="H1441" s="12" t="s">
        <v>3996</v>
      </c>
      <c r="I1441" s="10">
        <v>45532</v>
      </c>
    </row>
    <row r="1442" spans="1:9" x14ac:dyDescent="0.15">
      <c r="A1442" s="9">
        <v>1441</v>
      </c>
      <c r="B1442" s="9" t="s">
        <v>9</v>
      </c>
      <c r="C1442" s="9">
        <v>1912</v>
      </c>
      <c r="D1442" s="10">
        <v>45616</v>
      </c>
      <c r="E1442" s="13" t="str">
        <f>+HYPERLINK("http://trademark.i-assist.jp/data/china/image_1912th/80608393.pdf","80608393")</f>
        <v>80608393</v>
      </c>
      <c r="F1442" s="9" t="s">
        <v>3997</v>
      </c>
      <c r="G1442" s="12" t="s">
        <v>2584</v>
      </c>
      <c r="H1442" s="9" t="s">
        <v>3998</v>
      </c>
      <c r="I1442" s="10">
        <v>45532</v>
      </c>
    </row>
    <row r="1443" spans="1:9" x14ac:dyDescent="0.15">
      <c r="A1443" s="9">
        <v>1442</v>
      </c>
      <c r="B1443" s="9" t="s">
        <v>9</v>
      </c>
      <c r="C1443" s="9">
        <v>1912</v>
      </c>
      <c r="D1443" s="10">
        <v>45616</v>
      </c>
      <c r="E1443" s="13" t="str">
        <f>+HYPERLINK("http://trademark.i-assist.jp/data/china/image_1912th/80608401.pdf","80608401")</f>
        <v>80608401</v>
      </c>
      <c r="F1443" s="12" t="s">
        <v>3999</v>
      </c>
      <c r="G1443" s="9" t="s">
        <v>4000</v>
      </c>
      <c r="H1443" s="9" t="s">
        <v>4001</v>
      </c>
      <c r="I1443" s="10">
        <v>45532</v>
      </c>
    </row>
    <row r="1444" spans="1:9" x14ac:dyDescent="0.15">
      <c r="A1444" s="9">
        <v>1443</v>
      </c>
      <c r="B1444" s="9" t="s">
        <v>9</v>
      </c>
      <c r="C1444" s="9">
        <v>1912</v>
      </c>
      <c r="D1444" s="10">
        <v>45616</v>
      </c>
      <c r="E1444" s="13" t="str">
        <f>+HYPERLINK("http://trademark.i-assist.jp/data/china/image_1912th/80608601.pdf","80608601")</f>
        <v>80608601</v>
      </c>
      <c r="F1444" s="9" t="s">
        <v>4002</v>
      </c>
      <c r="G1444" s="12" t="s">
        <v>4003</v>
      </c>
      <c r="H1444" s="9" t="s">
        <v>4004</v>
      </c>
      <c r="I1444" s="10">
        <v>45532</v>
      </c>
    </row>
    <row r="1445" spans="1:9" x14ac:dyDescent="0.15">
      <c r="A1445" s="9">
        <v>1444</v>
      </c>
      <c r="B1445" s="9" t="s">
        <v>9</v>
      </c>
      <c r="C1445" s="9">
        <v>1912</v>
      </c>
      <c r="D1445" s="10">
        <v>45616</v>
      </c>
      <c r="E1445" s="13" t="str">
        <f>+HYPERLINK("http://trademark.i-assist.jp/data/china/image_1912th/80608831.pdf","80608831")</f>
        <v>80608831</v>
      </c>
      <c r="F1445" s="9" t="s">
        <v>4005</v>
      </c>
      <c r="G1445" s="12" t="s">
        <v>4006</v>
      </c>
      <c r="H1445" s="9" t="s">
        <v>4007</v>
      </c>
      <c r="I1445" s="10">
        <v>45532</v>
      </c>
    </row>
    <row r="1446" spans="1:9" x14ac:dyDescent="0.15">
      <c r="A1446" s="9">
        <v>1445</v>
      </c>
      <c r="B1446" s="9" t="s">
        <v>9</v>
      </c>
      <c r="C1446" s="9">
        <v>1912</v>
      </c>
      <c r="D1446" s="10">
        <v>45616</v>
      </c>
      <c r="E1446" s="13" t="str">
        <f>+HYPERLINK("http://trademark.i-assist.jp/data/china/image_1912th/80608852.pdf","80608852")</f>
        <v>80608852</v>
      </c>
      <c r="F1446" s="9" t="s">
        <v>3990</v>
      </c>
      <c r="G1446" s="9" t="s">
        <v>3991</v>
      </c>
      <c r="H1446" s="9" t="s">
        <v>4008</v>
      </c>
      <c r="I1446" s="10">
        <v>45532</v>
      </c>
    </row>
    <row r="1447" spans="1:9" x14ac:dyDescent="0.15">
      <c r="A1447" s="9">
        <v>1446</v>
      </c>
      <c r="B1447" s="9" t="s">
        <v>9</v>
      </c>
      <c r="C1447" s="9">
        <v>1912</v>
      </c>
      <c r="D1447" s="10">
        <v>45616</v>
      </c>
      <c r="E1447" s="13" t="str">
        <f>+HYPERLINK("http://trademark.i-assist.jp/data/china/image_1912th/80608940.pdf","80608940")</f>
        <v>80608940</v>
      </c>
      <c r="F1447" s="9" t="s">
        <v>4009</v>
      </c>
      <c r="G1447" s="9" t="s">
        <v>4010</v>
      </c>
      <c r="H1447" s="9" t="s">
        <v>13</v>
      </c>
      <c r="I1447" s="10">
        <v>45532</v>
      </c>
    </row>
    <row r="1448" spans="1:9" x14ac:dyDescent="0.15">
      <c r="A1448" s="9">
        <v>1447</v>
      </c>
      <c r="B1448" s="9" t="s">
        <v>9</v>
      </c>
      <c r="C1448" s="9">
        <v>1912</v>
      </c>
      <c r="D1448" s="10">
        <v>45616</v>
      </c>
      <c r="E1448" s="13" t="str">
        <f>+HYPERLINK("http://trademark.i-assist.jp/data/china/image_1912th/80608948.pdf","80608948")</f>
        <v>80608948</v>
      </c>
      <c r="F1448" s="12" t="s">
        <v>4011</v>
      </c>
      <c r="G1448" s="9" t="s">
        <v>4012</v>
      </c>
      <c r="H1448" s="9" t="s">
        <v>4013</v>
      </c>
      <c r="I1448" s="10">
        <v>45532</v>
      </c>
    </row>
    <row r="1449" spans="1:9" x14ac:dyDescent="0.15">
      <c r="A1449" s="9">
        <v>1448</v>
      </c>
      <c r="B1449" s="9" t="s">
        <v>9</v>
      </c>
      <c r="C1449" s="9">
        <v>1912</v>
      </c>
      <c r="D1449" s="10">
        <v>45616</v>
      </c>
      <c r="E1449" s="13" t="str">
        <f>+HYPERLINK("http://trademark.i-assist.jp/data/china/image_1912th/80609241.pdf","80609241")</f>
        <v>80609241</v>
      </c>
      <c r="F1449" s="9" t="s">
        <v>4014</v>
      </c>
      <c r="G1449" s="12" t="s">
        <v>4015</v>
      </c>
      <c r="H1449" s="12" t="s">
        <v>4016</v>
      </c>
      <c r="I1449" s="10">
        <v>45532</v>
      </c>
    </row>
    <row r="1450" spans="1:9" x14ac:dyDescent="0.15">
      <c r="A1450" s="9">
        <v>1449</v>
      </c>
      <c r="B1450" s="9" t="s">
        <v>9</v>
      </c>
      <c r="C1450" s="9">
        <v>1912</v>
      </c>
      <c r="D1450" s="10">
        <v>45616</v>
      </c>
      <c r="E1450" s="13" t="str">
        <f>+HYPERLINK("http://trademark.i-assist.jp/data/china/image_1912th/80609391.pdf","80609391")</f>
        <v>80609391</v>
      </c>
      <c r="F1450" s="9" t="s">
        <v>4017</v>
      </c>
      <c r="G1450" s="9" t="s">
        <v>55</v>
      </c>
      <c r="H1450" s="9" t="s">
        <v>4018</v>
      </c>
      <c r="I1450" s="10">
        <v>45532</v>
      </c>
    </row>
    <row r="1451" spans="1:9" x14ac:dyDescent="0.15">
      <c r="A1451" s="9">
        <v>1450</v>
      </c>
      <c r="B1451" s="9" t="s">
        <v>9</v>
      </c>
      <c r="C1451" s="9">
        <v>1912</v>
      </c>
      <c r="D1451" s="10">
        <v>45616</v>
      </c>
      <c r="E1451" s="13" t="str">
        <f>+HYPERLINK("http://trademark.i-assist.jp/data/china/image_1912th/80609505.pdf","80609505")</f>
        <v>80609505</v>
      </c>
      <c r="F1451" s="9" t="s">
        <v>4019</v>
      </c>
      <c r="G1451" s="9" t="s">
        <v>3922</v>
      </c>
      <c r="H1451" s="9" t="s">
        <v>4020</v>
      </c>
      <c r="I1451" s="10">
        <v>45532</v>
      </c>
    </row>
    <row r="1452" spans="1:9" x14ac:dyDescent="0.15">
      <c r="A1452" s="9">
        <v>1451</v>
      </c>
      <c r="B1452" s="9" t="s">
        <v>9</v>
      </c>
      <c r="C1452" s="9">
        <v>1912</v>
      </c>
      <c r="D1452" s="10">
        <v>45616</v>
      </c>
      <c r="E1452" s="13" t="str">
        <f>+HYPERLINK("http://trademark.i-assist.jp/data/china/image_1912th/80609582.pdf","80609582")</f>
        <v>80609582</v>
      </c>
      <c r="F1452" s="9" t="s">
        <v>4021</v>
      </c>
      <c r="G1452" s="9" t="s">
        <v>4022</v>
      </c>
      <c r="H1452" s="9" t="s">
        <v>4023</v>
      </c>
      <c r="I1452" s="10">
        <v>45532</v>
      </c>
    </row>
    <row r="1453" spans="1:9" x14ac:dyDescent="0.15">
      <c r="A1453" s="9">
        <v>1452</v>
      </c>
      <c r="B1453" s="9" t="s">
        <v>9</v>
      </c>
      <c r="C1453" s="9">
        <v>1912</v>
      </c>
      <c r="D1453" s="10">
        <v>45616</v>
      </c>
      <c r="E1453" s="13" t="str">
        <f>+HYPERLINK("http://trademark.i-assist.jp/data/china/image_1912th/80609606.pdf","80609606")</f>
        <v>80609606</v>
      </c>
      <c r="F1453" s="9" t="s">
        <v>4024</v>
      </c>
      <c r="G1453" s="12" t="s">
        <v>4003</v>
      </c>
      <c r="H1453" s="9" t="s">
        <v>4025</v>
      </c>
      <c r="I1453" s="10">
        <v>45532</v>
      </c>
    </row>
    <row r="1454" spans="1:9" x14ac:dyDescent="0.15">
      <c r="A1454" s="9">
        <v>1453</v>
      </c>
      <c r="B1454" s="9" t="s">
        <v>9</v>
      </c>
      <c r="C1454" s="9">
        <v>1912</v>
      </c>
      <c r="D1454" s="10">
        <v>45616</v>
      </c>
      <c r="E1454" s="13" t="str">
        <f>+HYPERLINK("http://trademark.i-assist.jp/data/china/image_1912th/80609653.pdf","80609653")</f>
        <v>80609653</v>
      </c>
      <c r="F1454" s="9" t="s">
        <v>4026</v>
      </c>
      <c r="G1454" s="9" t="s">
        <v>3301</v>
      </c>
      <c r="H1454" s="9" t="s">
        <v>4027</v>
      </c>
      <c r="I1454" s="10">
        <v>45532</v>
      </c>
    </row>
    <row r="1455" spans="1:9" x14ac:dyDescent="0.15">
      <c r="A1455" s="9">
        <v>1454</v>
      </c>
      <c r="B1455" s="9" t="s">
        <v>9</v>
      </c>
      <c r="C1455" s="9">
        <v>1912</v>
      </c>
      <c r="D1455" s="10">
        <v>45616</v>
      </c>
      <c r="E1455" s="13" t="str">
        <f>+HYPERLINK("http://trademark.i-assist.jp/data/china/image_1912th/80609684.pdf","80609684")</f>
        <v>80609684</v>
      </c>
      <c r="F1455" s="9" t="s">
        <v>4028</v>
      </c>
      <c r="G1455" s="9" t="s">
        <v>3939</v>
      </c>
      <c r="H1455" s="9" t="s">
        <v>4029</v>
      </c>
      <c r="I1455" s="10">
        <v>45532</v>
      </c>
    </row>
    <row r="1456" spans="1:9" x14ac:dyDescent="0.15">
      <c r="A1456" s="9">
        <v>1455</v>
      </c>
      <c r="B1456" s="9" t="s">
        <v>9</v>
      </c>
      <c r="C1456" s="9">
        <v>1912</v>
      </c>
      <c r="D1456" s="10">
        <v>45616</v>
      </c>
      <c r="E1456" s="13" t="str">
        <f>+HYPERLINK("http://trademark.i-assist.jp/data/china/image_1912th/80609837.pdf","80609837")</f>
        <v>80609837</v>
      </c>
      <c r="F1456" s="12" t="s">
        <v>4030</v>
      </c>
      <c r="G1456" s="9" t="s">
        <v>4031</v>
      </c>
      <c r="H1456" s="9" t="s">
        <v>4032</v>
      </c>
      <c r="I1456" s="10">
        <v>45532</v>
      </c>
    </row>
    <row r="1457" spans="1:9" x14ac:dyDescent="0.15">
      <c r="A1457" s="9">
        <v>1456</v>
      </c>
      <c r="B1457" s="9" t="s">
        <v>9</v>
      </c>
      <c r="C1457" s="9">
        <v>1912</v>
      </c>
      <c r="D1457" s="10">
        <v>45616</v>
      </c>
      <c r="E1457" s="13" t="str">
        <f>+HYPERLINK("http://trademark.i-assist.jp/data/china/image_1912th/80610048.pdf","80610048")</f>
        <v>80610048</v>
      </c>
      <c r="F1457" s="9" t="s">
        <v>4033</v>
      </c>
      <c r="G1457" s="9" t="s">
        <v>4034</v>
      </c>
      <c r="H1457" s="9" t="s">
        <v>4035</v>
      </c>
      <c r="I1457" s="10">
        <v>45532</v>
      </c>
    </row>
    <row r="1458" spans="1:9" x14ac:dyDescent="0.15">
      <c r="A1458" s="9">
        <v>1457</v>
      </c>
      <c r="B1458" s="9" t="s">
        <v>9</v>
      </c>
      <c r="C1458" s="9">
        <v>1912</v>
      </c>
      <c r="D1458" s="10">
        <v>45616</v>
      </c>
      <c r="E1458" s="13" t="str">
        <f>+HYPERLINK("http://trademark.i-assist.jp/data/china/image_1912th/80610221.pdf","80610221")</f>
        <v>80610221</v>
      </c>
      <c r="F1458" s="9" t="s">
        <v>4036</v>
      </c>
      <c r="G1458" s="9" t="s">
        <v>4037</v>
      </c>
      <c r="H1458" s="9" t="s">
        <v>4038</v>
      </c>
      <c r="I1458" s="10">
        <v>45532</v>
      </c>
    </row>
    <row r="1459" spans="1:9" x14ac:dyDescent="0.15">
      <c r="A1459" s="9">
        <v>1458</v>
      </c>
      <c r="B1459" s="9" t="s">
        <v>9</v>
      </c>
      <c r="C1459" s="9">
        <v>1912</v>
      </c>
      <c r="D1459" s="10">
        <v>45616</v>
      </c>
      <c r="E1459" s="13" t="str">
        <f>+HYPERLINK("http://trademark.i-assist.jp/data/china/image_1912th/80610256.pdf","80610256")</f>
        <v>80610256</v>
      </c>
      <c r="F1459" s="12" t="s">
        <v>4039</v>
      </c>
      <c r="G1459" s="12" t="s">
        <v>4040</v>
      </c>
      <c r="H1459" s="12" t="s">
        <v>4041</v>
      </c>
      <c r="I1459" s="10">
        <v>45532</v>
      </c>
    </row>
    <row r="1460" spans="1:9" x14ac:dyDescent="0.15">
      <c r="A1460" s="9">
        <v>1459</v>
      </c>
      <c r="B1460" s="9" t="s">
        <v>9</v>
      </c>
      <c r="C1460" s="9">
        <v>1912</v>
      </c>
      <c r="D1460" s="10">
        <v>45616</v>
      </c>
      <c r="E1460" s="13" t="str">
        <f>+HYPERLINK("http://trademark.i-assist.jp/data/china/image_1912th/80610269.pdf","80610269")</f>
        <v>80610269</v>
      </c>
      <c r="F1460" s="9" t="s">
        <v>4042</v>
      </c>
      <c r="G1460" s="12" t="s">
        <v>4043</v>
      </c>
      <c r="H1460" s="9" t="s">
        <v>4044</v>
      </c>
      <c r="I1460" s="10">
        <v>45532</v>
      </c>
    </row>
    <row r="1461" spans="1:9" x14ac:dyDescent="0.15">
      <c r="A1461" s="9">
        <v>1460</v>
      </c>
      <c r="B1461" s="9" t="s">
        <v>9</v>
      </c>
      <c r="C1461" s="9">
        <v>1912</v>
      </c>
      <c r="D1461" s="10">
        <v>45616</v>
      </c>
      <c r="E1461" s="13" t="str">
        <f>+HYPERLINK("http://trademark.i-assist.jp/data/china/image_1912th/80610278.pdf","80610278")</f>
        <v>80610278</v>
      </c>
      <c r="F1461" s="9" t="s">
        <v>4045</v>
      </c>
      <c r="G1461" s="9" t="s">
        <v>4046</v>
      </c>
      <c r="H1461" s="9" t="s">
        <v>4047</v>
      </c>
      <c r="I1461" s="10">
        <v>45532</v>
      </c>
    </row>
    <row r="1462" spans="1:9" x14ac:dyDescent="0.15">
      <c r="A1462" s="9">
        <v>1461</v>
      </c>
      <c r="B1462" s="9" t="s">
        <v>9</v>
      </c>
      <c r="C1462" s="9">
        <v>1912</v>
      </c>
      <c r="D1462" s="10">
        <v>45616</v>
      </c>
      <c r="E1462" s="13" t="str">
        <f>+HYPERLINK("http://trademark.i-assist.jp/data/china/image_1912th/80610511.pdf","80610511")</f>
        <v>80610511</v>
      </c>
      <c r="F1462" s="9" t="s">
        <v>4048</v>
      </c>
      <c r="G1462" s="9" t="s">
        <v>79</v>
      </c>
      <c r="H1462" s="9" t="s">
        <v>4049</v>
      </c>
      <c r="I1462" s="10">
        <v>45532</v>
      </c>
    </row>
    <row r="1463" spans="1:9" x14ac:dyDescent="0.15">
      <c r="A1463" s="9">
        <v>1462</v>
      </c>
      <c r="B1463" s="9" t="s">
        <v>9</v>
      </c>
      <c r="C1463" s="9">
        <v>1912</v>
      </c>
      <c r="D1463" s="10">
        <v>45616</v>
      </c>
      <c r="E1463" s="13" t="str">
        <f>+HYPERLINK("http://trademark.i-assist.jp/data/china/image_1912th/80611078.pdf","80611078")</f>
        <v>80611078</v>
      </c>
      <c r="F1463" s="9" t="s">
        <v>4050</v>
      </c>
      <c r="G1463" s="12" t="s">
        <v>2584</v>
      </c>
      <c r="H1463" s="9" t="s">
        <v>4051</v>
      </c>
      <c r="I1463" s="10">
        <v>45532</v>
      </c>
    </row>
    <row r="1464" spans="1:9" x14ac:dyDescent="0.15">
      <c r="A1464" s="9">
        <v>1463</v>
      </c>
      <c r="B1464" s="9" t="s">
        <v>9</v>
      </c>
      <c r="C1464" s="9">
        <v>1912</v>
      </c>
      <c r="D1464" s="10">
        <v>45616</v>
      </c>
      <c r="E1464" s="13" t="str">
        <f>+HYPERLINK("http://trademark.i-assist.jp/data/china/image_1912th/80611185.pdf","80611185")</f>
        <v>80611185</v>
      </c>
      <c r="F1464" s="11" t="s">
        <v>4052</v>
      </c>
      <c r="G1464" s="9" t="s">
        <v>4053</v>
      </c>
      <c r="H1464" s="9" t="s">
        <v>4054</v>
      </c>
      <c r="I1464" s="10">
        <v>45532</v>
      </c>
    </row>
    <row r="1465" spans="1:9" x14ac:dyDescent="0.15">
      <c r="A1465" s="9">
        <v>1464</v>
      </c>
      <c r="B1465" s="9" t="s">
        <v>9</v>
      </c>
      <c r="C1465" s="9">
        <v>1912</v>
      </c>
      <c r="D1465" s="10">
        <v>45616</v>
      </c>
      <c r="E1465" s="13" t="str">
        <f>+HYPERLINK("http://trademark.i-assist.jp/data/china/image_1912th/80611371.pdf","80611371")</f>
        <v>80611371</v>
      </c>
      <c r="F1465" s="9" t="s">
        <v>4055</v>
      </c>
      <c r="G1465" s="9" t="s">
        <v>4056</v>
      </c>
      <c r="H1465" s="9" t="s">
        <v>4057</v>
      </c>
      <c r="I1465" s="10">
        <v>45532</v>
      </c>
    </row>
    <row r="1466" spans="1:9" x14ac:dyDescent="0.15">
      <c r="A1466" s="9">
        <v>1465</v>
      </c>
      <c r="B1466" s="9" t="s">
        <v>9</v>
      </c>
      <c r="C1466" s="9">
        <v>1912</v>
      </c>
      <c r="D1466" s="10">
        <v>45616</v>
      </c>
      <c r="E1466" s="13" t="str">
        <f>+HYPERLINK("http://trademark.i-assist.jp/data/china/image_1912th/80611408.pdf","80611408")</f>
        <v>80611408</v>
      </c>
      <c r="F1466" s="9" t="s">
        <v>4058</v>
      </c>
      <c r="G1466" s="9" t="s">
        <v>4059</v>
      </c>
      <c r="H1466" s="9" t="s">
        <v>4060</v>
      </c>
      <c r="I1466" s="10">
        <v>45532</v>
      </c>
    </row>
    <row r="1467" spans="1:9" x14ac:dyDescent="0.15">
      <c r="A1467" s="9">
        <v>1466</v>
      </c>
      <c r="B1467" s="9" t="s">
        <v>9</v>
      </c>
      <c r="C1467" s="9">
        <v>1912</v>
      </c>
      <c r="D1467" s="10">
        <v>45616</v>
      </c>
      <c r="E1467" s="13" t="str">
        <f>+HYPERLINK("http://trademark.i-assist.jp/data/china/image_1912th/80611555.pdf","80611555")</f>
        <v>80611555</v>
      </c>
      <c r="F1467" s="9" t="s">
        <v>4061</v>
      </c>
      <c r="G1467" s="9" t="s">
        <v>4062</v>
      </c>
      <c r="H1467" s="12" t="s">
        <v>4063</v>
      </c>
      <c r="I1467" s="10">
        <v>45532</v>
      </c>
    </row>
    <row r="1468" spans="1:9" x14ac:dyDescent="0.15">
      <c r="A1468" s="9">
        <v>1467</v>
      </c>
      <c r="B1468" s="9" t="s">
        <v>9</v>
      </c>
      <c r="C1468" s="9">
        <v>1912</v>
      </c>
      <c r="D1468" s="10">
        <v>45616</v>
      </c>
      <c r="E1468" s="13" t="str">
        <f>+HYPERLINK("http://trademark.i-assist.jp/data/china/image_1912th/80611982.pdf","80611982")</f>
        <v>80611982</v>
      </c>
      <c r="F1468" s="9" t="s">
        <v>4064</v>
      </c>
      <c r="G1468" s="9" t="s">
        <v>4065</v>
      </c>
      <c r="H1468" s="9" t="s">
        <v>4066</v>
      </c>
      <c r="I1468" s="10">
        <v>45532</v>
      </c>
    </row>
    <row r="1469" spans="1:9" x14ac:dyDescent="0.15">
      <c r="A1469" s="9">
        <v>1468</v>
      </c>
      <c r="B1469" s="9" t="s">
        <v>9</v>
      </c>
      <c r="C1469" s="9">
        <v>1912</v>
      </c>
      <c r="D1469" s="10">
        <v>45616</v>
      </c>
      <c r="E1469" s="13" t="str">
        <f>+HYPERLINK("http://trademark.i-assist.jp/data/china/image_1912th/80612209.pdf","80612209")</f>
        <v>80612209</v>
      </c>
      <c r="F1469" s="12" t="s">
        <v>4067</v>
      </c>
      <c r="G1469" s="12" t="s">
        <v>4068</v>
      </c>
      <c r="H1469" s="9" t="s">
        <v>4069</v>
      </c>
      <c r="I1469" s="10">
        <v>45532</v>
      </c>
    </row>
    <row r="1470" spans="1:9" x14ac:dyDescent="0.15">
      <c r="A1470" s="9">
        <v>1469</v>
      </c>
      <c r="B1470" s="9" t="s">
        <v>9</v>
      </c>
      <c r="C1470" s="9">
        <v>1912</v>
      </c>
      <c r="D1470" s="10">
        <v>45616</v>
      </c>
      <c r="E1470" s="13" t="str">
        <f>+HYPERLINK("http://trademark.i-assist.jp/data/china/image_1912th/80612625.pdf","80612625")</f>
        <v>80612625</v>
      </c>
      <c r="F1470" s="9" t="s">
        <v>4070</v>
      </c>
      <c r="G1470" s="9" t="s">
        <v>66</v>
      </c>
      <c r="H1470" s="9" t="s">
        <v>4071</v>
      </c>
      <c r="I1470" s="10">
        <v>45532</v>
      </c>
    </row>
    <row r="1471" spans="1:9" x14ac:dyDescent="0.15">
      <c r="A1471" s="9">
        <v>1470</v>
      </c>
      <c r="B1471" s="9" t="s">
        <v>9</v>
      </c>
      <c r="C1471" s="9">
        <v>1912</v>
      </c>
      <c r="D1471" s="10">
        <v>45616</v>
      </c>
      <c r="E1471" s="13" t="str">
        <f>+HYPERLINK("http://trademark.i-assist.jp/data/china/image_1912th/80612976.pdf","80612976")</f>
        <v>80612976</v>
      </c>
      <c r="F1471" s="9" t="s">
        <v>4072</v>
      </c>
      <c r="G1471" s="9" t="s">
        <v>3898</v>
      </c>
      <c r="H1471" s="9" t="s">
        <v>4073</v>
      </c>
      <c r="I1471" s="10">
        <v>45532</v>
      </c>
    </row>
    <row r="1472" spans="1:9" x14ac:dyDescent="0.15">
      <c r="A1472" s="9">
        <v>1471</v>
      </c>
      <c r="B1472" s="9" t="s">
        <v>9</v>
      </c>
      <c r="C1472" s="9">
        <v>1912</v>
      </c>
      <c r="D1472" s="10">
        <v>45616</v>
      </c>
      <c r="E1472" s="13" t="str">
        <f>+HYPERLINK("http://trademark.i-assist.jp/data/china/image_1912th/80613090.pdf","80613090")</f>
        <v>80613090</v>
      </c>
      <c r="F1472" s="11" t="s">
        <v>4074</v>
      </c>
      <c r="G1472" s="9" t="s">
        <v>4000</v>
      </c>
      <c r="H1472" s="12" t="s">
        <v>4075</v>
      </c>
      <c r="I1472" s="10">
        <v>45532</v>
      </c>
    </row>
    <row r="1473" spans="1:9" x14ac:dyDescent="0.15">
      <c r="A1473" s="9">
        <v>1472</v>
      </c>
      <c r="B1473" s="9" t="s">
        <v>9</v>
      </c>
      <c r="C1473" s="9">
        <v>1912</v>
      </c>
      <c r="D1473" s="10">
        <v>45616</v>
      </c>
      <c r="E1473" s="13" t="str">
        <f>+HYPERLINK("http://trademark.i-assist.jp/data/china/image_1912th/80613127.pdf","80613127")</f>
        <v>80613127</v>
      </c>
      <c r="F1473" s="9" t="s">
        <v>4076</v>
      </c>
      <c r="G1473" s="9" t="s">
        <v>4062</v>
      </c>
      <c r="H1473" s="9" t="s">
        <v>4077</v>
      </c>
      <c r="I1473" s="10">
        <v>45532</v>
      </c>
    </row>
    <row r="1474" spans="1:9" x14ac:dyDescent="0.15">
      <c r="A1474" s="9">
        <v>1473</v>
      </c>
      <c r="B1474" s="9" t="s">
        <v>9</v>
      </c>
      <c r="C1474" s="9">
        <v>1912</v>
      </c>
      <c r="D1474" s="10">
        <v>45616</v>
      </c>
      <c r="E1474" s="13" t="str">
        <f>+HYPERLINK("http://trademark.i-assist.jp/data/china/image_1912th/80613136.pdf","80613136")</f>
        <v>80613136</v>
      </c>
      <c r="F1474" s="9" t="s">
        <v>4078</v>
      </c>
      <c r="G1474" s="9" t="s">
        <v>4079</v>
      </c>
      <c r="H1474" s="9" t="s">
        <v>4080</v>
      </c>
      <c r="I1474" s="10">
        <v>45532</v>
      </c>
    </row>
    <row r="1475" spans="1:9" x14ac:dyDescent="0.15">
      <c r="A1475" s="9">
        <v>1474</v>
      </c>
      <c r="B1475" s="9" t="s">
        <v>9</v>
      </c>
      <c r="C1475" s="9">
        <v>1912</v>
      </c>
      <c r="D1475" s="10">
        <v>45616</v>
      </c>
      <c r="E1475" s="13" t="str">
        <f>+HYPERLINK("http://trademark.i-assist.jp/data/china/image_1912th/80613175.pdf","80613175")</f>
        <v>80613175</v>
      </c>
      <c r="F1475" s="9" t="s">
        <v>4081</v>
      </c>
      <c r="G1475" s="9" t="s">
        <v>4082</v>
      </c>
      <c r="H1475" s="9" t="s">
        <v>4083</v>
      </c>
      <c r="I1475" s="10">
        <v>45532</v>
      </c>
    </row>
    <row r="1476" spans="1:9" x14ac:dyDescent="0.15">
      <c r="A1476" s="9">
        <v>1475</v>
      </c>
      <c r="B1476" s="9" t="s">
        <v>9</v>
      </c>
      <c r="C1476" s="9">
        <v>1912</v>
      </c>
      <c r="D1476" s="10">
        <v>45616</v>
      </c>
      <c r="E1476" s="13" t="str">
        <f>+HYPERLINK("http://trademark.i-assist.jp/data/china/image_1912th/80613214.pdf","80613214")</f>
        <v>80613214</v>
      </c>
      <c r="F1476" s="12" t="s">
        <v>4084</v>
      </c>
      <c r="G1476" s="9" t="s">
        <v>4085</v>
      </c>
      <c r="H1476" s="12" t="s">
        <v>4086</v>
      </c>
      <c r="I1476" s="10">
        <v>45532</v>
      </c>
    </row>
    <row r="1477" spans="1:9" x14ac:dyDescent="0.15">
      <c r="A1477" s="9">
        <v>1476</v>
      </c>
      <c r="B1477" s="9" t="s">
        <v>9</v>
      </c>
      <c r="C1477" s="9">
        <v>1912</v>
      </c>
      <c r="D1477" s="10">
        <v>45616</v>
      </c>
      <c r="E1477" s="13" t="str">
        <f>+HYPERLINK("http://trademark.i-assist.jp/data/china/image_1912th/80613221.pdf","80613221")</f>
        <v>80613221</v>
      </c>
      <c r="F1477" s="9" t="s">
        <v>4087</v>
      </c>
      <c r="G1477" s="9" t="s">
        <v>4088</v>
      </c>
      <c r="H1477" s="9" t="s">
        <v>4089</v>
      </c>
      <c r="I1477" s="10">
        <v>45532</v>
      </c>
    </row>
    <row r="1478" spans="1:9" x14ac:dyDescent="0.15">
      <c r="A1478" s="9">
        <v>1477</v>
      </c>
      <c r="B1478" s="9" t="s">
        <v>9</v>
      </c>
      <c r="C1478" s="9">
        <v>1912</v>
      </c>
      <c r="D1478" s="10">
        <v>45616</v>
      </c>
      <c r="E1478" s="13" t="str">
        <f>+HYPERLINK("http://trademark.i-assist.jp/data/china/image_1912th/80613298.pdf","80613298")</f>
        <v>80613298</v>
      </c>
      <c r="F1478" s="9" t="s">
        <v>4090</v>
      </c>
      <c r="G1478" s="9" t="s">
        <v>4091</v>
      </c>
      <c r="H1478" s="9" t="s">
        <v>4092</v>
      </c>
      <c r="I1478" s="10">
        <v>45532</v>
      </c>
    </row>
    <row r="1479" spans="1:9" x14ac:dyDescent="0.15">
      <c r="A1479" s="9">
        <v>1478</v>
      </c>
      <c r="B1479" s="9" t="s">
        <v>9</v>
      </c>
      <c r="C1479" s="9">
        <v>1912</v>
      </c>
      <c r="D1479" s="10">
        <v>45616</v>
      </c>
      <c r="E1479" s="13" t="str">
        <f>+HYPERLINK("http://trademark.i-assist.jp/data/china/image_1912th/80613458.pdf","80613458")</f>
        <v>80613458</v>
      </c>
      <c r="F1479" s="9" t="s">
        <v>4093</v>
      </c>
      <c r="G1479" s="9" t="s">
        <v>4010</v>
      </c>
      <c r="H1479" s="9" t="s">
        <v>13</v>
      </c>
      <c r="I1479" s="10">
        <v>45532</v>
      </c>
    </row>
    <row r="1480" spans="1:9" x14ac:dyDescent="0.15">
      <c r="A1480" s="9">
        <v>1479</v>
      </c>
      <c r="B1480" s="9" t="s">
        <v>9</v>
      </c>
      <c r="C1480" s="9">
        <v>1912</v>
      </c>
      <c r="D1480" s="10">
        <v>45616</v>
      </c>
      <c r="E1480" s="13" t="str">
        <f>+HYPERLINK("http://trademark.i-assist.jp/data/china/image_1912th/80614083.pdf","80614083")</f>
        <v>80614083</v>
      </c>
      <c r="F1480" s="9" t="s">
        <v>4094</v>
      </c>
      <c r="G1480" s="9" t="s">
        <v>4059</v>
      </c>
      <c r="H1480" s="12" t="s">
        <v>4095</v>
      </c>
      <c r="I1480" s="10">
        <v>45532</v>
      </c>
    </row>
    <row r="1481" spans="1:9" x14ac:dyDescent="0.15">
      <c r="A1481" s="9">
        <v>1480</v>
      </c>
      <c r="B1481" s="9" t="s">
        <v>9</v>
      </c>
      <c r="C1481" s="9">
        <v>1912</v>
      </c>
      <c r="D1481" s="10">
        <v>45616</v>
      </c>
      <c r="E1481" s="13" t="str">
        <f>+HYPERLINK("http://trademark.i-assist.jp/data/china/image_1912th/80614251.pdf","80614251")</f>
        <v>80614251</v>
      </c>
      <c r="F1481" s="9" t="s">
        <v>4096</v>
      </c>
      <c r="G1481" s="9" t="s">
        <v>4097</v>
      </c>
      <c r="H1481" s="9" t="s">
        <v>4098</v>
      </c>
      <c r="I1481" s="10">
        <v>45532</v>
      </c>
    </row>
    <row r="1482" spans="1:9" x14ac:dyDescent="0.15">
      <c r="A1482" s="9">
        <v>1481</v>
      </c>
      <c r="B1482" s="9" t="s">
        <v>9</v>
      </c>
      <c r="C1482" s="9">
        <v>1912</v>
      </c>
      <c r="D1482" s="10">
        <v>45616</v>
      </c>
      <c r="E1482" s="13" t="str">
        <f>+HYPERLINK("http://trademark.i-assist.jp/data/china/image_1912th/80614531.pdf","80614531")</f>
        <v>80614531</v>
      </c>
      <c r="F1482" s="9" t="s">
        <v>4099</v>
      </c>
      <c r="G1482" s="9" t="s">
        <v>4100</v>
      </c>
      <c r="H1482" s="9" t="s">
        <v>4101</v>
      </c>
      <c r="I1482" s="10">
        <v>45532</v>
      </c>
    </row>
    <row r="1483" spans="1:9" x14ac:dyDescent="0.15">
      <c r="A1483" s="9">
        <v>1482</v>
      </c>
      <c r="B1483" s="9" t="s">
        <v>9</v>
      </c>
      <c r="C1483" s="9">
        <v>1912</v>
      </c>
      <c r="D1483" s="10">
        <v>45616</v>
      </c>
      <c r="E1483" s="13" t="str">
        <f>+HYPERLINK("http://trademark.i-assist.jp/data/china/image_1912th/80614603.pdf","80614603")</f>
        <v>80614603</v>
      </c>
      <c r="F1483" s="9" t="s">
        <v>4102</v>
      </c>
      <c r="G1483" s="12" t="s">
        <v>4103</v>
      </c>
      <c r="H1483" s="9" t="s">
        <v>4104</v>
      </c>
      <c r="I1483" s="10">
        <v>45532</v>
      </c>
    </row>
    <row r="1484" spans="1:9" x14ac:dyDescent="0.15">
      <c r="A1484" s="9">
        <v>1483</v>
      </c>
      <c r="B1484" s="9" t="s">
        <v>9</v>
      </c>
      <c r="C1484" s="9">
        <v>1912</v>
      </c>
      <c r="D1484" s="10">
        <v>45616</v>
      </c>
      <c r="E1484" s="13" t="str">
        <f>+HYPERLINK("http://trademark.i-assist.jp/data/china/image_1912th/80614688.pdf","80614688")</f>
        <v>80614688</v>
      </c>
      <c r="F1484" s="9" t="s">
        <v>4105</v>
      </c>
      <c r="G1484" s="9" t="s">
        <v>4106</v>
      </c>
      <c r="H1484" s="9" t="s">
        <v>4107</v>
      </c>
      <c r="I1484" s="10">
        <v>45532</v>
      </c>
    </row>
    <row r="1485" spans="1:9" x14ac:dyDescent="0.15">
      <c r="A1485" s="9">
        <v>1484</v>
      </c>
      <c r="B1485" s="9" t="s">
        <v>9</v>
      </c>
      <c r="C1485" s="9">
        <v>1912</v>
      </c>
      <c r="D1485" s="10">
        <v>45616</v>
      </c>
      <c r="E1485" s="13" t="str">
        <f>+HYPERLINK("http://trademark.i-assist.jp/data/china/image_1912th/80614736.pdf","80614736")</f>
        <v>80614736</v>
      </c>
      <c r="F1485" s="9" t="s">
        <v>4108</v>
      </c>
      <c r="G1485" s="9" t="s">
        <v>3539</v>
      </c>
      <c r="H1485" s="9" t="s">
        <v>4109</v>
      </c>
      <c r="I1485" s="10">
        <v>45532</v>
      </c>
    </row>
    <row r="1486" spans="1:9" x14ac:dyDescent="0.15">
      <c r="A1486" s="9">
        <v>1485</v>
      </c>
      <c r="B1486" s="9" t="s">
        <v>9</v>
      </c>
      <c r="C1486" s="9">
        <v>1912</v>
      </c>
      <c r="D1486" s="10">
        <v>45616</v>
      </c>
      <c r="E1486" s="13" t="str">
        <f>+HYPERLINK("http://trademark.i-assist.jp/data/china/image_1912th/80615150.pdf","80615150")</f>
        <v>80615150</v>
      </c>
      <c r="F1486" s="12" t="s">
        <v>4110</v>
      </c>
      <c r="G1486" s="12" t="s">
        <v>4040</v>
      </c>
      <c r="H1486" s="9" t="s">
        <v>4111</v>
      </c>
      <c r="I1486" s="10">
        <v>45532</v>
      </c>
    </row>
    <row r="1487" spans="1:9" x14ac:dyDescent="0.15">
      <c r="A1487" s="9">
        <v>1486</v>
      </c>
      <c r="B1487" s="9" t="s">
        <v>9</v>
      </c>
      <c r="C1487" s="9">
        <v>1912</v>
      </c>
      <c r="D1487" s="10">
        <v>45616</v>
      </c>
      <c r="E1487" s="13" t="str">
        <f>+HYPERLINK("http://trademark.i-assist.jp/data/china/image_1912th/80615216.pdf","80615216")</f>
        <v>80615216</v>
      </c>
      <c r="F1487" s="12" t="s">
        <v>4112</v>
      </c>
      <c r="G1487" s="12" t="s">
        <v>4113</v>
      </c>
      <c r="H1487" s="9" t="s">
        <v>4114</v>
      </c>
      <c r="I1487" s="10">
        <v>45532</v>
      </c>
    </row>
    <row r="1488" spans="1:9" x14ac:dyDescent="0.15">
      <c r="A1488" s="9">
        <v>1487</v>
      </c>
      <c r="B1488" s="9" t="s">
        <v>9</v>
      </c>
      <c r="C1488" s="9">
        <v>1912</v>
      </c>
      <c r="D1488" s="10">
        <v>45616</v>
      </c>
      <c r="E1488" s="13" t="str">
        <f>+HYPERLINK("http://trademark.i-assist.jp/data/china/image_1912th/80615462.pdf","80615462")</f>
        <v>80615462</v>
      </c>
      <c r="F1488" s="9" t="s">
        <v>4115</v>
      </c>
      <c r="G1488" s="9" t="s">
        <v>4116</v>
      </c>
      <c r="H1488" s="9" t="s">
        <v>4117</v>
      </c>
      <c r="I1488" s="10">
        <v>45532</v>
      </c>
    </row>
    <row r="1489" spans="1:9" x14ac:dyDescent="0.15">
      <c r="A1489" s="9">
        <v>1488</v>
      </c>
      <c r="B1489" s="9" t="s">
        <v>9</v>
      </c>
      <c r="C1489" s="9">
        <v>1912</v>
      </c>
      <c r="D1489" s="10">
        <v>45616</v>
      </c>
      <c r="E1489" s="13" t="str">
        <f>+HYPERLINK("http://trademark.i-assist.jp/data/china/image_1912th/80615524.pdf","80615524")</f>
        <v>80615524</v>
      </c>
      <c r="F1489" s="12" t="s">
        <v>15</v>
      </c>
      <c r="G1489" s="9" t="s">
        <v>4118</v>
      </c>
      <c r="H1489" s="9" t="s">
        <v>4119</v>
      </c>
      <c r="I1489" s="10">
        <v>45532</v>
      </c>
    </row>
    <row r="1490" spans="1:9" x14ac:dyDescent="0.15">
      <c r="A1490" s="9">
        <v>1489</v>
      </c>
      <c r="B1490" s="9" t="s">
        <v>9</v>
      </c>
      <c r="C1490" s="9">
        <v>1912</v>
      </c>
      <c r="D1490" s="10">
        <v>45616</v>
      </c>
      <c r="E1490" s="13" t="str">
        <f>+HYPERLINK("http://trademark.i-assist.jp/data/china/image_1912th/80615531.pdf","80615531")</f>
        <v>80615531</v>
      </c>
      <c r="F1490" s="9" t="s">
        <v>4120</v>
      </c>
      <c r="G1490" s="9" t="s">
        <v>3945</v>
      </c>
      <c r="H1490" s="12" t="s">
        <v>4121</v>
      </c>
      <c r="I1490" s="10">
        <v>45532</v>
      </c>
    </row>
    <row r="1491" spans="1:9" x14ac:dyDescent="0.15">
      <c r="A1491" s="9">
        <v>1490</v>
      </c>
      <c r="B1491" s="9" t="s">
        <v>9</v>
      </c>
      <c r="C1491" s="9">
        <v>1912</v>
      </c>
      <c r="D1491" s="10">
        <v>45616</v>
      </c>
      <c r="E1491" s="13" t="str">
        <f>+HYPERLINK("http://trademark.i-assist.jp/data/china/image_1912th/80615750.pdf","80615750")</f>
        <v>80615750</v>
      </c>
      <c r="F1491" s="12" t="s">
        <v>15</v>
      </c>
      <c r="G1491" s="12" t="s">
        <v>4122</v>
      </c>
      <c r="H1491" s="9" t="s">
        <v>4123</v>
      </c>
      <c r="I1491" s="10">
        <v>45532</v>
      </c>
    </row>
    <row r="1492" spans="1:9" x14ac:dyDescent="0.15">
      <c r="A1492" s="9">
        <v>1491</v>
      </c>
      <c r="B1492" s="9" t="s">
        <v>9</v>
      </c>
      <c r="C1492" s="9">
        <v>1912</v>
      </c>
      <c r="D1492" s="10">
        <v>45616</v>
      </c>
      <c r="E1492" s="13" t="str">
        <f>+HYPERLINK("http://trademark.i-assist.jp/data/china/image_1912th/80616194.pdf","80616194")</f>
        <v>80616194</v>
      </c>
      <c r="F1492" s="9" t="s">
        <v>4124</v>
      </c>
      <c r="G1492" s="12" t="s">
        <v>4125</v>
      </c>
      <c r="H1492" s="9" t="s">
        <v>4126</v>
      </c>
      <c r="I1492" s="10">
        <v>45532</v>
      </c>
    </row>
    <row r="1493" spans="1:9" x14ac:dyDescent="0.15">
      <c r="A1493" s="9">
        <v>1492</v>
      </c>
      <c r="B1493" s="9" t="s">
        <v>9</v>
      </c>
      <c r="C1493" s="9">
        <v>1912</v>
      </c>
      <c r="D1493" s="10">
        <v>45616</v>
      </c>
      <c r="E1493" s="13" t="str">
        <f>+HYPERLINK("http://trademark.i-assist.jp/data/china/image_1912th/80616509.pdf","80616509")</f>
        <v>80616509</v>
      </c>
      <c r="F1493" s="12" t="s">
        <v>4127</v>
      </c>
      <c r="G1493" s="9" t="s">
        <v>4128</v>
      </c>
      <c r="H1493" s="9" t="s">
        <v>4129</v>
      </c>
      <c r="I1493" s="10">
        <v>45532</v>
      </c>
    </row>
    <row r="1494" spans="1:9" x14ac:dyDescent="0.15">
      <c r="A1494" s="9">
        <v>1493</v>
      </c>
      <c r="B1494" s="9" t="s">
        <v>9</v>
      </c>
      <c r="C1494" s="9">
        <v>1912</v>
      </c>
      <c r="D1494" s="10">
        <v>45616</v>
      </c>
      <c r="E1494" s="13" t="str">
        <f>+HYPERLINK("http://trademark.i-assist.jp/data/china/image_1912th/80616714.pdf","80616714")</f>
        <v>80616714</v>
      </c>
      <c r="F1494" s="12" t="s">
        <v>4130</v>
      </c>
      <c r="G1494" s="9" t="s">
        <v>4131</v>
      </c>
      <c r="H1494" s="9" t="s">
        <v>4132</v>
      </c>
      <c r="I1494" s="10">
        <v>45532</v>
      </c>
    </row>
    <row r="1495" spans="1:9" x14ac:dyDescent="0.15">
      <c r="A1495" s="9">
        <v>1494</v>
      </c>
      <c r="B1495" s="9" t="s">
        <v>9</v>
      </c>
      <c r="C1495" s="9">
        <v>1912</v>
      </c>
      <c r="D1495" s="10">
        <v>45616</v>
      </c>
      <c r="E1495" s="13" t="str">
        <f>+HYPERLINK("http://trademark.i-assist.jp/data/china/image_1912th/80616741.pdf","80616741")</f>
        <v>80616741</v>
      </c>
      <c r="F1495" s="9" t="s">
        <v>4133</v>
      </c>
      <c r="G1495" s="9" t="s">
        <v>4134</v>
      </c>
      <c r="H1495" s="9" t="s">
        <v>4135</v>
      </c>
      <c r="I1495" s="10">
        <v>45532</v>
      </c>
    </row>
    <row r="1496" spans="1:9" x14ac:dyDescent="0.15">
      <c r="A1496" s="9">
        <v>1495</v>
      </c>
      <c r="B1496" s="9" t="s">
        <v>9</v>
      </c>
      <c r="C1496" s="9">
        <v>1912</v>
      </c>
      <c r="D1496" s="10">
        <v>45616</v>
      </c>
      <c r="E1496" s="13" t="str">
        <f>+HYPERLINK("http://trademark.i-assist.jp/data/china/image_1912th/80616844.pdf","80616844")</f>
        <v>80616844</v>
      </c>
      <c r="F1496" s="9" t="s">
        <v>4136</v>
      </c>
      <c r="G1496" s="12" t="s">
        <v>3957</v>
      </c>
      <c r="H1496" s="12" t="s">
        <v>4137</v>
      </c>
      <c r="I1496" s="10">
        <v>45532</v>
      </c>
    </row>
    <row r="1497" spans="1:9" x14ac:dyDescent="0.15">
      <c r="A1497" s="9">
        <v>1496</v>
      </c>
      <c r="B1497" s="9" t="s">
        <v>9</v>
      </c>
      <c r="C1497" s="9">
        <v>1912</v>
      </c>
      <c r="D1497" s="10">
        <v>45616</v>
      </c>
      <c r="E1497" s="13" t="str">
        <f>+HYPERLINK("http://trademark.i-assist.jp/data/china/image_1912th/80616938.pdf","80616938")</f>
        <v>80616938</v>
      </c>
      <c r="F1497" s="12" t="s">
        <v>15</v>
      </c>
      <c r="G1497" s="9" t="s">
        <v>4138</v>
      </c>
      <c r="H1497" s="9" t="s">
        <v>4139</v>
      </c>
      <c r="I1497" s="10">
        <v>45532</v>
      </c>
    </row>
    <row r="1498" spans="1:9" x14ac:dyDescent="0.15">
      <c r="A1498" s="9">
        <v>1497</v>
      </c>
      <c r="B1498" s="9" t="s">
        <v>9</v>
      </c>
      <c r="C1498" s="9">
        <v>1912</v>
      </c>
      <c r="D1498" s="10">
        <v>45616</v>
      </c>
      <c r="E1498" s="13" t="str">
        <f>+HYPERLINK("http://trademark.i-assist.jp/data/china/image_1912th/80617086.pdf","80617086")</f>
        <v>80617086</v>
      </c>
      <c r="F1498" s="9" t="s">
        <v>4140</v>
      </c>
      <c r="G1498" s="9" t="s">
        <v>4141</v>
      </c>
      <c r="H1498" s="9" t="s">
        <v>4142</v>
      </c>
      <c r="I1498" s="10">
        <v>45532</v>
      </c>
    </row>
    <row r="1499" spans="1:9" x14ac:dyDescent="0.15">
      <c r="A1499" s="9">
        <v>1498</v>
      </c>
      <c r="B1499" s="9" t="s">
        <v>9</v>
      </c>
      <c r="C1499" s="9">
        <v>1912</v>
      </c>
      <c r="D1499" s="10">
        <v>45616</v>
      </c>
      <c r="E1499" s="13" t="str">
        <f>+HYPERLINK("http://trademark.i-assist.jp/data/china/image_1912th/80617464.pdf","80617464")</f>
        <v>80617464</v>
      </c>
      <c r="F1499" s="9" t="s">
        <v>4143</v>
      </c>
      <c r="G1499" s="9" t="s">
        <v>4010</v>
      </c>
      <c r="H1499" s="9" t="s">
        <v>13</v>
      </c>
      <c r="I1499" s="10">
        <v>45532</v>
      </c>
    </row>
    <row r="1500" spans="1:9" x14ac:dyDescent="0.15">
      <c r="A1500" s="9">
        <v>1499</v>
      </c>
      <c r="B1500" s="9" t="s">
        <v>9</v>
      </c>
      <c r="C1500" s="9">
        <v>1912</v>
      </c>
      <c r="D1500" s="10">
        <v>45616</v>
      </c>
      <c r="E1500" s="13" t="str">
        <f>+HYPERLINK("http://trademark.i-assist.jp/data/china/image_1912th/80617815.pdf","80617815")</f>
        <v>80617815</v>
      </c>
      <c r="F1500" s="9" t="s">
        <v>4144</v>
      </c>
      <c r="G1500" s="9" t="s">
        <v>4145</v>
      </c>
      <c r="H1500" s="9" t="s">
        <v>4146</v>
      </c>
      <c r="I1500" s="10">
        <v>45532</v>
      </c>
    </row>
    <row r="1501" spans="1:9" x14ac:dyDescent="0.15">
      <c r="A1501" s="9">
        <v>1500</v>
      </c>
      <c r="B1501" s="9" t="s">
        <v>9</v>
      </c>
      <c r="C1501" s="9">
        <v>1912</v>
      </c>
      <c r="D1501" s="10">
        <v>45616</v>
      </c>
      <c r="E1501" s="13" t="str">
        <f>+HYPERLINK("http://trademark.i-assist.jp/data/china/image_1912th/80618175.pdf","80618175")</f>
        <v>80618175</v>
      </c>
      <c r="F1501" s="9" t="s">
        <v>4147</v>
      </c>
      <c r="G1501" s="9" t="s">
        <v>4148</v>
      </c>
      <c r="H1501" s="9" t="s">
        <v>4149</v>
      </c>
      <c r="I1501" s="10">
        <v>45532</v>
      </c>
    </row>
    <row r="1502" spans="1:9" x14ac:dyDescent="0.15">
      <c r="A1502" s="9">
        <v>1501</v>
      </c>
      <c r="B1502" s="9" t="s">
        <v>9</v>
      </c>
      <c r="C1502" s="9">
        <v>1912</v>
      </c>
      <c r="D1502" s="10">
        <v>45616</v>
      </c>
      <c r="E1502" s="13" t="str">
        <f>+HYPERLINK("http://trademark.i-assist.jp/data/china/image_1912th/80618185.pdf","80618185")</f>
        <v>80618185</v>
      </c>
      <c r="F1502" s="12" t="s">
        <v>4150</v>
      </c>
      <c r="G1502" s="9" t="s">
        <v>4131</v>
      </c>
      <c r="H1502" s="9" t="s">
        <v>4151</v>
      </c>
      <c r="I1502" s="10">
        <v>45532</v>
      </c>
    </row>
    <row r="1503" spans="1:9" x14ac:dyDescent="0.15">
      <c r="A1503" s="9">
        <v>1502</v>
      </c>
      <c r="B1503" s="9" t="s">
        <v>9</v>
      </c>
      <c r="C1503" s="9">
        <v>1912</v>
      </c>
      <c r="D1503" s="10">
        <v>45616</v>
      </c>
      <c r="E1503" s="13" t="str">
        <f>+HYPERLINK("http://trademark.i-assist.jp/data/china/image_1912th/80618281.pdf","80618281")</f>
        <v>80618281</v>
      </c>
      <c r="F1503" s="9" t="s">
        <v>4152</v>
      </c>
      <c r="G1503" s="9" t="s">
        <v>4153</v>
      </c>
      <c r="H1503" s="9" t="s">
        <v>4154</v>
      </c>
      <c r="I1503" s="10">
        <v>45532</v>
      </c>
    </row>
    <row r="1504" spans="1:9" x14ac:dyDescent="0.15">
      <c r="A1504" s="9">
        <v>1503</v>
      </c>
      <c r="B1504" s="9" t="s">
        <v>9</v>
      </c>
      <c r="C1504" s="9">
        <v>1912</v>
      </c>
      <c r="D1504" s="10">
        <v>45616</v>
      </c>
      <c r="E1504" s="13" t="str">
        <f>+HYPERLINK("http://trademark.i-assist.jp/data/china/image_1912th/80618348.pdf","80618348")</f>
        <v>80618348</v>
      </c>
      <c r="F1504" s="9" t="s">
        <v>4155</v>
      </c>
      <c r="G1504" s="9" t="s">
        <v>4156</v>
      </c>
      <c r="H1504" s="9" t="s">
        <v>4157</v>
      </c>
      <c r="I1504" s="10">
        <v>45532</v>
      </c>
    </row>
    <row r="1505" spans="1:9" x14ac:dyDescent="0.15">
      <c r="A1505" s="9">
        <v>1504</v>
      </c>
      <c r="B1505" s="9" t="s">
        <v>9</v>
      </c>
      <c r="C1505" s="9">
        <v>1912</v>
      </c>
      <c r="D1505" s="10">
        <v>45616</v>
      </c>
      <c r="E1505" s="13" t="str">
        <f>+HYPERLINK("http://trademark.i-assist.jp/data/china/image_1912th/80618431.pdf","80618431")</f>
        <v>80618431</v>
      </c>
      <c r="F1505" s="9" t="s">
        <v>4158</v>
      </c>
      <c r="G1505" s="9" t="s">
        <v>4159</v>
      </c>
      <c r="H1505" s="9" t="s">
        <v>4160</v>
      </c>
      <c r="I1505" s="10">
        <v>45532</v>
      </c>
    </row>
    <row r="1506" spans="1:9" x14ac:dyDescent="0.15">
      <c r="A1506" s="9">
        <v>1505</v>
      </c>
      <c r="B1506" s="9" t="s">
        <v>9</v>
      </c>
      <c r="C1506" s="9">
        <v>1912</v>
      </c>
      <c r="D1506" s="10">
        <v>45616</v>
      </c>
      <c r="E1506" s="13" t="str">
        <f>+HYPERLINK("http://trademark.i-assist.jp/data/china/image_1912th/80618464.pdf","80618464")</f>
        <v>80618464</v>
      </c>
      <c r="F1506" s="9" t="s">
        <v>4161</v>
      </c>
      <c r="G1506" s="9" t="s">
        <v>4162</v>
      </c>
      <c r="H1506" s="9" t="s">
        <v>4163</v>
      </c>
      <c r="I1506" s="10">
        <v>45532</v>
      </c>
    </row>
    <row r="1507" spans="1:9" x14ac:dyDescent="0.15">
      <c r="A1507" s="9">
        <v>1506</v>
      </c>
      <c r="B1507" s="9" t="s">
        <v>9</v>
      </c>
      <c r="C1507" s="9">
        <v>1912</v>
      </c>
      <c r="D1507" s="10">
        <v>45616</v>
      </c>
      <c r="E1507" s="13" t="str">
        <f>+HYPERLINK("http://trademark.i-assist.jp/data/china/image_1912th/80618573.pdf","80618573")</f>
        <v>80618573</v>
      </c>
      <c r="F1507" s="12" t="s">
        <v>4164</v>
      </c>
      <c r="G1507" s="12" t="s">
        <v>4165</v>
      </c>
      <c r="H1507" s="9" t="s">
        <v>4166</v>
      </c>
      <c r="I1507" s="10">
        <v>45532</v>
      </c>
    </row>
    <row r="1508" spans="1:9" x14ac:dyDescent="0.15">
      <c r="A1508" s="9">
        <v>1507</v>
      </c>
      <c r="B1508" s="9" t="s">
        <v>9</v>
      </c>
      <c r="C1508" s="9">
        <v>1912</v>
      </c>
      <c r="D1508" s="10">
        <v>45616</v>
      </c>
      <c r="E1508" s="13" t="str">
        <f>+HYPERLINK("http://trademark.i-assist.jp/data/china/image_1912th/80618589.pdf","80618589")</f>
        <v>80618589</v>
      </c>
      <c r="F1508" s="9" t="s">
        <v>4167</v>
      </c>
      <c r="G1508" s="9" t="s">
        <v>4168</v>
      </c>
      <c r="H1508" s="9" t="s">
        <v>4169</v>
      </c>
      <c r="I1508" s="10">
        <v>45532</v>
      </c>
    </row>
    <row r="1509" spans="1:9" x14ac:dyDescent="0.15">
      <c r="A1509" s="9">
        <v>1508</v>
      </c>
      <c r="B1509" s="9" t="s">
        <v>9</v>
      </c>
      <c r="C1509" s="9">
        <v>1912</v>
      </c>
      <c r="D1509" s="10">
        <v>45616</v>
      </c>
      <c r="E1509" s="13" t="str">
        <f>+HYPERLINK("http://trademark.i-assist.jp/data/china/image_1912th/80618766.pdf","80618766")</f>
        <v>80618766</v>
      </c>
      <c r="F1509" s="9" t="s">
        <v>4170</v>
      </c>
      <c r="G1509" s="12" t="s">
        <v>3901</v>
      </c>
      <c r="H1509" s="9" t="s">
        <v>4171</v>
      </c>
      <c r="I1509" s="10">
        <v>45532</v>
      </c>
    </row>
    <row r="1510" spans="1:9" x14ac:dyDescent="0.15">
      <c r="A1510" s="9">
        <v>1509</v>
      </c>
      <c r="B1510" s="9" t="s">
        <v>9</v>
      </c>
      <c r="C1510" s="9">
        <v>1912</v>
      </c>
      <c r="D1510" s="10">
        <v>45616</v>
      </c>
      <c r="E1510" s="13" t="str">
        <f>+HYPERLINK("http://trademark.i-assist.jp/data/china/image_1912th/80618846.pdf","80618846")</f>
        <v>80618846</v>
      </c>
      <c r="F1510" s="9" t="s">
        <v>4172</v>
      </c>
      <c r="G1510" s="12" t="s">
        <v>4173</v>
      </c>
      <c r="H1510" s="9" t="s">
        <v>4174</v>
      </c>
      <c r="I1510" s="10">
        <v>45532</v>
      </c>
    </row>
    <row r="1511" spans="1:9" x14ac:dyDescent="0.15">
      <c r="A1511" s="9">
        <v>1510</v>
      </c>
      <c r="B1511" s="9" t="s">
        <v>9</v>
      </c>
      <c r="C1511" s="9">
        <v>1912</v>
      </c>
      <c r="D1511" s="10">
        <v>45616</v>
      </c>
      <c r="E1511" s="13" t="str">
        <f>+HYPERLINK("http://trademark.i-assist.jp/data/china/image_1912th/80618950.pdf","80618950")</f>
        <v>80618950</v>
      </c>
      <c r="F1511" s="9" t="s">
        <v>4175</v>
      </c>
      <c r="G1511" s="9" t="s">
        <v>4176</v>
      </c>
      <c r="H1511" s="9" t="s">
        <v>4177</v>
      </c>
      <c r="I1511" s="10">
        <v>45532</v>
      </c>
    </row>
    <row r="1512" spans="1:9" x14ac:dyDescent="0.15">
      <c r="A1512" s="9">
        <v>1511</v>
      </c>
      <c r="B1512" s="9" t="s">
        <v>9</v>
      </c>
      <c r="C1512" s="9">
        <v>1912</v>
      </c>
      <c r="D1512" s="10">
        <v>45616</v>
      </c>
      <c r="E1512" s="13" t="str">
        <f>+HYPERLINK("http://trademark.i-assist.jp/data/china/image_1912th/80618967.pdf","80618967")</f>
        <v>80618967</v>
      </c>
      <c r="F1512" s="9" t="s">
        <v>4178</v>
      </c>
      <c r="G1512" s="9" t="s">
        <v>4179</v>
      </c>
      <c r="H1512" s="9" t="s">
        <v>4180</v>
      </c>
      <c r="I1512" s="10">
        <v>45532</v>
      </c>
    </row>
    <row r="1513" spans="1:9" x14ac:dyDescent="0.15">
      <c r="A1513" s="9">
        <v>1512</v>
      </c>
      <c r="B1513" s="9" t="s">
        <v>9</v>
      </c>
      <c r="C1513" s="9">
        <v>1912</v>
      </c>
      <c r="D1513" s="10">
        <v>45616</v>
      </c>
      <c r="E1513" s="13" t="str">
        <f>+HYPERLINK("http://trademark.i-assist.jp/data/china/image_1912th/80619094.pdf","80619094")</f>
        <v>80619094</v>
      </c>
      <c r="F1513" s="12" t="s">
        <v>4181</v>
      </c>
      <c r="G1513" s="12" t="s">
        <v>4182</v>
      </c>
      <c r="H1513" s="9" t="s">
        <v>4183</v>
      </c>
      <c r="I1513" s="10">
        <v>45532</v>
      </c>
    </row>
    <row r="1514" spans="1:9" x14ac:dyDescent="0.15">
      <c r="A1514" s="9">
        <v>1513</v>
      </c>
      <c r="B1514" s="9" t="s">
        <v>9</v>
      </c>
      <c r="C1514" s="9">
        <v>1912</v>
      </c>
      <c r="D1514" s="10">
        <v>45616</v>
      </c>
      <c r="E1514" s="13" t="str">
        <f>+HYPERLINK("http://trademark.i-assist.jp/data/china/image_1912th/80619517.pdf","80619517")</f>
        <v>80619517</v>
      </c>
      <c r="F1514" s="9" t="s">
        <v>4184</v>
      </c>
      <c r="G1514" s="9" t="s">
        <v>4000</v>
      </c>
      <c r="H1514" s="9" t="s">
        <v>4185</v>
      </c>
      <c r="I1514" s="10">
        <v>45532</v>
      </c>
    </row>
    <row r="1515" spans="1:9" x14ac:dyDescent="0.15">
      <c r="A1515" s="9">
        <v>1514</v>
      </c>
      <c r="B1515" s="9" t="s">
        <v>9</v>
      </c>
      <c r="C1515" s="9">
        <v>1912</v>
      </c>
      <c r="D1515" s="10">
        <v>45616</v>
      </c>
      <c r="E1515" s="13" t="str">
        <f>+HYPERLINK("http://trademark.i-assist.jp/data/china/image_1912th/80620023.pdf","80620023")</f>
        <v>80620023</v>
      </c>
      <c r="F1515" s="9" t="s">
        <v>4186</v>
      </c>
      <c r="G1515" s="12" t="s">
        <v>4165</v>
      </c>
      <c r="H1515" s="9" t="s">
        <v>4187</v>
      </c>
      <c r="I1515" s="10">
        <v>45532</v>
      </c>
    </row>
    <row r="1516" spans="1:9" x14ac:dyDescent="0.15">
      <c r="A1516" s="9">
        <v>1515</v>
      </c>
      <c r="B1516" s="9" t="s">
        <v>9</v>
      </c>
      <c r="C1516" s="9">
        <v>1912</v>
      </c>
      <c r="D1516" s="10">
        <v>45616</v>
      </c>
      <c r="E1516" s="13" t="str">
        <f>+HYPERLINK("http://trademark.i-assist.jp/data/china/image_1912th/80620042.pdf","80620042")</f>
        <v>80620042</v>
      </c>
      <c r="F1516" s="9" t="s">
        <v>4188</v>
      </c>
      <c r="G1516" s="12" t="s">
        <v>4165</v>
      </c>
      <c r="H1516" s="9" t="s">
        <v>4189</v>
      </c>
      <c r="I1516" s="10">
        <v>45532</v>
      </c>
    </row>
    <row r="1517" spans="1:9" x14ac:dyDescent="0.15">
      <c r="A1517" s="9">
        <v>1516</v>
      </c>
      <c r="B1517" s="9" t="s">
        <v>9</v>
      </c>
      <c r="C1517" s="9">
        <v>1912</v>
      </c>
      <c r="D1517" s="10">
        <v>45616</v>
      </c>
      <c r="E1517" s="13" t="str">
        <f>+HYPERLINK("http://trademark.i-assist.jp/data/china/image_1912th/80620091.pdf","80620091")</f>
        <v>80620091</v>
      </c>
      <c r="F1517" s="9" t="s">
        <v>4190</v>
      </c>
      <c r="G1517" s="9" t="s">
        <v>4191</v>
      </c>
      <c r="H1517" s="9" t="s">
        <v>4192</v>
      </c>
      <c r="I1517" s="10">
        <v>45532</v>
      </c>
    </row>
    <row r="1518" spans="1:9" x14ac:dyDescent="0.15">
      <c r="A1518" s="9">
        <v>1517</v>
      </c>
      <c r="B1518" s="9" t="s">
        <v>9</v>
      </c>
      <c r="C1518" s="9">
        <v>1912</v>
      </c>
      <c r="D1518" s="10">
        <v>45616</v>
      </c>
      <c r="E1518" s="13" t="str">
        <f>+HYPERLINK("http://trademark.i-assist.jp/data/china/image_1912th/80620162.pdf","80620162")</f>
        <v>80620162</v>
      </c>
      <c r="F1518" s="9" t="s">
        <v>4193</v>
      </c>
      <c r="G1518" s="9" t="s">
        <v>3883</v>
      </c>
      <c r="H1518" s="9" t="s">
        <v>4194</v>
      </c>
      <c r="I1518" s="10">
        <v>45532</v>
      </c>
    </row>
    <row r="1519" spans="1:9" x14ac:dyDescent="0.15">
      <c r="A1519" s="9">
        <v>1518</v>
      </c>
      <c r="B1519" s="9" t="s">
        <v>9</v>
      </c>
      <c r="C1519" s="9">
        <v>1912</v>
      </c>
      <c r="D1519" s="10">
        <v>45616</v>
      </c>
      <c r="E1519" s="13" t="str">
        <f>+HYPERLINK("http://trademark.i-assist.jp/data/china/image_1912th/80620279.pdf","80620279")</f>
        <v>80620279</v>
      </c>
      <c r="F1519" s="9" t="s">
        <v>4195</v>
      </c>
      <c r="G1519" s="9" t="s">
        <v>4196</v>
      </c>
      <c r="H1519" s="9" t="s">
        <v>4197</v>
      </c>
      <c r="I1519" s="10">
        <v>45532</v>
      </c>
    </row>
    <row r="1520" spans="1:9" x14ac:dyDescent="0.15">
      <c r="A1520" s="9">
        <v>1519</v>
      </c>
      <c r="B1520" s="9" t="s">
        <v>9</v>
      </c>
      <c r="C1520" s="9">
        <v>1912</v>
      </c>
      <c r="D1520" s="10">
        <v>45616</v>
      </c>
      <c r="E1520" s="13" t="str">
        <f>+HYPERLINK("http://trademark.i-assist.jp/data/china/image_1912th/80620301.pdf","80620301")</f>
        <v>80620301</v>
      </c>
      <c r="F1520" s="12" t="s">
        <v>15</v>
      </c>
      <c r="G1520" s="12" t="s">
        <v>4198</v>
      </c>
      <c r="H1520" s="9" t="s">
        <v>4199</v>
      </c>
      <c r="I1520" s="10">
        <v>45532</v>
      </c>
    </row>
    <row r="1521" spans="1:9" x14ac:dyDescent="0.15">
      <c r="A1521" s="9">
        <v>1520</v>
      </c>
      <c r="B1521" s="9" t="s">
        <v>9</v>
      </c>
      <c r="C1521" s="9">
        <v>1912</v>
      </c>
      <c r="D1521" s="10">
        <v>45616</v>
      </c>
      <c r="E1521" s="13" t="str">
        <f>+HYPERLINK("http://trademark.i-assist.jp/data/china/image_1912th/80620530.pdf","80620530")</f>
        <v>80620530</v>
      </c>
      <c r="F1521" s="9" t="s">
        <v>4200</v>
      </c>
      <c r="G1521" s="12" t="s">
        <v>4068</v>
      </c>
      <c r="H1521" s="9" t="s">
        <v>4201</v>
      </c>
      <c r="I1521" s="10">
        <v>45532</v>
      </c>
    </row>
    <row r="1522" spans="1:9" x14ac:dyDescent="0.15">
      <c r="A1522" s="9">
        <v>1521</v>
      </c>
      <c r="B1522" s="9" t="s">
        <v>9</v>
      </c>
      <c r="C1522" s="9">
        <v>1912</v>
      </c>
      <c r="D1522" s="10">
        <v>45616</v>
      </c>
      <c r="E1522" s="13" t="str">
        <f>+HYPERLINK("http://trademark.i-assist.jp/data/china/image_1912th/80620620.pdf","80620620")</f>
        <v>80620620</v>
      </c>
      <c r="F1522" s="9" t="s">
        <v>4202</v>
      </c>
      <c r="G1522" s="9" t="s">
        <v>3931</v>
      </c>
      <c r="H1522" s="12" t="s">
        <v>4203</v>
      </c>
      <c r="I1522" s="10">
        <v>45532</v>
      </c>
    </row>
    <row r="1523" spans="1:9" x14ac:dyDescent="0.15">
      <c r="A1523" s="9">
        <v>1522</v>
      </c>
      <c r="B1523" s="9" t="s">
        <v>9</v>
      </c>
      <c r="C1523" s="9">
        <v>1912</v>
      </c>
      <c r="D1523" s="10">
        <v>45616</v>
      </c>
      <c r="E1523" s="13" t="str">
        <f>+HYPERLINK("http://trademark.i-assist.jp/data/china/image_1912th/80620664.pdf","80620664")</f>
        <v>80620664</v>
      </c>
      <c r="F1523" s="11" t="s">
        <v>4204</v>
      </c>
      <c r="G1523" s="9" t="s">
        <v>3872</v>
      </c>
      <c r="H1523" s="9" t="s">
        <v>4205</v>
      </c>
      <c r="I1523" s="10">
        <v>45532</v>
      </c>
    </row>
    <row r="1524" spans="1:9" x14ac:dyDescent="0.15">
      <c r="A1524" s="9">
        <v>1523</v>
      </c>
      <c r="B1524" s="9" t="s">
        <v>9</v>
      </c>
      <c r="C1524" s="9">
        <v>1912</v>
      </c>
      <c r="D1524" s="10">
        <v>45616</v>
      </c>
      <c r="E1524" s="13" t="str">
        <f>+HYPERLINK("http://trademark.i-assist.jp/data/china/image_1912th/80620756.pdf","80620756")</f>
        <v>80620756</v>
      </c>
      <c r="F1524" s="9" t="s">
        <v>4206</v>
      </c>
      <c r="G1524" s="9" t="s">
        <v>4207</v>
      </c>
      <c r="H1524" s="9" t="s">
        <v>4208</v>
      </c>
      <c r="I1524" s="10">
        <v>45532</v>
      </c>
    </row>
    <row r="1525" spans="1:9" x14ac:dyDescent="0.15">
      <c r="A1525" s="9">
        <v>1524</v>
      </c>
      <c r="B1525" s="9" t="s">
        <v>9</v>
      </c>
      <c r="C1525" s="9">
        <v>1912</v>
      </c>
      <c r="D1525" s="10">
        <v>45616</v>
      </c>
      <c r="E1525" s="13" t="str">
        <f>+HYPERLINK("http://trademark.i-assist.jp/data/china/image_1912th/80620773.pdf","80620773")</f>
        <v>80620773</v>
      </c>
      <c r="F1525" s="9" t="s">
        <v>4209</v>
      </c>
      <c r="G1525" s="9" t="s">
        <v>4210</v>
      </c>
      <c r="H1525" s="9" t="s">
        <v>4211</v>
      </c>
      <c r="I1525" s="10">
        <v>45532</v>
      </c>
    </row>
    <row r="1526" spans="1:9" x14ac:dyDescent="0.15">
      <c r="A1526" s="9">
        <v>1525</v>
      </c>
      <c r="B1526" s="9" t="s">
        <v>9</v>
      </c>
      <c r="C1526" s="9">
        <v>1912</v>
      </c>
      <c r="D1526" s="10">
        <v>45616</v>
      </c>
      <c r="E1526" s="13" t="str">
        <f>+HYPERLINK("http://trademark.i-assist.jp/data/china/image_1912th/80620824.pdf","80620824")</f>
        <v>80620824</v>
      </c>
      <c r="F1526" s="9" t="s">
        <v>4212</v>
      </c>
      <c r="G1526" s="9" t="s">
        <v>4000</v>
      </c>
      <c r="H1526" s="9" t="s">
        <v>4213</v>
      </c>
      <c r="I1526" s="10">
        <v>45532</v>
      </c>
    </row>
    <row r="1527" spans="1:9" x14ac:dyDescent="0.15">
      <c r="A1527" s="9">
        <v>1526</v>
      </c>
      <c r="B1527" s="9" t="s">
        <v>9</v>
      </c>
      <c r="C1527" s="9">
        <v>1912</v>
      </c>
      <c r="D1527" s="10">
        <v>45616</v>
      </c>
      <c r="E1527" s="13" t="str">
        <f>+HYPERLINK("http://trademark.i-assist.jp/data/china/image_1912th/80620867.pdf","80620867")</f>
        <v>80620867</v>
      </c>
      <c r="F1527" s="9" t="s">
        <v>4214</v>
      </c>
      <c r="G1527" s="9" t="s">
        <v>4215</v>
      </c>
      <c r="H1527" s="9" t="s">
        <v>4216</v>
      </c>
      <c r="I1527" s="10">
        <v>45532</v>
      </c>
    </row>
    <row r="1528" spans="1:9" x14ac:dyDescent="0.15">
      <c r="A1528" s="9">
        <v>1527</v>
      </c>
      <c r="B1528" s="9" t="s">
        <v>9</v>
      </c>
      <c r="C1528" s="9">
        <v>1912</v>
      </c>
      <c r="D1528" s="10">
        <v>45616</v>
      </c>
      <c r="E1528" s="13" t="str">
        <f>+HYPERLINK("http://trademark.i-assist.jp/data/china/image_1912th/80621974.pdf","80621974")</f>
        <v>80621974</v>
      </c>
      <c r="F1528" s="9" t="s">
        <v>4217</v>
      </c>
      <c r="G1528" s="9" t="s">
        <v>4062</v>
      </c>
      <c r="H1528" s="9" t="s">
        <v>4218</v>
      </c>
      <c r="I1528" s="10">
        <v>45532</v>
      </c>
    </row>
    <row r="1529" spans="1:9" x14ac:dyDescent="0.15">
      <c r="A1529" s="9">
        <v>1528</v>
      </c>
      <c r="B1529" s="9" t="s">
        <v>9</v>
      </c>
      <c r="C1529" s="9">
        <v>1912</v>
      </c>
      <c r="D1529" s="10">
        <v>45616</v>
      </c>
      <c r="E1529" s="13" t="str">
        <f>+HYPERLINK("http://trademark.i-assist.jp/data/china/image_1912th/80622134.pdf","80622134")</f>
        <v>80622134</v>
      </c>
      <c r="F1529" s="11" t="s">
        <v>4219</v>
      </c>
      <c r="G1529" s="9" t="s">
        <v>4220</v>
      </c>
      <c r="H1529" s="9" t="s">
        <v>4221</v>
      </c>
      <c r="I1529" s="10">
        <v>45532</v>
      </c>
    </row>
    <row r="1530" spans="1:9" x14ac:dyDescent="0.15">
      <c r="A1530" s="9">
        <v>1529</v>
      </c>
      <c r="B1530" s="9" t="s">
        <v>9</v>
      </c>
      <c r="C1530" s="9">
        <v>1912</v>
      </c>
      <c r="D1530" s="10">
        <v>45616</v>
      </c>
      <c r="E1530" s="13" t="str">
        <f>+HYPERLINK("http://trademark.i-assist.jp/data/china/image_1912th/80622462.pdf","80622462")</f>
        <v>80622462</v>
      </c>
      <c r="F1530" s="9" t="s">
        <v>4222</v>
      </c>
      <c r="G1530" s="9" t="s">
        <v>3916</v>
      </c>
      <c r="H1530" s="9" t="s">
        <v>4223</v>
      </c>
      <c r="I1530" s="10">
        <v>45532</v>
      </c>
    </row>
    <row r="1531" spans="1:9" x14ac:dyDescent="0.15">
      <c r="A1531" s="9">
        <v>1530</v>
      </c>
      <c r="B1531" s="9" t="s">
        <v>9</v>
      </c>
      <c r="C1531" s="9">
        <v>1912</v>
      </c>
      <c r="D1531" s="10">
        <v>45616</v>
      </c>
      <c r="E1531" s="13" t="str">
        <f>+HYPERLINK("http://trademark.i-assist.jp/data/china/image_1912th/80622493.pdf","80622493")</f>
        <v>80622493</v>
      </c>
      <c r="F1531" s="12" t="s">
        <v>4224</v>
      </c>
      <c r="G1531" s="9" t="s">
        <v>4225</v>
      </c>
      <c r="H1531" s="9" t="s">
        <v>4226</v>
      </c>
      <c r="I1531" s="10">
        <v>45532</v>
      </c>
    </row>
    <row r="1532" spans="1:9" x14ac:dyDescent="0.15">
      <c r="A1532" s="9">
        <v>1531</v>
      </c>
      <c r="B1532" s="9" t="s">
        <v>9</v>
      </c>
      <c r="C1532" s="9">
        <v>1912</v>
      </c>
      <c r="D1532" s="10">
        <v>45616</v>
      </c>
      <c r="E1532" s="13" t="str">
        <f>+HYPERLINK("http://trademark.i-assist.jp/data/china/image_1912th/80622550.pdf","80622550")</f>
        <v>80622550</v>
      </c>
      <c r="F1532" s="9" t="s">
        <v>4227</v>
      </c>
      <c r="G1532" s="9" t="s">
        <v>4228</v>
      </c>
      <c r="H1532" s="9" t="s">
        <v>4229</v>
      </c>
      <c r="I1532" s="10">
        <v>45532</v>
      </c>
    </row>
    <row r="1533" spans="1:9" x14ac:dyDescent="0.15">
      <c r="A1533" s="9">
        <v>1532</v>
      </c>
      <c r="B1533" s="9" t="s">
        <v>9</v>
      </c>
      <c r="C1533" s="9">
        <v>1912</v>
      </c>
      <c r="D1533" s="10">
        <v>45616</v>
      </c>
      <c r="E1533" s="13" t="str">
        <f>+HYPERLINK("http://trademark.i-assist.jp/data/china/image_1912th/80622584.pdf","80622584")</f>
        <v>80622584</v>
      </c>
      <c r="F1533" s="12" t="s">
        <v>15</v>
      </c>
      <c r="G1533" s="9" t="s">
        <v>4230</v>
      </c>
      <c r="H1533" s="9" t="s">
        <v>4231</v>
      </c>
      <c r="I1533" s="10">
        <v>45532</v>
      </c>
    </row>
    <row r="1534" spans="1:9" x14ac:dyDescent="0.15">
      <c r="A1534" s="9">
        <v>1533</v>
      </c>
      <c r="B1534" s="9" t="s">
        <v>9</v>
      </c>
      <c r="C1534" s="9">
        <v>1912</v>
      </c>
      <c r="D1534" s="10">
        <v>45616</v>
      </c>
      <c r="E1534" s="13" t="str">
        <f>+HYPERLINK("http://trademark.i-assist.jp/data/china/image_1912th/80622687.pdf","80622687")</f>
        <v>80622687</v>
      </c>
      <c r="F1534" s="12" t="s">
        <v>4232</v>
      </c>
      <c r="G1534" s="9" t="s">
        <v>4233</v>
      </c>
      <c r="H1534" s="9" t="s">
        <v>4234</v>
      </c>
      <c r="I1534" s="10">
        <v>45532</v>
      </c>
    </row>
    <row r="1535" spans="1:9" x14ac:dyDescent="0.15">
      <c r="A1535" s="9">
        <v>1534</v>
      </c>
      <c r="B1535" s="9" t="s">
        <v>9</v>
      </c>
      <c r="C1535" s="9">
        <v>1912</v>
      </c>
      <c r="D1535" s="10">
        <v>45616</v>
      </c>
      <c r="E1535" s="13" t="str">
        <f>+HYPERLINK("http://trademark.i-assist.jp/data/china/image_1912th/80622963.pdf","80622963")</f>
        <v>80622963</v>
      </c>
      <c r="F1535" s="12" t="s">
        <v>4235</v>
      </c>
      <c r="G1535" s="9" t="s">
        <v>4236</v>
      </c>
      <c r="H1535" s="9" t="s">
        <v>4237</v>
      </c>
      <c r="I1535" s="10">
        <v>45532</v>
      </c>
    </row>
    <row r="1536" spans="1:9" x14ac:dyDescent="0.15">
      <c r="A1536" s="9">
        <v>1535</v>
      </c>
      <c r="B1536" s="9" t="s">
        <v>9</v>
      </c>
      <c r="C1536" s="9">
        <v>1912</v>
      </c>
      <c r="D1536" s="10">
        <v>45616</v>
      </c>
      <c r="E1536" s="13" t="str">
        <f>+HYPERLINK("http://trademark.i-assist.jp/data/china/image_1912th/80623098.pdf","80623098")</f>
        <v>80623098</v>
      </c>
      <c r="F1536" s="9" t="s">
        <v>4238</v>
      </c>
      <c r="G1536" s="9" t="s">
        <v>4239</v>
      </c>
      <c r="H1536" s="12" t="s">
        <v>4240</v>
      </c>
      <c r="I1536" s="10">
        <v>45532</v>
      </c>
    </row>
    <row r="1537" spans="1:9" x14ac:dyDescent="0.15">
      <c r="A1537" s="9">
        <v>1536</v>
      </c>
      <c r="B1537" s="9" t="s">
        <v>9</v>
      </c>
      <c r="C1537" s="9">
        <v>1912</v>
      </c>
      <c r="D1537" s="10">
        <v>45616</v>
      </c>
      <c r="E1537" s="13" t="str">
        <f>+HYPERLINK("http://trademark.i-assist.jp/data/china/image_1912th/80623315.pdf","80623315")</f>
        <v>80623315</v>
      </c>
      <c r="F1537" s="9" t="s">
        <v>4241</v>
      </c>
      <c r="G1537" s="12" t="s">
        <v>4242</v>
      </c>
      <c r="H1537" s="9" t="s">
        <v>4243</v>
      </c>
      <c r="I1537" s="10">
        <v>45532</v>
      </c>
    </row>
    <row r="1538" spans="1:9" x14ac:dyDescent="0.15">
      <c r="A1538" s="9">
        <v>1537</v>
      </c>
      <c r="B1538" s="9" t="s">
        <v>9</v>
      </c>
      <c r="C1538" s="9">
        <v>1912</v>
      </c>
      <c r="D1538" s="10">
        <v>45616</v>
      </c>
      <c r="E1538" s="13" t="str">
        <f>+HYPERLINK("http://trademark.i-assist.jp/data/china/image_1912th/80623363.pdf","80623363")</f>
        <v>80623363</v>
      </c>
      <c r="F1538" s="12" t="s">
        <v>15</v>
      </c>
      <c r="G1538" s="9" t="s">
        <v>4244</v>
      </c>
      <c r="H1538" s="12" t="s">
        <v>4245</v>
      </c>
      <c r="I1538" s="10">
        <v>45532</v>
      </c>
    </row>
    <row r="1539" spans="1:9" x14ac:dyDescent="0.15">
      <c r="A1539" s="9">
        <v>1538</v>
      </c>
      <c r="B1539" s="9" t="s">
        <v>9</v>
      </c>
      <c r="C1539" s="9">
        <v>1912</v>
      </c>
      <c r="D1539" s="10">
        <v>45616</v>
      </c>
      <c r="E1539" s="13" t="str">
        <f>+HYPERLINK("http://trademark.i-assist.jp/data/china/image_1912th/80623692.pdf","80623692")</f>
        <v>80623692</v>
      </c>
      <c r="F1539" s="9" t="s">
        <v>4246</v>
      </c>
      <c r="G1539" s="9" t="s">
        <v>4247</v>
      </c>
      <c r="H1539" s="9" t="s">
        <v>4248</v>
      </c>
      <c r="I1539" s="10">
        <v>45532</v>
      </c>
    </row>
    <row r="1540" spans="1:9" x14ac:dyDescent="0.15">
      <c r="A1540" s="9">
        <v>1539</v>
      </c>
      <c r="B1540" s="9" t="s">
        <v>9</v>
      </c>
      <c r="C1540" s="9">
        <v>1912</v>
      </c>
      <c r="D1540" s="10">
        <v>45616</v>
      </c>
      <c r="E1540" s="13" t="str">
        <f>+HYPERLINK("http://trademark.i-assist.jp/data/china/image_1912th/80623711.pdf","80623711")</f>
        <v>80623711</v>
      </c>
      <c r="F1540" s="12" t="s">
        <v>4249</v>
      </c>
      <c r="G1540" s="9" t="s">
        <v>3936</v>
      </c>
      <c r="H1540" s="9" t="s">
        <v>4250</v>
      </c>
      <c r="I1540" s="10">
        <v>45532</v>
      </c>
    </row>
    <row r="1541" spans="1:9" x14ac:dyDescent="0.15">
      <c r="A1541" s="9">
        <v>1540</v>
      </c>
      <c r="B1541" s="9" t="s">
        <v>9</v>
      </c>
      <c r="C1541" s="9">
        <v>1912</v>
      </c>
      <c r="D1541" s="10">
        <v>45616</v>
      </c>
      <c r="E1541" s="13" t="str">
        <f>+HYPERLINK("http://trademark.i-assist.jp/data/china/image_1912th/80623956.pdf","80623956")</f>
        <v>80623956</v>
      </c>
      <c r="F1541" s="9" t="s">
        <v>4251</v>
      </c>
      <c r="G1541" s="12" t="s">
        <v>3901</v>
      </c>
      <c r="H1541" s="9" t="s">
        <v>4252</v>
      </c>
      <c r="I1541" s="10">
        <v>45532</v>
      </c>
    </row>
    <row r="1542" spans="1:9" x14ac:dyDescent="0.15">
      <c r="A1542" s="9">
        <v>1541</v>
      </c>
      <c r="B1542" s="9" t="s">
        <v>9</v>
      </c>
      <c r="C1542" s="9">
        <v>1912</v>
      </c>
      <c r="D1542" s="10">
        <v>45616</v>
      </c>
      <c r="E1542" s="13" t="str">
        <f>+HYPERLINK("http://trademark.i-assist.jp/data/china/image_1912th/80623965.pdf","80623965")</f>
        <v>80623965</v>
      </c>
      <c r="F1542" s="12" t="s">
        <v>4253</v>
      </c>
      <c r="G1542" s="12" t="s">
        <v>3901</v>
      </c>
      <c r="H1542" s="9" t="s">
        <v>4254</v>
      </c>
      <c r="I1542" s="10">
        <v>45532</v>
      </c>
    </row>
    <row r="1543" spans="1:9" x14ac:dyDescent="0.15">
      <c r="A1543" s="9">
        <v>1542</v>
      </c>
      <c r="B1543" s="9" t="s">
        <v>9</v>
      </c>
      <c r="C1543" s="9">
        <v>1912</v>
      </c>
      <c r="D1543" s="10">
        <v>45616</v>
      </c>
      <c r="E1543" s="13" t="str">
        <f>+HYPERLINK("http://trademark.i-assist.jp/data/china/image_1912th/80624062.pdf","80624062")</f>
        <v>80624062</v>
      </c>
      <c r="F1543" s="12" t="s">
        <v>4255</v>
      </c>
      <c r="G1543" s="9" t="s">
        <v>4256</v>
      </c>
      <c r="H1543" s="9" t="s">
        <v>4257</v>
      </c>
      <c r="I1543" s="10">
        <v>45532</v>
      </c>
    </row>
    <row r="1544" spans="1:9" x14ac:dyDescent="0.15">
      <c r="A1544" s="9">
        <v>1543</v>
      </c>
      <c r="B1544" s="9" t="s">
        <v>9</v>
      </c>
      <c r="C1544" s="9">
        <v>1912</v>
      </c>
      <c r="D1544" s="10">
        <v>45616</v>
      </c>
      <c r="E1544" s="13" t="str">
        <f>+HYPERLINK("http://trademark.i-assist.jp/data/china/image_1912th/80624319.pdf","80624319")</f>
        <v>80624319</v>
      </c>
      <c r="F1544" s="9" t="s">
        <v>4258</v>
      </c>
      <c r="G1544" s="12" t="s">
        <v>4259</v>
      </c>
      <c r="H1544" s="9" t="s">
        <v>4260</v>
      </c>
      <c r="I1544" s="10">
        <v>45532</v>
      </c>
    </row>
    <row r="1545" spans="1:9" x14ac:dyDescent="0.15">
      <c r="A1545" s="9">
        <v>1544</v>
      </c>
      <c r="B1545" s="9" t="s">
        <v>9</v>
      </c>
      <c r="C1545" s="9">
        <v>1912</v>
      </c>
      <c r="D1545" s="10">
        <v>45616</v>
      </c>
      <c r="E1545" s="13" t="str">
        <f>+HYPERLINK("http://trademark.i-assist.jp/data/china/image_1912th/80624437.pdf","80624437")</f>
        <v>80624437</v>
      </c>
      <c r="F1545" s="12" t="s">
        <v>4261</v>
      </c>
      <c r="G1545" s="9" t="s">
        <v>4262</v>
      </c>
      <c r="H1545" s="12" t="s">
        <v>4263</v>
      </c>
      <c r="I1545" s="10">
        <v>45532</v>
      </c>
    </row>
    <row r="1546" spans="1:9" x14ac:dyDescent="0.15">
      <c r="A1546" s="9">
        <v>1545</v>
      </c>
      <c r="B1546" s="9" t="s">
        <v>9</v>
      </c>
      <c r="C1546" s="9">
        <v>1912</v>
      </c>
      <c r="D1546" s="10">
        <v>45616</v>
      </c>
      <c r="E1546" s="13" t="str">
        <f>+HYPERLINK("http://trademark.i-assist.jp/data/china/image_1912th/80624859.pdf","80624859")</f>
        <v>80624859</v>
      </c>
      <c r="F1546" s="9" t="s">
        <v>4264</v>
      </c>
      <c r="G1546" s="9" t="s">
        <v>4228</v>
      </c>
      <c r="H1546" s="9" t="s">
        <v>4265</v>
      </c>
      <c r="I1546" s="10">
        <v>45532</v>
      </c>
    </row>
    <row r="1547" spans="1:9" x14ac:dyDescent="0.15">
      <c r="A1547" s="9">
        <v>1546</v>
      </c>
      <c r="B1547" s="9" t="s">
        <v>9</v>
      </c>
      <c r="C1547" s="9">
        <v>1912</v>
      </c>
      <c r="D1547" s="10">
        <v>45616</v>
      </c>
      <c r="E1547" s="13" t="str">
        <f>+HYPERLINK("http://trademark.i-assist.jp/data/china/image_1912th/80624978.pdf","80624978")</f>
        <v>80624978</v>
      </c>
      <c r="F1547" s="9" t="s">
        <v>4266</v>
      </c>
      <c r="G1547" s="9" t="s">
        <v>4267</v>
      </c>
      <c r="H1547" s="9" t="s">
        <v>4268</v>
      </c>
      <c r="I1547" s="10">
        <v>45532</v>
      </c>
    </row>
    <row r="1548" spans="1:9" x14ac:dyDescent="0.15">
      <c r="A1548" s="9">
        <v>1547</v>
      </c>
      <c r="B1548" s="9" t="s">
        <v>9</v>
      </c>
      <c r="C1548" s="9">
        <v>1912</v>
      </c>
      <c r="D1548" s="10">
        <v>45616</v>
      </c>
      <c r="E1548" s="13" t="str">
        <f>+HYPERLINK("http://trademark.i-assist.jp/data/china/image_1912th/80625051.pdf","80625051")</f>
        <v>80625051</v>
      </c>
      <c r="F1548" s="12" t="s">
        <v>15</v>
      </c>
      <c r="G1548" s="9" t="s">
        <v>4269</v>
      </c>
      <c r="H1548" s="9" t="s">
        <v>4270</v>
      </c>
      <c r="I1548" s="10">
        <v>45532</v>
      </c>
    </row>
    <row r="1549" spans="1:9" x14ac:dyDescent="0.15">
      <c r="A1549" s="9">
        <v>1548</v>
      </c>
      <c r="B1549" s="9" t="s">
        <v>9</v>
      </c>
      <c r="C1549" s="9">
        <v>1912</v>
      </c>
      <c r="D1549" s="10">
        <v>45616</v>
      </c>
      <c r="E1549" s="13" t="str">
        <f>+HYPERLINK("http://trademark.i-assist.jp/data/china/image_1912th/80625133.pdf","80625133")</f>
        <v>80625133</v>
      </c>
      <c r="F1549" s="9" t="s">
        <v>4271</v>
      </c>
      <c r="G1549" s="12" t="s">
        <v>4272</v>
      </c>
      <c r="H1549" s="9" t="s">
        <v>4273</v>
      </c>
      <c r="I1549" s="10">
        <v>45532</v>
      </c>
    </row>
    <row r="1550" spans="1:9" x14ac:dyDescent="0.15">
      <c r="A1550" s="9">
        <v>1549</v>
      </c>
      <c r="B1550" s="9" t="s">
        <v>9</v>
      </c>
      <c r="C1550" s="9">
        <v>1912</v>
      </c>
      <c r="D1550" s="10">
        <v>45616</v>
      </c>
      <c r="E1550" s="13" t="str">
        <f>+HYPERLINK("http://trademark.i-assist.jp/data/china/image_1912th/80625145.pdf","80625145")</f>
        <v>80625145</v>
      </c>
      <c r="F1550" s="9" t="s">
        <v>4274</v>
      </c>
      <c r="G1550" s="9" t="s">
        <v>3922</v>
      </c>
      <c r="H1550" s="9" t="s">
        <v>4275</v>
      </c>
      <c r="I1550" s="10">
        <v>45532</v>
      </c>
    </row>
    <row r="1551" spans="1:9" x14ac:dyDescent="0.15">
      <c r="A1551" s="9">
        <v>1550</v>
      </c>
      <c r="B1551" s="9" t="s">
        <v>9</v>
      </c>
      <c r="C1551" s="9">
        <v>1912</v>
      </c>
      <c r="D1551" s="10">
        <v>45616</v>
      </c>
      <c r="E1551" s="13" t="str">
        <f>+HYPERLINK("http://trademark.i-assist.jp/data/china/image_1912th/80625432.pdf","80625432")</f>
        <v>80625432</v>
      </c>
      <c r="F1551" s="12" t="s">
        <v>4276</v>
      </c>
      <c r="G1551" s="9" t="s">
        <v>4277</v>
      </c>
      <c r="H1551" s="9" t="s">
        <v>4278</v>
      </c>
      <c r="I1551" s="10">
        <v>45533</v>
      </c>
    </row>
    <row r="1552" spans="1:9" x14ac:dyDescent="0.15">
      <c r="A1552" s="9">
        <v>1551</v>
      </c>
      <c r="B1552" s="9" t="s">
        <v>9</v>
      </c>
      <c r="C1552" s="9">
        <v>1912</v>
      </c>
      <c r="D1552" s="10">
        <v>45616</v>
      </c>
      <c r="E1552" s="13" t="str">
        <f>+HYPERLINK("http://trademark.i-assist.jp/data/china/image_1912th/80625464.pdf","80625464")</f>
        <v>80625464</v>
      </c>
      <c r="F1552" s="9" t="s">
        <v>4279</v>
      </c>
      <c r="G1552" s="9" t="s">
        <v>4280</v>
      </c>
      <c r="H1552" s="9" t="s">
        <v>4281</v>
      </c>
      <c r="I1552" s="10">
        <v>45533</v>
      </c>
    </row>
    <row r="1553" spans="1:9" x14ac:dyDescent="0.15">
      <c r="A1553" s="9">
        <v>1552</v>
      </c>
      <c r="B1553" s="9" t="s">
        <v>9</v>
      </c>
      <c r="C1553" s="9">
        <v>1912</v>
      </c>
      <c r="D1553" s="10">
        <v>45616</v>
      </c>
      <c r="E1553" s="13" t="str">
        <f>+HYPERLINK("http://trademark.i-assist.jp/data/china/image_1912th/80625559.pdf","80625559")</f>
        <v>80625559</v>
      </c>
      <c r="F1553" s="11" t="s">
        <v>4282</v>
      </c>
      <c r="G1553" s="9" t="s">
        <v>4283</v>
      </c>
      <c r="H1553" s="12" t="s">
        <v>4284</v>
      </c>
      <c r="I1553" s="10">
        <v>45533</v>
      </c>
    </row>
    <row r="1554" spans="1:9" x14ac:dyDescent="0.15">
      <c r="A1554" s="9">
        <v>1553</v>
      </c>
      <c r="B1554" s="9" t="s">
        <v>9</v>
      </c>
      <c r="C1554" s="9">
        <v>1912</v>
      </c>
      <c r="D1554" s="10">
        <v>45616</v>
      </c>
      <c r="E1554" s="13" t="str">
        <f>+HYPERLINK("http://trademark.i-assist.jp/data/china/image_1912th/80625601.pdf","80625601")</f>
        <v>80625601</v>
      </c>
      <c r="F1554" s="9" t="s">
        <v>4285</v>
      </c>
      <c r="G1554" s="9" t="s">
        <v>4286</v>
      </c>
      <c r="H1554" s="9" t="s">
        <v>4287</v>
      </c>
      <c r="I1554" s="10">
        <v>45533</v>
      </c>
    </row>
    <row r="1555" spans="1:9" x14ac:dyDescent="0.15">
      <c r="A1555" s="9">
        <v>1554</v>
      </c>
      <c r="B1555" s="9" t="s">
        <v>9</v>
      </c>
      <c r="C1555" s="9">
        <v>1912</v>
      </c>
      <c r="D1555" s="10">
        <v>45616</v>
      </c>
      <c r="E1555" s="13" t="str">
        <f>+HYPERLINK("http://trademark.i-assist.jp/data/china/image_1912th/80625732.pdf","80625732")</f>
        <v>80625732</v>
      </c>
      <c r="F1555" s="9" t="s">
        <v>4288</v>
      </c>
      <c r="G1555" s="9" t="s">
        <v>4289</v>
      </c>
      <c r="H1555" s="9" t="s">
        <v>4290</v>
      </c>
      <c r="I1555" s="10">
        <v>45533</v>
      </c>
    </row>
    <row r="1556" spans="1:9" x14ac:dyDescent="0.15">
      <c r="A1556" s="9">
        <v>1555</v>
      </c>
      <c r="B1556" s="9" t="s">
        <v>9</v>
      </c>
      <c r="C1556" s="9">
        <v>1912</v>
      </c>
      <c r="D1556" s="10">
        <v>45616</v>
      </c>
      <c r="E1556" s="13" t="str">
        <f>+HYPERLINK("http://trademark.i-assist.jp/data/china/image_1912th/80626450.pdf","80626450")</f>
        <v>80626450</v>
      </c>
      <c r="F1556" s="9" t="s">
        <v>4291</v>
      </c>
      <c r="G1556" s="9" t="s">
        <v>4292</v>
      </c>
      <c r="H1556" s="9" t="s">
        <v>4293</v>
      </c>
      <c r="I1556" s="10">
        <v>45533</v>
      </c>
    </row>
    <row r="1557" spans="1:9" x14ac:dyDescent="0.15">
      <c r="A1557" s="9">
        <v>1556</v>
      </c>
      <c r="B1557" s="9" t="s">
        <v>9</v>
      </c>
      <c r="C1557" s="9">
        <v>1912</v>
      </c>
      <c r="D1557" s="10">
        <v>45616</v>
      </c>
      <c r="E1557" s="13" t="str">
        <f>+HYPERLINK("http://trademark.i-assist.jp/data/china/image_1912th/80626789.pdf","80626789")</f>
        <v>80626789</v>
      </c>
      <c r="F1557" s="9" t="s">
        <v>4294</v>
      </c>
      <c r="G1557" s="9" t="s">
        <v>4295</v>
      </c>
      <c r="H1557" s="9" t="s">
        <v>4296</v>
      </c>
      <c r="I1557" s="10">
        <v>45533</v>
      </c>
    </row>
    <row r="1558" spans="1:9" x14ac:dyDescent="0.15">
      <c r="A1558" s="9">
        <v>1557</v>
      </c>
      <c r="B1558" s="9" t="s">
        <v>9</v>
      </c>
      <c r="C1558" s="9">
        <v>1912</v>
      </c>
      <c r="D1558" s="10">
        <v>45616</v>
      </c>
      <c r="E1558" s="13" t="str">
        <f>+HYPERLINK("http://trademark.i-assist.jp/data/china/image_1912th/80626952.pdf","80626952")</f>
        <v>80626952</v>
      </c>
      <c r="F1558" s="9" t="s">
        <v>4297</v>
      </c>
      <c r="G1558" s="9" t="s">
        <v>4298</v>
      </c>
      <c r="H1558" s="9" t="s">
        <v>4299</v>
      </c>
      <c r="I1558" s="10">
        <v>45533</v>
      </c>
    </row>
    <row r="1559" spans="1:9" x14ac:dyDescent="0.15">
      <c r="A1559" s="9">
        <v>1558</v>
      </c>
      <c r="B1559" s="9" t="s">
        <v>9</v>
      </c>
      <c r="C1559" s="9">
        <v>1912</v>
      </c>
      <c r="D1559" s="10">
        <v>45616</v>
      </c>
      <c r="E1559" s="13" t="str">
        <f>+HYPERLINK("http://trademark.i-assist.jp/data/china/image_1912th/80627321.pdf","80627321")</f>
        <v>80627321</v>
      </c>
      <c r="F1559" s="9" t="s">
        <v>4300</v>
      </c>
      <c r="G1559" s="12" t="s">
        <v>4301</v>
      </c>
      <c r="H1559" s="9" t="s">
        <v>4302</v>
      </c>
      <c r="I1559" s="10">
        <v>45533</v>
      </c>
    </row>
    <row r="1560" spans="1:9" x14ac:dyDescent="0.15">
      <c r="A1560" s="9">
        <v>1559</v>
      </c>
      <c r="B1560" s="9" t="s">
        <v>9</v>
      </c>
      <c r="C1560" s="9">
        <v>1912</v>
      </c>
      <c r="D1560" s="10">
        <v>45616</v>
      </c>
      <c r="E1560" s="13" t="str">
        <f>+HYPERLINK("http://trademark.i-assist.jp/data/china/image_1912th/80627532.pdf","80627532")</f>
        <v>80627532</v>
      </c>
      <c r="F1560" s="9" t="s">
        <v>4303</v>
      </c>
      <c r="G1560" s="9" t="s">
        <v>4304</v>
      </c>
      <c r="H1560" s="9" t="s">
        <v>4305</v>
      </c>
      <c r="I1560" s="10">
        <v>45533</v>
      </c>
    </row>
    <row r="1561" spans="1:9" x14ac:dyDescent="0.15">
      <c r="A1561" s="9">
        <v>1560</v>
      </c>
      <c r="B1561" s="9" t="s">
        <v>9</v>
      </c>
      <c r="C1561" s="9">
        <v>1912</v>
      </c>
      <c r="D1561" s="10">
        <v>45616</v>
      </c>
      <c r="E1561" s="13" t="str">
        <f>+HYPERLINK("http://trademark.i-assist.jp/data/china/image_1912th/80627571.pdf","80627571")</f>
        <v>80627571</v>
      </c>
      <c r="F1561" s="9" t="s">
        <v>4306</v>
      </c>
      <c r="G1561" s="9" t="s">
        <v>4307</v>
      </c>
      <c r="H1561" s="9" t="s">
        <v>4308</v>
      </c>
      <c r="I1561" s="10">
        <v>45533</v>
      </c>
    </row>
    <row r="1562" spans="1:9" x14ac:dyDescent="0.15">
      <c r="A1562" s="9">
        <v>1561</v>
      </c>
      <c r="B1562" s="9" t="s">
        <v>9</v>
      </c>
      <c r="C1562" s="9">
        <v>1912</v>
      </c>
      <c r="D1562" s="10">
        <v>45616</v>
      </c>
      <c r="E1562" s="13" t="str">
        <f>+HYPERLINK("http://trademark.i-assist.jp/data/china/image_1912th/80627609.pdf","80627609")</f>
        <v>80627609</v>
      </c>
      <c r="F1562" s="9" t="s">
        <v>4309</v>
      </c>
      <c r="G1562" s="12" t="s">
        <v>4310</v>
      </c>
      <c r="H1562" s="9" t="s">
        <v>4311</v>
      </c>
      <c r="I1562" s="10">
        <v>45533</v>
      </c>
    </row>
    <row r="1563" spans="1:9" x14ac:dyDescent="0.15">
      <c r="A1563" s="9">
        <v>1562</v>
      </c>
      <c r="B1563" s="9" t="s">
        <v>9</v>
      </c>
      <c r="C1563" s="9">
        <v>1912</v>
      </c>
      <c r="D1563" s="10">
        <v>45616</v>
      </c>
      <c r="E1563" s="13" t="str">
        <f>+HYPERLINK("http://trademark.i-assist.jp/data/china/image_1912th/80627633.pdf","80627633")</f>
        <v>80627633</v>
      </c>
      <c r="F1563" s="9" t="s">
        <v>4312</v>
      </c>
      <c r="G1563" s="12" t="s">
        <v>4313</v>
      </c>
      <c r="H1563" s="9" t="s">
        <v>4314</v>
      </c>
      <c r="I1563" s="10">
        <v>45533</v>
      </c>
    </row>
    <row r="1564" spans="1:9" x14ac:dyDescent="0.15">
      <c r="A1564" s="9">
        <v>1563</v>
      </c>
      <c r="B1564" s="9" t="s">
        <v>9</v>
      </c>
      <c r="C1564" s="9">
        <v>1912</v>
      </c>
      <c r="D1564" s="10">
        <v>45616</v>
      </c>
      <c r="E1564" s="13" t="str">
        <f>+HYPERLINK("http://trademark.i-assist.jp/data/china/image_1912th/80627853.pdf","80627853")</f>
        <v>80627853</v>
      </c>
      <c r="F1564" s="9" t="s">
        <v>4315</v>
      </c>
      <c r="G1564" s="9" t="s">
        <v>4316</v>
      </c>
      <c r="H1564" s="12" t="s">
        <v>4317</v>
      </c>
      <c r="I1564" s="10">
        <v>45533</v>
      </c>
    </row>
    <row r="1565" spans="1:9" x14ac:dyDescent="0.15">
      <c r="A1565" s="9">
        <v>1564</v>
      </c>
      <c r="B1565" s="9" t="s">
        <v>9</v>
      </c>
      <c r="C1565" s="9">
        <v>1912</v>
      </c>
      <c r="D1565" s="10">
        <v>45616</v>
      </c>
      <c r="E1565" s="13" t="str">
        <f>+HYPERLINK("http://trademark.i-assist.jp/data/china/image_1912th/80627903.pdf","80627903")</f>
        <v>80627903</v>
      </c>
      <c r="F1565" s="12" t="s">
        <v>4318</v>
      </c>
      <c r="G1565" s="9" t="s">
        <v>4319</v>
      </c>
      <c r="H1565" s="9" t="s">
        <v>4320</v>
      </c>
      <c r="I1565" s="10">
        <v>45533</v>
      </c>
    </row>
    <row r="1566" spans="1:9" x14ac:dyDescent="0.15">
      <c r="A1566" s="9">
        <v>1565</v>
      </c>
      <c r="B1566" s="9" t="s">
        <v>9</v>
      </c>
      <c r="C1566" s="9">
        <v>1912</v>
      </c>
      <c r="D1566" s="10">
        <v>45616</v>
      </c>
      <c r="E1566" s="13" t="str">
        <f>+HYPERLINK("http://trademark.i-assist.jp/data/china/image_1912th/80627907.pdf","80627907")</f>
        <v>80627907</v>
      </c>
      <c r="F1566" s="9" t="s">
        <v>4321</v>
      </c>
      <c r="G1566" s="12" t="s">
        <v>4322</v>
      </c>
      <c r="H1566" s="9" t="s">
        <v>4323</v>
      </c>
      <c r="I1566" s="10">
        <v>45533</v>
      </c>
    </row>
    <row r="1567" spans="1:9" x14ac:dyDescent="0.15">
      <c r="A1567" s="9">
        <v>1566</v>
      </c>
      <c r="B1567" s="9" t="s">
        <v>9</v>
      </c>
      <c r="C1567" s="9">
        <v>1912</v>
      </c>
      <c r="D1567" s="10">
        <v>45616</v>
      </c>
      <c r="E1567" s="13" t="str">
        <f>+HYPERLINK("http://trademark.i-assist.jp/data/china/image_1912th/80628041.pdf","80628041")</f>
        <v>80628041</v>
      </c>
      <c r="F1567" s="9" t="s">
        <v>4324</v>
      </c>
      <c r="G1567" s="9" t="s">
        <v>3546</v>
      </c>
      <c r="H1567" s="9" t="s">
        <v>4325</v>
      </c>
      <c r="I1567" s="10">
        <v>45533</v>
      </c>
    </row>
    <row r="1568" spans="1:9" x14ac:dyDescent="0.15">
      <c r="A1568" s="9">
        <v>1567</v>
      </c>
      <c r="B1568" s="9" t="s">
        <v>9</v>
      </c>
      <c r="C1568" s="9">
        <v>1912</v>
      </c>
      <c r="D1568" s="10">
        <v>45616</v>
      </c>
      <c r="E1568" s="13" t="str">
        <f>+HYPERLINK("http://trademark.i-assist.jp/data/china/image_1912th/80628131.pdf","80628131")</f>
        <v>80628131</v>
      </c>
      <c r="F1568" s="9" t="s">
        <v>4326</v>
      </c>
      <c r="G1568" s="9" t="s">
        <v>4327</v>
      </c>
      <c r="H1568" s="9" t="s">
        <v>4328</v>
      </c>
      <c r="I1568" s="10">
        <v>45533</v>
      </c>
    </row>
    <row r="1569" spans="1:9" x14ac:dyDescent="0.15">
      <c r="A1569" s="9">
        <v>1568</v>
      </c>
      <c r="B1569" s="9" t="s">
        <v>9</v>
      </c>
      <c r="C1569" s="9">
        <v>1912</v>
      </c>
      <c r="D1569" s="10">
        <v>45616</v>
      </c>
      <c r="E1569" s="13" t="str">
        <f>+HYPERLINK("http://trademark.i-assist.jp/data/china/image_1912th/80628284.pdf","80628284")</f>
        <v>80628284</v>
      </c>
      <c r="F1569" s="9" t="s">
        <v>4329</v>
      </c>
      <c r="G1569" s="9" t="s">
        <v>4330</v>
      </c>
      <c r="H1569" s="9" t="s">
        <v>4331</v>
      </c>
      <c r="I1569" s="10">
        <v>45533</v>
      </c>
    </row>
    <row r="1570" spans="1:9" x14ac:dyDescent="0.15">
      <c r="A1570" s="9">
        <v>1569</v>
      </c>
      <c r="B1570" s="9" t="s">
        <v>9</v>
      </c>
      <c r="C1570" s="9">
        <v>1912</v>
      </c>
      <c r="D1570" s="10">
        <v>45616</v>
      </c>
      <c r="E1570" s="13" t="str">
        <f>+HYPERLINK("http://trademark.i-assist.jp/data/china/image_1912th/80628536.pdf","80628536")</f>
        <v>80628536</v>
      </c>
      <c r="F1570" s="12" t="s">
        <v>15</v>
      </c>
      <c r="G1570" s="9" t="s">
        <v>4332</v>
      </c>
      <c r="H1570" s="9" t="s">
        <v>4333</v>
      </c>
      <c r="I1570" s="10">
        <v>45533</v>
      </c>
    </row>
    <row r="1571" spans="1:9" x14ac:dyDescent="0.15">
      <c r="A1571" s="9">
        <v>1570</v>
      </c>
      <c r="B1571" s="9" t="s">
        <v>9</v>
      </c>
      <c r="C1571" s="9">
        <v>1912</v>
      </c>
      <c r="D1571" s="10">
        <v>45616</v>
      </c>
      <c r="E1571" s="13" t="str">
        <f>+HYPERLINK("http://trademark.i-assist.jp/data/china/image_1912th/80628538.pdf","80628538")</f>
        <v>80628538</v>
      </c>
      <c r="F1571" s="9" t="s">
        <v>4334</v>
      </c>
      <c r="G1571" s="9" t="s">
        <v>4335</v>
      </c>
      <c r="H1571" s="9" t="s">
        <v>4336</v>
      </c>
      <c r="I1571" s="10">
        <v>45533</v>
      </c>
    </row>
    <row r="1572" spans="1:9" x14ac:dyDescent="0.15">
      <c r="A1572" s="9">
        <v>1571</v>
      </c>
      <c r="B1572" s="9" t="s">
        <v>9</v>
      </c>
      <c r="C1572" s="9">
        <v>1912</v>
      </c>
      <c r="D1572" s="10">
        <v>45616</v>
      </c>
      <c r="E1572" s="13" t="str">
        <f>+HYPERLINK("http://trademark.i-assist.jp/data/china/image_1912th/80628628.pdf","80628628")</f>
        <v>80628628</v>
      </c>
      <c r="F1572" s="12" t="s">
        <v>4337</v>
      </c>
      <c r="G1572" s="9" t="s">
        <v>4338</v>
      </c>
      <c r="H1572" s="9" t="s">
        <v>4339</v>
      </c>
      <c r="I1572" s="10">
        <v>45533</v>
      </c>
    </row>
    <row r="1573" spans="1:9" x14ac:dyDescent="0.15">
      <c r="A1573" s="9">
        <v>1572</v>
      </c>
      <c r="B1573" s="9" t="s">
        <v>9</v>
      </c>
      <c r="C1573" s="9">
        <v>1912</v>
      </c>
      <c r="D1573" s="10">
        <v>45616</v>
      </c>
      <c r="E1573" s="13" t="str">
        <f>+HYPERLINK("http://trademark.i-assist.jp/data/china/image_1912th/80628632.pdf","80628632")</f>
        <v>80628632</v>
      </c>
      <c r="F1573" s="9" t="s">
        <v>4340</v>
      </c>
      <c r="G1573" s="9" t="s">
        <v>4341</v>
      </c>
      <c r="H1573" s="9" t="s">
        <v>4342</v>
      </c>
      <c r="I1573" s="10">
        <v>45533</v>
      </c>
    </row>
    <row r="1574" spans="1:9" x14ac:dyDescent="0.15">
      <c r="A1574" s="9">
        <v>1573</v>
      </c>
      <c r="B1574" s="9" t="s">
        <v>9</v>
      </c>
      <c r="C1574" s="9">
        <v>1912</v>
      </c>
      <c r="D1574" s="10">
        <v>45616</v>
      </c>
      <c r="E1574" s="13" t="str">
        <f>+HYPERLINK("http://trademark.i-assist.jp/data/china/image_1912th/80629021.pdf","80629021")</f>
        <v>80629021</v>
      </c>
      <c r="F1574" s="12" t="s">
        <v>4343</v>
      </c>
      <c r="G1574" s="9" t="s">
        <v>4344</v>
      </c>
      <c r="H1574" s="9" t="s">
        <v>4345</v>
      </c>
      <c r="I1574" s="10">
        <v>45533</v>
      </c>
    </row>
    <row r="1575" spans="1:9" x14ac:dyDescent="0.15">
      <c r="A1575" s="9">
        <v>1574</v>
      </c>
      <c r="B1575" s="9" t="s">
        <v>9</v>
      </c>
      <c r="C1575" s="9">
        <v>1912</v>
      </c>
      <c r="D1575" s="10">
        <v>45616</v>
      </c>
      <c r="E1575" s="13" t="str">
        <f>+HYPERLINK("http://trademark.i-assist.jp/data/china/image_1912th/80629406.pdf","80629406")</f>
        <v>80629406</v>
      </c>
      <c r="F1575" s="9" t="s">
        <v>4346</v>
      </c>
      <c r="G1575" s="9" t="s">
        <v>4347</v>
      </c>
      <c r="H1575" s="9" t="s">
        <v>4348</v>
      </c>
      <c r="I1575" s="10">
        <v>45533</v>
      </c>
    </row>
    <row r="1576" spans="1:9" x14ac:dyDescent="0.15">
      <c r="A1576" s="9">
        <v>1575</v>
      </c>
      <c r="B1576" s="9" t="s">
        <v>9</v>
      </c>
      <c r="C1576" s="9">
        <v>1912</v>
      </c>
      <c r="D1576" s="10">
        <v>45616</v>
      </c>
      <c r="E1576" s="13" t="str">
        <f>+HYPERLINK("http://trademark.i-assist.jp/data/china/image_1912th/80629541.pdf","80629541")</f>
        <v>80629541</v>
      </c>
      <c r="F1576" s="12" t="s">
        <v>4349</v>
      </c>
      <c r="G1576" s="9" t="s">
        <v>4350</v>
      </c>
      <c r="H1576" s="9" t="s">
        <v>4351</v>
      </c>
      <c r="I1576" s="10">
        <v>45533</v>
      </c>
    </row>
    <row r="1577" spans="1:9" x14ac:dyDescent="0.15">
      <c r="A1577" s="9">
        <v>1576</v>
      </c>
      <c r="B1577" s="9" t="s">
        <v>9</v>
      </c>
      <c r="C1577" s="9">
        <v>1912</v>
      </c>
      <c r="D1577" s="10">
        <v>45616</v>
      </c>
      <c r="E1577" s="13" t="str">
        <f>+HYPERLINK("http://trademark.i-assist.jp/data/china/image_1912th/80629731.pdf","80629731")</f>
        <v>80629731</v>
      </c>
      <c r="F1577" s="9" t="s">
        <v>4352</v>
      </c>
      <c r="G1577" s="9" t="s">
        <v>4353</v>
      </c>
      <c r="H1577" s="9" t="s">
        <v>4354</v>
      </c>
      <c r="I1577" s="10">
        <v>45533</v>
      </c>
    </row>
    <row r="1578" spans="1:9" x14ac:dyDescent="0.15">
      <c r="A1578" s="9">
        <v>1577</v>
      </c>
      <c r="B1578" s="9" t="s">
        <v>9</v>
      </c>
      <c r="C1578" s="9">
        <v>1912</v>
      </c>
      <c r="D1578" s="10">
        <v>45616</v>
      </c>
      <c r="E1578" s="13" t="str">
        <f>+HYPERLINK("http://trademark.i-assist.jp/data/china/image_1912th/80629748.pdf","80629748")</f>
        <v>80629748</v>
      </c>
      <c r="F1578" s="9" t="s">
        <v>4355</v>
      </c>
      <c r="G1578" s="9" t="s">
        <v>4356</v>
      </c>
      <c r="H1578" s="9" t="s">
        <v>4357</v>
      </c>
      <c r="I1578" s="10">
        <v>45533</v>
      </c>
    </row>
    <row r="1579" spans="1:9" x14ac:dyDescent="0.15">
      <c r="A1579" s="9">
        <v>1578</v>
      </c>
      <c r="B1579" s="9" t="s">
        <v>9</v>
      </c>
      <c r="C1579" s="9">
        <v>1912</v>
      </c>
      <c r="D1579" s="10">
        <v>45616</v>
      </c>
      <c r="E1579" s="13" t="str">
        <f>+HYPERLINK("http://trademark.i-assist.jp/data/china/image_1912th/80629751.pdf","80629751")</f>
        <v>80629751</v>
      </c>
      <c r="F1579" s="9" t="s">
        <v>4358</v>
      </c>
      <c r="G1579" s="9" t="s">
        <v>33</v>
      </c>
      <c r="H1579" s="9" t="s">
        <v>4359</v>
      </c>
      <c r="I1579" s="10">
        <v>45533</v>
      </c>
    </row>
    <row r="1580" spans="1:9" x14ac:dyDescent="0.15">
      <c r="A1580" s="9">
        <v>1579</v>
      </c>
      <c r="B1580" s="9" t="s">
        <v>9</v>
      </c>
      <c r="C1580" s="9">
        <v>1912</v>
      </c>
      <c r="D1580" s="10">
        <v>45616</v>
      </c>
      <c r="E1580" s="13" t="str">
        <f>+HYPERLINK("http://trademark.i-assist.jp/data/china/image_1912th/80629895.pdf","80629895")</f>
        <v>80629895</v>
      </c>
      <c r="F1580" s="9" t="s">
        <v>4360</v>
      </c>
      <c r="G1580" s="9" t="s">
        <v>4361</v>
      </c>
      <c r="H1580" s="9" t="s">
        <v>4362</v>
      </c>
      <c r="I1580" s="10">
        <v>45533</v>
      </c>
    </row>
    <row r="1581" spans="1:9" x14ac:dyDescent="0.15">
      <c r="A1581" s="9">
        <v>1580</v>
      </c>
      <c r="B1581" s="9" t="s">
        <v>9</v>
      </c>
      <c r="C1581" s="9">
        <v>1912</v>
      </c>
      <c r="D1581" s="10">
        <v>45616</v>
      </c>
      <c r="E1581" s="13" t="str">
        <f>+HYPERLINK("http://trademark.i-assist.jp/data/china/image_1912th/80630205.pdf","80630205")</f>
        <v>80630205</v>
      </c>
      <c r="F1581" s="9" t="s">
        <v>4363</v>
      </c>
      <c r="G1581" s="9" t="s">
        <v>4364</v>
      </c>
      <c r="H1581" s="9" t="s">
        <v>4365</v>
      </c>
      <c r="I1581" s="10">
        <v>45533</v>
      </c>
    </row>
    <row r="1582" spans="1:9" x14ac:dyDescent="0.15">
      <c r="A1582" s="9">
        <v>1581</v>
      </c>
      <c r="B1582" s="9" t="s">
        <v>9</v>
      </c>
      <c r="C1582" s="9">
        <v>1912</v>
      </c>
      <c r="D1582" s="10">
        <v>45616</v>
      </c>
      <c r="E1582" s="13" t="str">
        <f>+HYPERLINK("http://trademark.i-assist.jp/data/china/image_1912th/80630347.pdf","80630347")</f>
        <v>80630347</v>
      </c>
      <c r="F1582" s="9" t="s">
        <v>4366</v>
      </c>
      <c r="G1582" s="9" t="s">
        <v>4367</v>
      </c>
      <c r="H1582" s="9" t="s">
        <v>4368</v>
      </c>
      <c r="I1582" s="10">
        <v>45533</v>
      </c>
    </row>
    <row r="1583" spans="1:9" x14ac:dyDescent="0.15">
      <c r="A1583" s="9">
        <v>1582</v>
      </c>
      <c r="B1583" s="9" t="s">
        <v>9</v>
      </c>
      <c r="C1583" s="9">
        <v>1912</v>
      </c>
      <c r="D1583" s="10">
        <v>45616</v>
      </c>
      <c r="E1583" s="13" t="str">
        <f>+HYPERLINK("http://trademark.i-assist.jp/data/china/image_1912th/80630404.pdf","80630404")</f>
        <v>80630404</v>
      </c>
      <c r="F1583" s="9" t="s">
        <v>4369</v>
      </c>
      <c r="G1583" s="9" t="s">
        <v>4370</v>
      </c>
      <c r="H1583" s="9" t="s">
        <v>4371</v>
      </c>
      <c r="I1583" s="10">
        <v>45533</v>
      </c>
    </row>
    <row r="1584" spans="1:9" x14ac:dyDescent="0.15">
      <c r="A1584" s="9">
        <v>1583</v>
      </c>
      <c r="B1584" s="9" t="s">
        <v>9</v>
      </c>
      <c r="C1584" s="9">
        <v>1912</v>
      </c>
      <c r="D1584" s="10">
        <v>45616</v>
      </c>
      <c r="E1584" s="13" t="str">
        <f>+HYPERLINK("http://trademark.i-assist.jp/data/china/image_1912th/80630596.pdf","80630596")</f>
        <v>80630596</v>
      </c>
      <c r="F1584" s="9" t="s">
        <v>4372</v>
      </c>
      <c r="G1584" s="9" t="s">
        <v>4373</v>
      </c>
      <c r="H1584" s="12" t="s">
        <v>4374</v>
      </c>
      <c r="I1584" s="10">
        <v>45533</v>
      </c>
    </row>
    <row r="1585" spans="1:9" x14ac:dyDescent="0.15">
      <c r="A1585" s="9">
        <v>1584</v>
      </c>
      <c r="B1585" s="9" t="s">
        <v>9</v>
      </c>
      <c r="C1585" s="9">
        <v>1912</v>
      </c>
      <c r="D1585" s="10">
        <v>45616</v>
      </c>
      <c r="E1585" s="13" t="str">
        <f>+HYPERLINK("http://trademark.i-assist.jp/data/china/image_1912th/80631159.pdf","80631159")</f>
        <v>80631159</v>
      </c>
      <c r="F1585" s="9" t="s">
        <v>4375</v>
      </c>
      <c r="G1585" s="9" t="s">
        <v>4000</v>
      </c>
      <c r="H1585" s="9" t="s">
        <v>4376</v>
      </c>
      <c r="I1585" s="10">
        <v>45533</v>
      </c>
    </row>
    <row r="1586" spans="1:9" x14ac:dyDescent="0.15">
      <c r="A1586" s="9">
        <v>1585</v>
      </c>
      <c r="B1586" s="9" t="s">
        <v>9</v>
      </c>
      <c r="C1586" s="9">
        <v>1912</v>
      </c>
      <c r="D1586" s="10">
        <v>45616</v>
      </c>
      <c r="E1586" s="13" t="str">
        <f>+HYPERLINK("http://trademark.i-assist.jp/data/china/image_1912th/80631233.pdf","80631233")</f>
        <v>80631233</v>
      </c>
      <c r="F1586" s="9" t="s">
        <v>4377</v>
      </c>
      <c r="G1586" s="12" t="s">
        <v>4378</v>
      </c>
      <c r="H1586" s="9" t="s">
        <v>4379</v>
      </c>
      <c r="I1586" s="10">
        <v>45533</v>
      </c>
    </row>
    <row r="1587" spans="1:9" x14ac:dyDescent="0.15">
      <c r="A1587" s="9">
        <v>1586</v>
      </c>
      <c r="B1587" s="9" t="s">
        <v>9</v>
      </c>
      <c r="C1587" s="9">
        <v>1912</v>
      </c>
      <c r="D1587" s="10">
        <v>45616</v>
      </c>
      <c r="E1587" s="13" t="str">
        <f>+HYPERLINK("http://trademark.i-assist.jp/data/china/image_1912th/80631374.pdf","80631374")</f>
        <v>80631374</v>
      </c>
      <c r="F1587" s="9" t="s">
        <v>4380</v>
      </c>
      <c r="G1587" s="9" t="s">
        <v>4381</v>
      </c>
      <c r="H1587" s="9" t="s">
        <v>4382</v>
      </c>
      <c r="I1587" s="10">
        <v>45533</v>
      </c>
    </row>
    <row r="1588" spans="1:9" x14ac:dyDescent="0.15">
      <c r="A1588" s="9">
        <v>1587</v>
      </c>
      <c r="B1588" s="9" t="s">
        <v>9</v>
      </c>
      <c r="C1588" s="9">
        <v>1912</v>
      </c>
      <c r="D1588" s="10">
        <v>45616</v>
      </c>
      <c r="E1588" s="13" t="str">
        <f>+HYPERLINK("http://trademark.i-assist.jp/data/china/image_1912th/80631471.pdf","80631471")</f>
        <v>80631471</v>
      </c>
      <c r="F1588" s="12" t="s">
        <v>4383</v>
      </c>
      <c r="G1588" s="9" t="s">
        <v>4384</v>
      </c>
      <c r="H1588" s="9" t="s">
        <v>4385</v>
      </c>
      <c r="I1588" s="10">
        <v>45533</v>
      </c>
    </row>
    <row r="1589" spans="1:9" x14ac:dyDescent="0.15">
      <c r="A1589" s="9">
        <v>1588</v>
      </c>
      <c r="B1589" s="9" t="s">
        <v>9</v>
      </c>
      <c r="C1589" s="9">
        <v>1912</v>
      </c>
      <c r="D1589" s="10">
        <v>45616</v>
      </c>
      <c r="E1589" s="13" t="str">
        <f>+HYPERLINK("http://trademark.i-assist.jp/data/china/image_1912th/80631490.pdf","80631490")</f>
        <v>80631490</v>
      </c>
      <c r="F1589" s="9" t="s">
        <v>4386</v>
      </c>
      <c r="G1589" s="9" t="s">
        <v>4387</v>
      </c>
      <c r="H1589" s="9" t="s">
        <v>4388</v>
      </c>
      <c r="I1589" s="10">
        <v>45533</v>
      </c>
    </row>
    <row r="1590" spans="1:9" x14ac:dyDescent="0.15">
      <c r="A1590" s="9">
        <v>1589</v>
      </c>
      <c r="B1590" s="9" t="s">
        <v>9</v>
      </c>
      <c r="C1590" s="9">
        <v>1912</v>
      </c>
      <c r="D1590" s="10">
        <v>45616</v>
      </c>
      <c r="E1590" s="13" t="str">
        <f>+HYPERLINK("http://trademark.i-assist.jp/data/china/image_1912th/80631534.pdf","80631534")</f>
        <v>80631534</v>
      </c>
      <c r="F1590" s="12" t="s">
        <v>4389</v>
      </c>
      <c r="G1590" s="12" t="s">
        <v>4390</v>
      </c>
      <c r="H1590" s="12" t="s">
        <v>4391</v>
      </c>
      <c r="I1590" s="10">
        <v>45533</v>
      </c>
    </row>
    <row r="1591" spans="1:9" x14ac:dyDescent="0.15">
      <c r="A1591" s="9">
        <v>1590</v>
      </c>
      <c r="B1591" s="9" t="s">
        <v>9</v>
      </c>
      <c r="C1591" s="9">
        <v>1912</v>
      </c>
      <c r="D1591" s="10">
        <v>45616</v>
      </c>
      <c r="E1591" s="13" t="str">
        <f>+HYPERLINK("http://trademark.i-assist.jp/data/china/image_1912th/80631803.pdf","80631803")</f>
        <v>80631803</v>
      </c>
      <c r="F1591" s="9" t="s">
        <v>4392</v>
      </c>
      <c r="G1591" s="9" t="s">
        <v>4393</v>
      </c>
      <c r="H1591" s="9" t="s">
        <v>4394</v>
      </c>
      <c r="I1591" s="10">
        <v>45533</v>
      </c>
    </row>
    <row r="1592" spans="1:9" x14ac:dyDescent="0.15">
      <c r="A1592" s="9">
        <v>1591</v>
      </c>
      <c r="B1592" s="9" t="s">
        <v>9</v>
      </c>
      <c r="C1592" s="9">
        <v>1912</v>
      </c>
      <c r="D1592" s="10">
        <v>45616</v>
      </c>
      <c r="E1592" s="13" t="str">
        <f>+HYPERLINK("http://trademark.i-assist.jp/data/china/image_1912th/80631876.pdf","80631876")</f>
        <v>80631876</v>
      </c>
      <c r="F1592" s="9" t="s">
        <v>4395</v>
      </c>
      <c r="G1592" s="9" t="s">
        <v>3546</v>
      </c>
      <c r="H1592" s="9" t="s">
        <v>4396</v>
      </c>
      <c r="I1592" s="10">
        <v>45533</v>
      </c>
    </row>
    <row r="1593" spans="1:9" x14ac:dyDescent="0.15">
      <c r="A1593" s="9">
        <v>1592</v>
      </c>
      <c r="B1593" s="9" t="s">
        <v>9</v>
      </c>
      <c r="C1593" s="9">
        <v>1912</v>
      </c>
      <c r="D1593" s="10">
        <v>45616</v>
      </c>
      <c r="E1593" s="13" t="str">
        <f>+HYPERLINK("http://trademark.i-assist.jp/data/china/image_1912th/80631919.pdf","80631919")</f>
        <v>80631919</v>
      </c>
      <c r="F1593" s="9" t="s">
        <v>4397</v>
      </c>
      <c r="G1593" s="12" t="s">
        <v>4398</v>
      </c>
      <c r="H1593" s="9" t="s">
        <v>4399</v>
      </c>
      <c r="I1593" s="10">
        <v>45533</v>
      </c>
    </row>
    <row r="1594" spans="1:9" x14ac:dyDescent="0.15">
      <c r="A1594" s="9">
        <v>1593</v>
      </c>
      <c r="B1594" s="9" t="s">
        <v>9</v>
      </c>
      <c r="C1594" s="9">
        <v>1912</v>
      </c>
      <c r="D1594" s="10">
        <v>45616</v>
      </c>
      <c r="E1594" s="13" t="str">
        <f>+HYPERLINK("http://trademark.i-assist.jp/data/china/image_1912th/80632477.pdf","80632477")</f>
        <v>80632477</v>
      </c>
      <c r="F1594" s="9" t="s">
        <v>4400</v>
      </c>
      <c r="G1594" s="9" t="s">
        <v>4401</v>
      </c>
      <c r="H1594" s="9" t="s">
        <v>4402</v>
      </c>
      <c r="I1594" s="10">
        <v>45533</v>
      </c>
    </row>
    <row r="1595" spans="1:9" x14ac:dyDescent="0.15">
      <c r="A1595" s="9">
        <v>1594</v>
      </c>
      <c r="B1595" s="9" t="s">
        <v>9</v>
      </c>
      <c r="C1595" s="9">
        <v>1912</v>
      </c>
      <c r="D1595" s="10">
        <v>45616</v>
      </c>
      <c r="E1595" s="13" t="str">
        <f>+HYPERLINK("http://trademark.i-assist.jp/data/china/image_1912th/80632498.pdf","80632498")</f>
        <v>80632498</v>
      </c>
      <c r="F1595" s="12" t="s">
        <v>4403</v>
      </c>
      <c r="G1595" s="9" t="s">
        <v>4404</v>
      </c>
      <c r="H1595" s="9" t="s">
        <v>4405</v>
      </c>
      <c r="I1595" s="10">
        <v>45533</v>
      </c>
    </row>
    <row r="1596" spans="1:9" x14ac:dyDescent="0.15">
      <c r="A1596" s="9">
        <v>1595</v>
      </c>
      <c r="B1596" s="9" t="s">
        <v>9</v>
      </c>
      <c r="C1596" s="9">
        <v>1912</v>
      </c>
      <c r="D1596" s="10">
        <v>45616</v>
      </c>
      <c r="E1596" s="13" t="str">
        <f>+HYPERLINK("http://trademark.i-assist.jp/data/china/image_1912th/80632674.pdf","80632674")</f>
        <v>80632674</v>
      </c>
      <c r="F1596" s="9" t="s">
        <v>4406</v>
      </c>
      <c r="G1596" s="9" t="s">
        <v>4407</v>
      </c>
      <c r="H1596" s="9" t="s">
        <v>4408</v>
      </c>
      <c r="I1596" s="10">
        <v>45533</v>
      </c>
    </row>
    <row r="1597" spans="1:9" x14ac:dyDescent="0.15">
      <c r="A1597" s="9">
        <v>1596</v>
      </c>
      <c r="B1597" s="9" t="s">
        <v>9</v>
      </c>
      <c r="C1597" s="9">
        <v>1912</v>
      </c>
      <c r="D1597" s="10">
        <v>45616</v>
      </c>
      <c r="E1597" s="13" t="str">
        <f>+HYPERLINK("http://trademark.i-assist.jp/data/china/image_1912th/80632799.pdf","80632799")</f>
        <v>80632799</v>
      </c>
      <c r="F1597" s="9" t="s">
        <v>4409</v>
      </c>
      <c r="G1597" s="9" t="s">
        <v>4295</v>
      </c>
      <c r="H1597" s="9" t="s">
        <v>4410</v>
      </c>
      <c r="I1597" s="10">
        <v>45533</v>
      </c>
    </row>
    <row r="1598" spans="1:9" x14ac:dyDescent="0.15">
      <c r="A1598" s="9">
        <v>1597</v>
      </c>
      <c r="B1598" s="9" t="s">
        <v>9</v>
      </c>
      <c r="C1598" s="9">
        <v>1912</v>
      </c>
      <c r="D1598" s="10">
        <v>45616</v>
      </c>
      <c r="E1598" s="13" t="str">
        <f>+HYPERLINK("http://trademark.i-assist.jp/data/china/image_1912th/80632929.pdf","80632929")</f>
        <v>80632929</v>
      </c>
      <c r="F1598" s="9" t="s">
        <v>4411</v>
      </c>
      <c r="G1598" s="9" t="s">
        <v>4316</v>
      </c>
      <c r="H1598" s="9" t="s">
        <v>4412</v>
      </c>
      <c r="I1598" s="10">
        <v>45533</v>
      </c>
    </row>
    <row r="1599" spans="1:9" x14ac:dyDescent="0.15">
      <c r="A1599" s="9">
        <v>1598</v>
      </c>
      <c r="B1599" s="9" t="s">
        <v>9</v>
      </c>
      <c r="C1599" s="9">
        <v>1912</v>
      </c>
      <c r="D1599" s="10">
        <v>45616</v>
      </c>
      <c r="E1599" s="13" t="str">
        <f>+HYPERLINK("http://trademark.i-assist.jp/data/china/image_1912th/80633019.pdf","80633019")</f>
        <v>80633019</v>
      </c>
      <c r="F1599" s="9" t="s">
        <v>4413</v>
      </c>
      <c r="G1599" s="12" t="s">
        <v>4313</v>
      </c>
      <c r="H1599" s="9" t="s">
        <v>4414</v>
      </c>
      <c r="I1599" s="10">
        <v>45533</v>
      </c>
    </row>
    <row r="1600" spans="1:9" x14ac:dyDescent="0.15">
      <c r="A1600" s="9">
        <v>1599</v>
      </c>
      <c r="B1600" s="9" t="s">
        <v>9</v>
      </c>
      <c r="C1600" s="9">
        <v>1912</v>
      </c>
      <c r="D1600" s="10">
        <v>45616</v>
      </c>
      <c r="E1600" s="13" t="str">
        <f>+HYPERLINK("http://trademark.i-assist.jp/data/china/image_1912th/80633462.pdf","80633462")</f>
        <v>80633462</v>
      </c>
      <c r="F1600" s="9" t="s">
        <v>4415</v>
      </c>
      <c r="G1600" s="9" t="s">
        <v>4373</v>
      </c>
      <c r="H1600" s="12" t="s">
        <v>4416</v>
      </c>
      <c r="I1600" s="10">
        <v>45533</v>
      </c>
    </row>
    <row r="1601" spans="1:9" x14ac:dyDescent="0.15">
      <c r="A1601" s="9">
        <v>1600</v>
      </c>
      <c r="B1601" s="9" t="s">
        <v>9</v>
      </c>
      <c r="C1601" s="9">
        <v>1912</v>
      </c>
      <c r="D1601" s="10">
        <v>45616</v>
      </c>
      <c r="E1601" s="13" t="str">
        <f>+HYPERLINK("http://trademark.i-assist.jp/data/china/image_1912th/80633733.pdf","80633733")</f>
        <v>80633733</v>
      </c>
      <c r="F1601" s="9" t="s">
        <v>4417</v>
      </c>
      <c r="G1601" s="12" t="s">
        <v>64</v>
      </c>
      <c r="H1601" s="9" t="s">
        <v>4418</v>
      </c>
      <c r="I1601" s="10">
        <v>45533</v>
      </c>
    </row>
    <row r="1602" spans="1:9" x14ac:dyDescent="0.15">
      <c r="A1602" s="9">
        <v>1601</v>
      </c>
      <c r="B1602" s="9" t="s">
        <v>9</v>
      </c>
      <c r="C1602" s="9">
        <v>1912</v>
      </c>
      <c r="D1602" s="10">
        <v>45616</v>
      </c>
      <c r="E1602" s="13" t="str">
        <f>+HYPERLINK("http://trademark.i-assist.jp/data/china/image_1912th/80633887.pdf","80633887")</f>
        <v>80633887</v>
      </c>
      <c r="F1602" s="9" t="s">
        <v>4419</v>
      </c>
      <c r="G1602" s="9" t="s">
        <v>4420</v>
      </c>
      <c r="H1602" s="9" t="s">
        <v>4421</v>
      </c>
      <c r="I1602" s="10">
        <v>45533</v>
      </c>
    </row>
    <row r="1603" spans="1:9" x14ac:dyDescent="0.15">
      <c r="A1603" s="9">
        <v>1602</v>
      </c>
      <c r="B1603" s="9" t="s">
        <v>9</v>
      </c>
      <c r="C1603" s="9">
        <v>1912</v>
      </c>
      <c r="D1603" s="10">
        <v>45616</v>
      </c>
      <c r="E1603" s="13" t="str">
        <f>+HYPERLINK("http://trademark.i-assist.jp/data/china/image_1912th/80634053.pdf","80634053")</f>
        <v>80634053</v>
      </c>
      <c r="F1603" s="12" t="s">
        <v>4422</v>
      </c>
      <c r="G1603" s="9" t="s">
        <v>4367</v>
      </c>
      <c r="H1603" s="9" t="s">
        <v>4423</v>
      </c>
      <c r="I1603" s="10">
        <v>45533</v>
      </c>
    </row>
    <row r="1604" spans="1:9" x14ac:dyDescent="0.15">
      <c r="A1604" s="9">
        <v>1603</v>
      </c>
      <c r="B1604" s="9" t="s">
        <v>9</v>
      </c>
      <c r="C1604" s="9">
        <v>1912</v>
      </c>
      <c r="D1604" s="10">
        <v>45616</v>
      </c>
      <c r="E1604" s="13" t="str">
        <f>+HYPERLINK("http://trademark.i-assist.jp/data/china/image_1912th/80634059.pdf","80634059")</f>
        <v>80634059</v>
      </c>
      <c r="F1604" s="9" t="s">
        <v>4424</v>
      </c>
      <c r="G1604" s="9" t="s">
        <v>4425</v>
      </c>
      <c r="H1604" s="9" t="s">
        <v>4426</v>
      </c>
      <c r="I1604" s="10">
        <v>45533</v>
      </c>
    </row>
    <row r="1605" spans="1:9" x14ac:dyDescent="0.15">
      <c r="A1605" s="9">
        <v>1604</v>
      </c>
      <c r="B1605" s="9" t="s">
        <v>9</v>
      </c>
      <c r="C1605" s="9">
        <v>1912</v>
      </c>
      <c r="D1605" s="10">
        <v>45616</v>
      </c>
      <c r="E1605" s="13" t="str">
        <f>+HYPERLINK("http://trademark.i-assist.jp/data/china/image_1912th/80634080.pdf","80634080")</f>
        <v>80634080</v>
      </c>
      <c r="F1605" s="9" t="s">
        <v>4427</v>
      </c>
      <c r="G1605" s="9" t="s">
        <v>4428</v>
      </c>
      <c r="H1605" s="12" t="s">
        <v>4429</v>
      </c>
      <c r="I1605" s="10">
        <v>45533</v>
      </c>
    </row>
    <row r="1606" spans="1:9" x14ac:dyDescent="0.15">
      <c r="A1606" s="9">
        <v>1605</v>
      </c>
      <c r="B1606" s="9" t="s">
        <v>9</v>
      </c>
      <c r="C1606" s="9">
        <v>1912</v>
      </c>
      <c r="D1606" s="10">
        <v>45616</v>
      </c>
      <c r="E1606" s="13" t="str">
        <f>+HYPERLINK("http://trademark.i-assist.jp/data/china/image_1912th/80634451.pdf","80634451")</f>
        <v>80634451</v>
      </c>
      <c r="F1606" s="9" t="s">
        <v>4430</v>
      </c>
      <c r="G1606" s="9" t="s">
        <v>4431</v>
      </c>
      <c r="H1606" s="9" t="s">
        <v>4432</v>
      </c>
      <c r="I1606" s="10">
        <v>45533</v>
      </c>
    </row>
    <row r="1607" spans="1:9" x14ac:dyDescent="0.15">
      <c r="A1607" s="9">
        <v>1606</v>
      </c>
      <c r="B1607" s="9" t="s">
        <v>9</v>
      </c>
      <c r="C1607" s="9">
        <v>1912</v>
      </c>
      <c r="D1607" s="10">
        <v>45616</v>
      </c>
      <c r="E1607" s="13" t="str">
        <f>+HYPERLINK("http://trademark.i-assist.jp/data/china/image_1912th/80634574.pdf","80634574")</f>
        <v>80634574</v>
      </c>
      <c r="F1607" s="12" t="s">
        <v>4433</v>
      </c>
      <c r="G1607" s="12" t="s">
        <v>4434</v>
      </c>
      <c r="H1607" s="9" t="s">
        <v>4435</v>
      </c>
      <c r="I1607" s="10">
        <v>45533</v>
      </c>
    </row>
    <row r="1608" spans="1:9" x14ac:dyDescent="0.15">
      <c r="A1608" s="9">
        <v>1607</v>
      </c>
      <c r="B1608" s="9" t="s">
        <v>9</v>
      </c>
      <c r="C1608" s="9">
        <v>1912</v>
      </c>
      <c r="D1608" s="10">
        <v>45616</v>
      </c>
      <c r="E1608" s="13" t="str">
        <f>+HYPERLINK("http://trademark.i-assist.jp/data/china/image_1912th/80634582.pdf","80634582")</f>
        <v>80634582</v>
      </c>
      <c r="F1608" s="12" t="s">
        <v>4436</v>
      </c>
      <c r="G1608" s="12" t="s">
        <v>4434</v>
      </c>
      <c r="H1608" s="9" t="s">
        <v>4437</v>
      </c>
      <c r="I1608" s="10">
        <v>45533</v>
      </c>
    </row>
    <row r="1609" spans="1:9" x14ac:dyDescent="0.15">
      <c r="A1609" s="9">
        <v>1608</v>
      </c>
      <c r="B1609" s="9" t="s">
        <v>9</v>
      </c>
      <c r="C1609" s="9">
        <v>1912</v>
      </c>
      <c r="D1609" s="10">
        <v>45616</v>
      </c>
      <c r="E1609" s="13" t="str">
        <f>+HYPERLINK("http://trademark.i-assist.jp/data/china/image_1912th/80634873.pdf","80634873")</f>
        <v>80634873</v>
      </c>
      <c r="F1609" s="12" t="s">
        <v>4438</v>
      </c>
      <c r="G1609" s="9" t="s">
        <v>4439</v>
      </c>
      <c r="H1609" s="9" t="s">
        <v>4440</v>
      </c>
      <c r="I1609" s="10">
        <v>45533</v>
      </c>
    </row>
    <row r="1610" spans="1:9" x14ac:dyDescent="0.15">
      <c r="A1610" s="9">
        <v>1609</v>
      </c>
      <c r="B1610" s="9" t="s">
        <v>9</v>
      </c>
      <c r="C1610" s="9">
        <v>1912</v>
      </c>
      <c r="D1610" s="10">
        <v>45616</v>
      </c>
      <c r="E1610" s="13" t="str">
        <f>+HYPERLINK("http://trademark.i-assist.jp/data/china/image_1912th/80635040.pdf","80635040")</f>
        <v>80635040</v>
      </c>
      <c r="F1610" s="9" t="s">
        <v>4441</v>
      </c>
      <c r="G1610" s="9" t="s">
        <v>4442</v>
      </c>
      <c r="H1610" s="9" t="s">
        <v>4443</v>
      </c>
      <c r="I1610" s="10">
        <v>45533</v>
      </c>
    </row>
    <row r="1611" spans="1:9" x14ac:dyDescent="0.15">
      <c r="A1611" s="9">
        <v>1610</v>
      </c>
      <c r="B1611" s="9" t="s">
        <v>9</v>
      </c>
      <c r="C1611" s="9">
        <v>1912</v>
      </c>
      <c r="D1611" s="10">
        <v>45616</v>
      </c>
      <c r="E1611" s="13" t="str">
        <f>+HYPERLINK("http://trademark.i-assist.jp/data/china/image_1912th/80635128.pdf","80635128")</f>
        <v>80635128</v>
      </c>
      <c r="F1611" s="12" t="s">
        <v>4444</v>
      </c>
      <c r="G1611" s="9" t="s">
        <v>4445</v>
      </c>
      <c r="H1611" s="9" t="s">
        <v>4446</v>
      </c>
      <c r="I1611" s="10">
        <v>45533</v>
      </c>
    </row>
    <row r="1612" spans="1:9" x14ac:dyDescent="0.15">
      <c r="A1612" s="9">
        <v>1611</v>
      </c>
      <c r="B1612" s="9" t="s">
        <v>9</v>
      </c>
      <c r="C1612" s="9">
        <v>1912</v>
      </c>
      <c r="D1612" s="10">
        <v>45616</v>
      </c>
      <c r="E1612" s="13" t="str">
        <f>+HYPERLINK("http://trademark.i-assist.jp/data/china/image_1912th/80635133.pdf","80635133")</f>
        <v>80635133</v>
      </c>
      <c r="F1612" s="9" t="s">
        <v>4447</v>
      </c>
      <c r="G1612" s="9" t="s">
        <v>4448</v>
      </c>
      <c r="H1612" s="9" t="s">
        <v>4449</v>
      </c>
      <c r="I1612" s="10">
        <v>45533</v>
      </c>
    </row>
    <row r="1613" spans="1:9" x14ac:dyDescent="0.15">
      <c r="A1613" s="9">
        <v>1612</v>
      </c>
      <c r="B1613" s="9" t="s">
        <v>9</v>
      </c>
      <c r="C1613" s="9">
        <v>1912</v>
      </c>
      <c r="D1613" s="10">
        <v>45616</v>
      </c>
      <c r="E1613" s="13" t="str">
        <f>+HYPERLINK("http://trademark.i-assist.jp/data/china/image_1912th/80635148.pdf","80635148")</f>
        <v>80635148</v>
      </c>
      <c r="F1613" s="9" t="s">
        <v>4450</v>
      </c>
      <c r="G1613" s="9" t="s">
        <v>4451</v>
      </c>
      <c r="H1613" s="12" t="s">
        <v>4452</v>
      </c>
      <c r="I1613" s="10">
        <v>45533</v>
      </c>
    </row>
    <row r="1614" spans="1:9" x14ac:dyDescent="0.15">
      <c r="A1614" s="9">
        <v>1613</v>
      </c>
      <c r="B1614" s="9" t="s">
        <v>9</v>
      </c>
      <c r="C1614" s="9">
        <v>1912</v>
      </c>
      <c r="D1614" s="10">
        <v>45616</v>
      </c>
      <c r="E1614" s="13" t="str">
        <f>+HYPERLINK("http://trademark.i-assist.jp/data/china/image_1912th/80635497.pdf","80635497")</f>
        <v>80635497</v>
      </c>
      <c r="F1614" s="12" t="s">
        <v>15</v>
      </c>
      <c r="G1614" s="9" t="s">
        <v>4453</v>
      </c>
      <c r="H1614" s="9" t="s">
        <v>4454</v>
      </c>
      <c r="I1614" s="10">
        <v>45533</v>
      </c>
    </row>
    <row r="1615" spans="1:9" x14ac:dyDescent="0.15">
      <c r="A1615" s="9">
        <v>1614</v>
      </c>
      <c r="B1615" s="9" t="s">
        <v>9</v>
      </c>
      <c r="C1615" s="9">
        <v>1912</v>
      </c>
      <c r="D1615" s="10">
        <v>45616</v>
      </c>
      <c r="E1615" s="13" t="str">
        <f>+HYPERLINK("http://trademark.i-assist.jp/data/china/image_1912th/80635733.pdf","80635733")</f>
        <v>80635733</v>
      </c>
      <c r="F1615" s="9" t="s">
        <v>4455</v>
      </c>
      <c r="G1615" s="9" t="s">
        <v>4456</v>
      </c>
      <c r="H1615" s="12" t="s">
        <v>4457</v>
      </c>
      <c r="I1615" s="10">
        <v>45533</v>
      </c>
    </row>
    <row r="1616" spans="1:9" x14ac:dyDescent="0.15">
      <c r="A1616" s="9">
        <v>1615</v>
      </c>
      <c r="B1616" s="9" t="s">
        <v>9</v>
      </c>
      <c r="C1616" s="9">
        <v>1912</v>
      </c>
      <c r="D1616" s="10">
        <v>45616</v>
      </c>
      <c r="E1616" s="13" t="str">
        <f>+HYPERLINK("http://trademark.i-assist.jp/data/china/image_1912th/80635782.pdf","80635782")</f>
        <v>80635782</v>
      </c>
      <c r="F1616" s="9" t="s">
        <v>4458</v>
      </c>
      <c r="G1616" s="9" t="s">
        <v>4459</v>
      </c>
      <c r="H1616" s="9" t="s">
        <v>4460</v>
      </c>
      <c r="I1616" s="10">
        <v>45533</v>
      </c>
    </row>
    <row r="1617" spans="1:9" x14ac:dyDescent="0.15">
      <c r="A1617" s="9">
        <v>1616</v>
      </c>
      <c r="B1617" s="9" t="s">
        <v>9</v>
      </c>
      <c r="C1617" s="9">
        <v>1912</v>
      </c>
      <c r="D1617" s="10">
        <v>45616</v>
      </c>
      <c r="E1617" s="13" t="str">
        <f>+HYPERLINK("http://trademark.i-assist.jp/data/china/image_1912th/80635863.pdf","80635863")</f>
        <v>80635863</v>
      </c>
      <c r="F1617" s="12" t="s">
        <v>4461</v>
      </c>
      <c r="G1617" s="9" t="s">
        <v>4364</v>
      </c>
      <c r="H1617" s="9" t="s">
        <v>4462</v>
      </c>
      <c r="I1617" s="10">
        <v>45533</v>
      </c>
    </row>
    <row r="1618" spans="1:9" x14ac:dyDescent="0.15">
      <c r="A1618" s="9">
        <v>1617</v>
      </c>
      <c r="B1618" s="9" t="s">
        <v>9</v>
      </c>
      <c r="C1618" s="9">
        <v>1912</v>
      </c>
      <c r="D1618" s="10">
        <v>45616</v>
      </c>
      <c r="E1618" s="13" t="str">
        <f>+HYPERLINK("http://trademark.i-assist.jp/data/china/image_1912th/80636075.pdf","80636075")</f>
        <v>80636075</v>
      </c>
      <c r="F1618" s="9" t="s">
        <v>4463</v>
      </c>
      <c r="G1618" s="9" t="s">
        <v>4464</v>
      </c>
      <c r="H1618" s="9" t="s">
        <v>4465</v>
      </c>
      <c r="I1618" s="10">
        <v>45533</v>
      </c>
    </row>
    <row r="1619" spans="1:9" x14ac:dyDescent="0.15">
      <c r="A1619" s="9">
        <v>1618</v>
      </c>
      <c r="B1619" s="9" t="s">
        <v>9</v>
      </c>
      <c r="C1619" s="9">
        <v>1912</v>
      </c>
      <c r="D1619" s="10">
        <v>45616</v>
      </c>
      <c r="E1619" s="13" t="str">
        <f>+HYPERLINK("http://trademark.i-assist.jp/data/china/image_1912th/80636266.pdf","80636266")</f>
        <v>80636266</v>
      </c>
      <c r="F1619" s="9" t="s">
        <v>4466</v>
      </c>
      <c r="G1619" s="9" t="s">
        <v>4062</v>
      </c>
      <c r="H1619" s="12" t="s">
        <v>4467</v>
      </c>
      <c r="I1619" s="10">
        <v>45533</v>
      </c>
    </row>
    <row r="1620" spans="1:9" x14ac:dyDescent="0.15">
      <c r="A1620" s="9">
        <v>1619</v>
      </c>
      <c r="B1620" s="9" t="s">
        <v>9</v>
      </c>
      <c r="C1620" s="9">
        <v>1912</v>
      </c>
      <c r="D1620" s="10">
        <v>45616</v>
      </c>
      <c r="E1620" s="13" t="str">
        <f>+HYPERLINK("http://trademark.i-assist.jp/data/china/image_1912th/80636458.pdf","80636458")</f>
        <v>80636458</v>
      </c>
      <c r="F1620" s="12" t="s">
        <v>15</v>
      </c>
      <c r="G1620" s="12" t="s">
        <v>4468</v>
      </c>
      <c r="H1620" s="9" t="s">
        <v>4469</v>
      </c>
      <c r="I1620" s="10">
        <v>45533</v>
      </c>
    </row>
    <row r="1621" spans="1:9" x14ac:dyDescent="0.15">
      <c r="A1621" s="9">
        <v>1620</v>
      </c>
      <c r="B1621" s="9" t="s">
        <v>9</v>
      </c>
      <c r="C1621" s="9">
        <v>1912</v>
      </c>
      <c r="D1621" s="10">
        <v>45616</v>
      </c>
      <c r="E1621" s="13" t="str">
        <f>+HYPERLINK("http://trademark.i-assist.jp/data/china/image_1912th/80636511.pdf","80636511")</f>
        <v>80636511</v>
      </c>
      <c r="F1621" s="9" t="s">
        <v>4470</v>
      </c>
      <c r="G1621" s="12" t="s">
        <v>4313</v>
      </c>
      <c r="H1621" s="9" t="s">
        <v>4471</v>
      </c>
      <c r="I1621" s="10">
        <v>45533</v>
      </c>
    </row>
    <row r="1622" spans="1:9" x14ac:dyDescent="0.15">
      <c r="A1622" s="9">
        <v>1621</v>
      </c>
      <c r="B1622" s="9" t="s">
        <v>9</v>
      </c>
      <c r="C1622" s="9">
        <v>1912</v>
      </c>
      <c r="D1622" s="10">
        <v>45616</v>
      </c>
      <c r="E1622" s="13" t="str">
        <f>+HYPERLINK("http://trademark.i-assist.jp/data/china/image_1912th/80636967.pdf","80636967")</f>
        <v>80636967</v>
      </c>
      <c r="F1622" s="9" t="s">
        <v>4472</v>
      </c>
      <c r="G1622" s="9" t="s">
        <v>4473</v>
      </c>
      <c r="H1622" s="9" t="s">
        <v>4474</v>
      </c>
      <c r="I1622" s="10">
        <v>45533</v>
      </c>
    </row>
    <row r="1623" spans="1:9" x14ac:dyDescent="0.15">
      <c r="A1623" s="9">
        <v>1622</v>
      </c>
      <c r="B1623" s="9" t="s">
        <v>9</v>
      </c>
      <c r="C1623" s="9">
        <v>1912</v>
      </c>
      <c r="D1623" s="10">
        <v>45616</v>
      </c>
      <c r="E1623" s="13" t="str">
        <f>+HYPERLINK("http://trademark.i-assist.jp/data/china/image_1912th/80637013.pdf","80637013")</f>
        <v>80637013</v>
      </c>
      <c r="F1623" s="12" t="s">
        <v>4475</v>
      </c>
      <c r="G1623" s="9" t="s">
        <v>4364</v>
      </c>
      <c r="H1623" s="9" t="s">
        <v>4476</v>
      </c>
      <c r="I1623" s="10">
        <v>45533</v>
      </c>
    </row>
    <row r="1624" spans="1:9" x14ac:dyDescent="0.15">
      <c r="A1624" s="9">
        <v>1623</v>
      </c>
      <c r="B1624" s="9" t="s">
        <v>9</v>
      </c>
      <c r="C1624" s="9">
        <v>1912</v>
      </c>
      <c r="D1624" s="10">
        <v>45616</v>
      </c>
      <c r="E1624" s="13" t="str">
        <f>+HYPERLINK("http://trademark.i-assist.jp/data/china/image_1912th/80637688.pdf","80637688")</f>
        <v>80637688</v>
      </c>
      <c r="F1624" s="9" t="s">
        <v>4477</v>
      </c>
      <c r="G1624" s="9" t="s">
        <v>4478</v>
      </c>
      <c r="H1624" s="9" t="s">
        <v>4479</v>
      </c>
      <c r="I1624" s="10">
        <v>45533</v>
      </c>
    </row>
    <row r="1625" spans="1:9" x14ac:dyDescent="0.15">
      <c r="A1625" s="9">
        <v>1624</v>
      </c>
      <c r="B1625" s="9" t="s">
        <v>9</v>
      </c>
      <c r="C1625" s="9">
        <v>1912</v>
      </c>
      <c r="D1625" s="10">
        <v>45616</v>
      </c>
      <c r="E1625" s="13" t="str">
        <f>+HYPERLINK("http://trademark.i-assist.jp/data/china/image_1912th/80637692.pdf","80637692")</f>
        <v>80637692</v>
      </c>
      <c r="F1625" s="9" t="s">
        <v>4480</v>
      </c>
      <c r="G1625" s="12" t="s">
        <v>4481</v>
      </c>
      <c r="H1625" s="9" t="s">
        <v>4482</v>
      </c>
      <c r="I1625" s="10">
        <v>45533</v>
      </c>
    </row>
    <row r="1626" spans="1:9" x14ac:dyDescent="0.15">
      <c r="A1626" s="9">
        <v>1625</v>
      </c>
      <c r="B1626" s="9" t="s">
        <v>9</v>
      </c>
      <c r="C1626" s="9">
        <v>1912</v>
      </c>
      <c r="D1626" s="10">
        <v>45616</v>
      </c>
      <c r="E1626" s="13" t="str">
        <f>+HYPERLINK("http://trademark.i-assist.jp/data/china/image_1912th/80637746.pdf","80637746")</f>
        <v>80637746</v>
      </c>
      <c r="F1626" s="12" t="s">
        <v>15</v>
      </c>
      <c r="G1626" s="12" t="s">
        <v>4483</v>
      </c>
      <c r="H1626" s="9" t="s">
        <v>4484</v>
      </c>
      <c r="I1626" s="10">
        <v>45533</v>
      </c>
    </row>
    <row r="1627" spans="1:9" x14ac:dyDescent="0.15">
      <c r="A1627" s="9">
        <v>1626</v>
      </c>
      <c r="B1627" s="9" t="s">
        <v>9</v>
      </c>
      <c r="C1627" s="9">
        <v>1912</v>
      </c>
      <c r="D1627" s="10">
        <v>45616</v>
      </c>
      <c r="E1627" s="13" t="str">
        <f>+HYPERLINK("http://trademark.i-assist.jp/data/china/image_1912th/80637763.pdf","80637763")</f>
        <v>80637763</v>
      </c>
      <c r="F1627" s="9" t="s">
        <v>4485</v>
      </c>
      <c r="G1627" s="9" t="s">
        <v>4486</v>
      </c>
      <c r="H1627" s="9" t="s">
        <v>4487</v>
      </c>
      <c r="I1627" s="10">
        <v>45533</v>
      </c>
    </row>
    <row r="1628" spans="1:9" x14ac:dyDescent="0.15">
      <c r="A1628" s="9">
        <v>1627</v>
      </c>
      <c r="B1628" s="9" t="s">
        <v>9</v>
      </c>
      <c r="C1628" s="9">
        <v>1912</v>
      </c>
      <c r="D1628" s="10">
        <v>45616</v>
      </c>
      <c r="E1628" s="13" t="str">
        <f>+HYPERLINK("http://trademark.i-assist.jp/data/china/image_1912th/80638250.pdf","80638250")</f>
        <v>80638250</v>
      </c>
      <c r="F1628" s="9" t="s">
        <v>4488</v>
      </c>
      <c r="G1628" s="9" t="s">
        <v>4489</v>
      </c>
      <c r="H1628" s="9" t="s">
        <v>4490</v>
      </c>
      <c r="I1628" s="10">
        <v>45533</v>
      </c>
    </row>
    <row r="1629" spans="1:9" x14ac:dyDescent="0.15">
      <c r="A1629" s="9">
        <v>1628</v>
      </c>
      <c r="B1629" s="9" t="s">
        <v>9</v>
      </c>
      <c r="C1629" s="9">
        <v>1912</v>
      </c>
      <c r="D1629" s="10">
        <v>45616</v>
      </c>
      <c r="E1629" s="13" t="str">
        <f>+HYPERLINK("http://trademark.i-assist.jp/data/china/image_1912th/80638339.pdf","80638339")</f>
        <v>80638339</v>
      </c>
      <c r="F1629" s="12" t="s">
        <v>4491</v>
      </c>
      <c r="G1629" s="9" t="s">
        <v>4283</v>
      </c>
      <c r="H1629" s="12" t="s">
        <v>4492</v>
      </c>
      <c r="I1629" s="10">
        <v>45533</v>
      </c>
    </row>
    <row r="1630" spans="1:9" x14ac:dyDescent="0.15">
      <c r="A1630" s="9">
        <v>1629</v>
      </c>
      <c r="B1630" s="9" t="s">
        <v>9</v>
      </c>
      <c r="C1630" s="9">
        <v>1912</v>
      </c>
      <c r="D1630" s="10">
        <v>45616</v>
      </c>
      <c r="E1630" s="13" t="str">
        <f>+HYPERLINK("http://trademark.i-assist.jp/data/china/image_1912th/80638351.pdf","80638351")</f>
        <v>80638351</v>
      </c>
      <c r="F1630" s="9" t="s">
        <v>4493</v>
      </c>
      <c r="G1630" s="9" t="s">
        <v>4283</v>
      </c>
      <c r="H1630" s="9" t="s">
        <v>4494</v>
      </c>
      <c r="I1630" s="10">
        <v>45533</v>
      </c>
    </row>
    <row r="1631" spans="1:9" x14ac:dyDescent="0.15">
      <c r="A1631" s="9">
        <v>1630</v>
      </c>
      <c r="B1631" s="9" t="s">
        <v>9</v>
      </c>
      <c r="C1631" s="9">
        <v>1912</v>
      </c>
      <c r="D1631" s="10">
        <v>45616</v>
      </c>
      <c r="E1631" s="13" t="str">
        <f>+HYPERLINK("http://trademark.i-assist.jp/data/china/image_1912th/80638374.pdf","80638374")</f>
        <v>80638374</v>
      </c>
      <c r="F1631" s="9" t="s">
        <v>4495</v>
      </c>
      <c r="G1631" s="9" t="s">
        <v>4496</v>
      </c>
      <c r="H1631" s="9" t="s">
        <v>4497</v>
      </c>
      <c r="I1631" s="10">
        <v>45533</v>
      </c>
    </row>
    <row r="1632" spans="1:9" x14ac:dyDescent="0.15">
      <c r="A1632" s="9">
        <v>1631</v>
      </c>
      <c r="B1632" s="9" t="s">
        <v>9</v>
      </c>
      <c r="C1632" s="9">
        <v>1912</v>
      </c>
      <c r="D1632" s="10">
        <v>45616</v>
      </c>
      <c r="E1632" s="13" t="str">
        <f>+HYPERLINK("http://trademark.i-assist.jp/data/china/image_1912th/80638442.pdf","80638442")</f>
        <v>80638442</v>
      </c>
      <c r="F1632" s="9" t="s">
        <v>4498</v>
      </c>
      <c r="G1632" s="9" t="s">
        <v>4499</v>
      </c>
      <c r="H1632" s="9" t="s">
        <v>4500</v>
      </c>
      <c r="I1632" s="10">
        <v>45533</v>
      </c>
    </row>
    <row r="1633" spans="1:9" x14ac:dyDescent="0.15">
      <c r="A1633" s="9">
        <v>1632</v>
      </c>
      <c r="B1633" s="9" t="s">
        <v>9</v>
      </c>
      <c r="C1633" s="9">
        <v>1912</v>
      </c>
      <c r="D1633" s="10">
        <v>45616</v>
      </c>
      <c r="E1633" s="13" t="str">
        <f>+HYPERLINK("http://trademark.i-assist.jp/data/china/image_1912th/80638929.pdf","80638929")</f>
        <v>80638929</v>
      </c>
      <c r="F1633" s="12" t="s">
        <v>4501</v>
      </c>
      <c r="G1633" s="9" t="s">
        <v>4502</v>
      </c>
      <c r="H1633" s="9" t="s">
        <v>4503</v>
      </c>
      <c r="I1633" s="10">
        <v>45533</v>
      </c>
    </row>
    <row r="1634" spans="1:9" x14ac:dyDescent="0.15">
      <c r="A1634" s="9">
        <v>1633</v>
      </c>
      <c r="B1634" s="9" t="s">
        <v>9</v>
      </c>
      <c r="C1634" s="9">
        <v>1912</v>
      </c>
      <c r="D1634" s="10">
        <v>45616</v>
      </c>
      <c r="E1634" s="13" t="str">
        <f>+HYPERLINK("http://trademark.i-assist.jp/data/china/image_1912th/80639053.pdf","80639053")</f>
        <v>80639053</v>
      </c>
      <c r="F1634" s="9" t="s">
        <v>4504</v>
      </c>
      <c r="G1634" s="12" t="s">
        <v>4505</v>
      </c>
      <c r="H1634" s="9" t="s">
        <v>4506</v>
      </c>
      <c r="I1634" s="10">
        <v>45533</v>
      </c>
    </row>
    <row r="1635" spans="1:9" x14ac:dyDescent="0.15">
      <c r="A1635" s="9">
        <v>1634</v>
      </c>
      <c r="B1635" s="9" t="s">
        <v>9</v>
      </c>
      <c r="C1635" s="9">
        <v>1912</v>
      </c>
      <c r="D1635" s="10">
        <v>45616</v>
      </c>
      <c r="E1635" s="13" t="str">
        <f>+HYPERLINK("http://trademark.i-assist.jp/data/china/image_1912th/80639174.pdf","80639174")</f>
        <v>80639174</v>
      </c>
      <c r="F1635" s="9" t="s">
        <v>4507</v>
      </c>
      <c r="G1635" s="9" t="s">
        <v>4508</v>
      </c>
      <c r="H1635" s="9" t="s">
        <v>4509</v>
      </c>
      <c r="I1635" s="10">
        <v>45533</v>
      </c>
    </row>
    <row r="1636" spans="1:9" x14ac:dyDescent="0.15">
      <c r="A1636" s="9">
        <v>1635</v>
      </c>
      <c r="B1636" s="9" t="s">
        <v>9</v>
      </c>
      <c r="C1636" s="9">
        <v>1912</v>
      </c>
      <c r="D1636" s="10">
        <v>45616</v>
      </c>
      <c r="E1636" s="13" t="str">
        <f>+HYPERLINK("http://trademark.i-assist.jp/data/china/image_1912th/80639198.pdf","80639198")</f>
        <v>80639198</v>
      </c>
      <c r="F1636" s="9" t="s">
        <v>4510</v>
      </c>
      <c r="G1636" s="9" t="s">
        <v>4511</v>
      </c>
      <c r="H1636" s="9" t="s">
        <v>4512</v>
      </c>
      <c r="I1636" s="10">
        <v>45533</v>
      </c>
    </row>
    <row r="1637" spans="1:9" x14ac:dyDescent="0.15">
      <c r="A1637" s="9">
        <v>1636</v>
      </c>
      <c r="B1637" s="9" t="s">
        <v>9</v>
      </c>
      <c r="C1637" s="9">
        <v>1912</v>
      </c>
      <c r="D1637" s="10">
        <v>45616</v>
      </c>
      <c r="E1637" s="13" t="str">
        <f>+HYPERLINK("http://trademark.i-assist.jp/data/china/image_1912th/80639729.pdf","80639729")</f>
        <v>80639729</v>
      </c>
      <c r="F1637" s="9" t="s">
        <v>4513</v>
      </c>
      <c r="G1637" s="12" t="s">
        <v>4514</v>
      </c>
      <c r="H1637" s="9" t="s">
        <v>4515</v>
      </c>
      <c r="I1637" s="10">
        <v>45533</v>
      </c>
    </row>
    <row r="1638" spans="1:9" x14ac:dyDescent="0.15">
      <c r="A1638" s="9">
        <v>1637</v>
      </c>
      <c r="B1638" s="9" t="s">
        <v>9</v>
      </c>
      <c r="C1638" s="9">
        <v>1912</v>
      </c>
      <c r="D1638" s="10">
        <v>45616</v>
      </c>
      <c r="E1638" s="13" t="str">
        <f>+HYPERLINK("http://trademark.i-assist.jp/data/china/image_1912th/80639801.pdf","80639801")</f>
        <v>80639801</v>
      </c>
      <c r="F1638" s="9" t="s">
        <v>4516</v>
      </c>
      <c r="G1638" s="9" t="s">
        <v>4517</v>
      </c>
      <c r="H1638" s="9" t="s">
        <v>4518</v>
      </c>
      <c r="I1638" s="10">
        <v>45533</v>
      </c>
    </row>
    <row r="1639" spans="1:9" x14ac:dyDescent="0.15">
      <c r="A1639" s="9">
        <v>1638</v>
      </c>
      <c r="B1639" s="9" t="s">
        <v>9</v>
      </c>
      <c r="C1639" s="9">
        <v>1912</v>
      </c>
      <c r="D1639" s="10">
        <v>45616</v>
      </c>
      <c r="E1639" s="13" t="str">
        <f>+HYPERLINK("http://trademark.i-assist.jp/data/china/image_1912th/80639825.pdf","80639825")</f>
        <v>80639825</v>
      </c>
      <c r="F1639" s="9" t="s">
        <v>4519</v>
      </c>
      <c r="G1639" s="9" t="s">
        <v>4508</v>
      </c>
      <c r="H1639" s="9" t="s">
        <v>4520</v>
      </c>
      <c r="I1639" s="10">
        <v>45533</v>
      </c>
    </row>
    <row r="1640" spans="1:9" x14ac:dyDescent="0.15">
      <c r="A1640" s="9">
        <v>1639</v>
      </c>
      <c r="B1640" s="9" t="s">
        <v>9</v>
      </c>
      <c r="C1640" s="9">
        <v>1912</v>
      </c>
      <c r="D1640" s="10">
        <v>45616</v>
      </c>
      <c r="E1640" s="13" t="str">
        <f>+HYPERLINK("http://trademark.i-assist.jp/data/china/image_1912th/80639932.pdf","80639932")</f>
        <v>80639932</v>
      </c>
      <c r="F1640" s="9" t="s">
        <v>4521</v>
      </c>
      <c r="G1640" s="9" t="s">
        <v>4522</v>
      </c>
      <c r="H1640" s="9" t="s">
        <v>4523</v>
      </c>
      <c r="I1640" s="10">
        <v>45533</v>
      </c>
    </row>
    <row r="1641" spans="1:9" x14ac:dyDescent="0.15">
      <c r="A1641" s="9">
        <v>1640</v>
      </c>
      <c r="B1641" s="9" t="s">
        <v>9</v>
      </c>
      <c r="C1641" s="9">
        <v>1912</v>
      </c>
      <c r="D1641" s="10">
        <v>45616</v>
      </c>
      <c r="E1641" s="13" t="str">
        <f>+HYPERLINK("http://trademark.i-assist.jp/data/china/image_1912th/80639956.pdf","80639956")</f>
        <v>80639956</v>
      </c>
      <c r="F1641" s="11" t="s">
        <v>4524</v>
      </c>
      <c r="G1641" s="9" t="s">
        <v>4525</v>
      </c>
      <c r="H1641" s="9" t="s">
        <v>4526</v>
      </c>
      <c r="I1641" s="10">
        <v>45533</v>
      </c>
    </row>
    <row r="1642" spans="1:9" x14ac:dyDescent="0.15">
      <c r="A1642" s="9">
        <v>1641</v>
      </c>
      <c r="B1642" s="9" t="s">
        <v>9</v>
      </c>
      <c r="C1642" s="9">
        <v>1912</v>
      </c>
      <c r="D1642" s="10">
        <v>45616</v>
      </c>
      <c r="E1642" s="13" t="str">
        <f>+HYPERLINK("http://trademark.i-assist.jp/data/china/image_1912th/80640159.pdf","80640159")</f>
        <v>80640159</v>
      </c>
      <c r="F1642" s="9" t="s">
        <v>4527</v>
      </c>
      <c r="G1642" s="9" t="s">
        <v>4528</v>
      </c>
      <c r="H1642" s="9" t="s">
        <v>4529</v>
      </c>
      <c r="I1642" s="10">
        <v>45533</v>
      </c>
    </row>
    <row r="1643" spans="1:9" x14ac:dyDescent="0.15">
      <c r="A1643" s="9">
        <v>1642</v>
      </c>
      <c r="B1643" s="9" t="s">
        <v>9</v>
      </c>
      <c r="C1643" s="9">
        <v>1912</v>
      </c>
      <c r="D1643" s="10">
        <v>45616</v>
      </c>
      <c r="E1643" s="13" t="str">
        <f>+HYPERLINK("http://trademark.i-assist.jp/data/china/image_1912th/80640320.pdf","80640320")</f>
        <v>80640320</v>
      </c>
      <c r="F1643" s="9" t="s">
        <v>4530</v>
      </c>
      <c r="G1643" s="9" t="s">
        <v>4531</v>
      </c>
      <c r="H1643" s="9" t="s">
        <v>4532</v>
      </c>
      <c r="I1643" s="10">
        <v>45533</v>
      </c>
    </row>
    <row r="1644" spans="1:9" x14ac:dyDescent="0.15">
      <c r="A1644" s="9">
        <v>1643</v>
      </c>
      <c r="B1644" s="9" t="s">
        <v>9</v>
      </c>
      <c r="C1644" s="9">
        <v>1912</v>
      </c>
      <c r="D1644" s="10">
        <v>45616</v>
      </c>
      <c r="E1644" s="13" t="str">
        <f>+HYPERLINK("http://trademark.i-assist.jp/data/china/image_1912th/80640380.pdf","80640380")</f>
        <v>80640380</v>
      </c>
      <c r="F1644" s="9" t="s">
        <v>4533</v>
      </c>
      <c r="G1644" s="9" t="s">
        <v>4534</v>
      </c>
      <c r="H1644" s="9" t="s">
        <v>4535</v>
      </c>
      <c r="I1644" s="10">
        <v>45533</v>
      </c>
    </row>
    <row r="1645" spans="1:9" x14ac:dyDescent="0.15">
      <c r="A1645" s="9">
        <v>1644</v>
      </c>
      <c r="B1645" s="9" t="s">
        <v>9</v>
      </c>
      <c r="C1645" s="9">
        <v>1912</v>
      </c>
      <c r="D1645" s="10">
        <v>45616</v>
      </c>
      <c r="E1645" s="13" t="str">
        <f>+HYPERLINK("http://trademark.i-assist.jp/data/china/image_1912th/80640385.pdf","80640385")</f>
        <v>80640385</v>
      </c>
      <c r="F1645" s="9" t="s">
        <v>4536</v>
      </c>
      <c r="G1645" s="9" t="s">
        <v>4537</v>
      </c>
      <c r="H1645" s="9" t="s">
        <v>4538</v>
      </c>
      <c r="I1645" s="10">
        <v>45533</v>
      </c>
    </row>
    <row r="1646" spans="1:9" x14ac:dyDescent="0.15">
      <c r="A1646" s="9">
        <v>1645</v>
      </c>
      <c r="B1646" s="9" t="s">
        <v>9</v>
      </c>
      <c r="C1646" s="9">
        <v>1912</v>
      </c>
      <c r="D1646" s="10">
        <v>45616</v>
      </c>
      <c r="E1646" s="13" t="str">
        <f>+HYPERLINK("http://trademark.i-assist.jp/data/china/image_1912th/80640397.pdf","80640397")</f>
        <v>80640397</v>
      </c>
      <c r="F1646" s="9" t="s">
        <v>4539</v>
      </c>
      <c r="G1646" s="12" t="s">
        <v>4540</v>
      </c>
      <c r="H1646" s="9" t="s">
        <v>4541</v>
      </c>
      <c r="I1646" s="10">
        <v>45533</v>
      </c>
    </row>
    <row r="1647" spans="1:9" x14ac:dyDescent="0.15">
      <c r="A1647" s="9">
        <v>1646</v>
      </c>
      <c r="B1647" s="9" t="s">
        <v>9</v>
      </c>
      <c r="C1647" s="9">
        <v>1912</v>
      </c>
      <c r="D1647" s="10">
        <v>45616</v>
      </c>
      <c r="E1647" s="13" t="str">
        <f>+HYPERLINK("http://trademark.i-assist.jp/data/china/image_1912th/80640482.pdf","80640482")</f>
        <v>80640482</v>
      </c>
      <c r="F1647" s="12" t="s">
        <v>4542</v>
      </c>
      <c r="G1647" s="9" t="s">
        <v>4543</v>
      </c>
      <c r="H1647" s="9" t="s">
        <v>4544</v>
      </c>
      <c r="I1647" s="10">
        <v>45533</v>
      </c>
    </row>
    <row r="1648" spans="1:9" x14ac:dyDescent="0.15">
      <c r="A1648" s="9">
        <v>1647</v>
      </c>
      <c r="B1648" s="9" t="s">
        <v>9</v>
      </c>
      <c r="C1648" s="9">
        <v>1912</v>
      </c>
      <c r="D1648" s="10">
        <v>45616</v>
      </c>
      <c r="E1648" s="13" t="str">
        <f>+HYPERLINK("http://trademark.i-assist.jp/data/china/image_1912th/80640868.pdf","80640868")</f>
        <v>80640868</v>
      </c>
      <c r="F1648" s="9" t="s">
        <v>4545</v>
      </c>
      <c r="G1648" s="9" t="s">
        <v>4546</v>
      </c>
      <c r="H1648" s="9" t="s">
        <v>4547</v>
      </c>
      <c r="I1648" s="10">
        <v>45533</v>
      </c>
    </row>
    <row r="1649" spans="1:9" x14ac:dyDescent="0.15">
      <c r="A1649" s="9">
        <v>1648</v>
      </c>
      <c r="B1649" s="9" t="s">
        <v>9</v>
      </c>
      <c r="C1649" s="9">
        <v>1912</v>
      </c>
      <c r="D1649" s="10">
        <v>45616</v>
      </c>
      <c r="E1649" s="13" t="str">
        <f>+HYPERLINK("http://trademark.i-assist.jp/data/china/image_1912th/80641384.pdf","80641384")</f>
        <v>80641384</v>
      </c>
      <c r="F1649" s="9" t="s">
        <v>4548</v>
      </c>
      <c r="G1649" s="12" t="s">
        <v>4549</v>
      </c>
      <c r="H1649" s="9" t="s">
        <v>4550</v>
      </c>
      <c r="I1649" s="10">
        <v>45533</v>
      </c>
    </row>
    <row r="1650" spans="1:9" x14ac:dyDescent="0.15">
      <c r="A1650" s="9">
        <v>1649</v>
      </c>
      <c r="B1650" s="9" t="s">
        <v>9</v>
      </c>
      <c r="C1650" s="9">
        <v>1912</v>
      </c>
      <c r="D1650" s="10">
        <v>45616</v>
      </c>
      <c r="E1650" s="13" t="str">
        <f>+HYPERLINK("http://trademark.i-assist.jp/data/china/image_1912th/80641465.pdf","80641465")</f>
        <v>80641465</v>
      </c>
      <c r="F1650" s="9" t="s">
        <v>4551</v>
      </c>
      <c r="G1650" s="9" t="s">
        <v>4552</v>
      </c>
      <c r="H1650" s="9" t="s">
        <v>4553</v>
      </c>
      <c r="I1650" s="10">
        <v>45533</v>
      </c>
    </row>
    <row r="1651" spans="1:9" x14ac:dyDescent="0.15">
      <c r="A1651" s="9">
        <v>1650</v>
      </c>
      <c r="B1651" s="9" t="s">
        <v>9</v>
      </c>
      <c r="C1651" s="9">
        <v>1912</v>
      </c>
      <c r="D1651" s="10">
        <v>45616</v>
      </c>
      <c r="E1651" s="13" t="str">
        <f>+HYPERLINK("http://trademark.i-assist.jp/data/china/image_1912th/80641694.pdf","80641694")</f>
        <v>80641694</v>
      </c>
      <c r="F1651" s="9" t="s">
        <v>4554</v>
      </c>
      <c r="G1651" s="9" t="s">
        <v>4555</v>
      </c>
      <c r="H1651" s="9" t="s">
        <v>4556</v>
      </c>
      <c r="I1651" s="10">
        <v>45533</v>
      </c>
    </row>
    <row r="1652" spans="1:9" x14ac:dyDescent="0.15">
      <c r="A1652" s="9">
        <v>1651</v>
      </c>
      <c r="B1652" s="9" t="s">
        <v>9</v>
      </c>
      <c r="C1652" s="9">
        <v>1912</v>
      </c>
      <c r="D1652" s="10">
        <v>45616</v>
      </c>
      <c r="E1652" s="13" t="str">
        <f>+HYPERLINK("http://trademark.i-assist.jp/data/china/image_1912th/80641725.pdf","80641725")</f>
        <v>80641725</v>
      </c>
      <c r="F1652" s="9" t="s">
        <v>4557</v>
      </c>
      <c r="G1652" s="9" t="s">
        <v>4558</v>
      </c>
      <c r="H1652" s="9" t="s">
        <v>4559</v>
      </c>
      <c r="I1652" s="10">
        <v>45533</v>
      </c>
    </row>
    <row r="1653" spans="1:9" x14ac:dyDescent="0.15">
      <c r="A1653" s="9">
        <v>1652</v>
      </c>
      <c r="B1653" s="9" t="s">
        <v>9</v>
      </c>
      <c r="C1653" s="9">
        <v>1912</v>
      </c>
      <c r="D1653" s="10">
        <v>45616</v>
      </c>
      <c r="E1653" s="13" t="str">
        <f>+HYPERLINK("http://trademark.i-assist.jp/data/china/image_1912th/80641884.pdf","80641884")</f>
        <v>80641884</v>
      </c>
      <c r="F1653" s="9" t="s">
        <v>4560</v>
      </c>
      <c r="G1653" s="12" t="s">
        <v>4313</v>
      </c>
      <c r="H1653" s="9" t="s">
        <v>4561</v>
      </c>
      <c r="I1653" s="10">
        <v>45533</v>
      </c>
    </row>
    <row r="1654" spans="1:9" x14ac:dyDescent="0.15">
      <c r="A1654" s="9">
        <v>1653</v>
      </c>
      <c r="B1654" s="9" t="s">
        <v>9</v>
      </c>
      <c r="C1654" s="9">
        <v>1912</v>
      </c>
      <c r="D1654" s="10">
        <v>45616</v>
      </c>
      <c r="E1654" s="13" t="str">
        <f>+HYPERLINK("http://trademark.i-assist.jp/data/china/image_1912th/80642011.pdf","80642011")</f>
        <v>80642011</v>
      </c>
      <c r="F1654" s="12" t="s">
        <v>4562</v>
      </c>
      <c r="G1654" s="9" t="s">
        <v>4563</v>
      </c>
      <c r="H1654" s="9" t="s">
        <v>4564</v>
      </c>
      <c r="I1654" s="10">
        <v>45533</v>
      </c>
    </row>
    <row r="1655" spans="1:9" x14ac:dyDescent="0.15">
      <c r="A1655" s="9">
        <v>1654</v>
      </c>
      <c r="B1655" s="9" t="s">
        <v>9</v>
      </c>
      <c r="C1655" s="9">
        <v>1912</v>
      </c>
      <c r="D1655" s="10">
        <v>45616</v>
      </c>
      <c r="E1655" s="13" t="str">
        <f>+HYPERLINK("http://trademark.i-assist.jp/data/china/image_1912th/80642123.pdf","80642123")</f>
        <v>80642123</v>
      </c>
      <c r="F1655" s="12" t="s">
        <v>4565</v>
      </c>
      <c r="G1655" s="12" t="s">
        <v>4566</v>
      </c>
      <c r="H1655" s="9" t="s">
        <v>4567</v>
      </c>
      <c r="I1655" s="10">
        <v>45533</v>
      </c>
    </row>
    <row r="1656" spans="1:9" x14ac:dyDescent="0.15">
      <c r="A1656" s="9">
        <v>1655</v>
      </c>
      <c r="B1656" s="9" t="s">
        <v>9</v>
      </c>
      <c r="C1656" s="9">
        <v>1912</v>
      </c>
      <c r="D1656" s="10">
        <v>45616</v>
      </c>
      <c r="E1656" s="13" t="str">
        <f>+HYPERLINK("http://trademark.i-assist.jp/data/china/image_1912th/80642166.pdf","80642166")</f>
        <v>80642166</v>
      </c>
      <c r="F1656" s="9" t="s">
        <v>4568</v>
      </c>
      <c r="G1656" s="9" t="s">
        <v>4569</v>
      </c>
      <c r="H1656" s="9" t="s">
        <v>4570</v>
      </c>
      <c r="I1656" s="10">
        <v>45533</v>
      </c>
    </row>
    <row r="1657" spans="1:9" x14ac:dyDescent="0.15">
      <c r="A1657" s="9">
        <v>1656</v>
      </c>
      <c r="B1657" s="9" t="s">
        <v>9</v>
      </c>
      <c r="C1657" s="9">
        <v>1912</v>
      </c>
      <c r="D1657" s="10">
        <v>45616</v>
      </c>
      <c r="E1657" s="13" t="str">
        <f>+HYPERLINK("http://trademark.i-assist.jp/data/china/image_1912th/80642284.pdf","80642284")</f>
        <v>80642284</v>
      </c>
      <c r="F1657" s="12" t="s">
        <v>4571</v>
      </c>
      <c r="G1657" s="9" t="s">
        <v>3546</v>
      </c>
      <c r="H1657" s="9" t="s">
        <v>4572</v>
      </c>
      <c r="I1657" s="10">
        <v>45533</v>
      </c>
    </row>
    <row r="1658" spans="1:9" x14ac:dyDescent="0.15">
      <c r="A1658" s="9">
        <v>1657</v>
      </c>
      <c r="B1658" s="9" t="s">
        <v>9</v>
      </c>
      <c r="C1658" s="9">
        <v>1912</v>
      </c>
      <c r="D1658" s="10">
        <v>45616</v>
      </c>
      <c r="E1658" s="13" t="str">
        <f>+HYPERLINK("http://trademark.i-assist.jp/data/china/image_1912th/80642316.pdf","80642316")</f>
        <v>80642316</v>
      </c>
      <c r="F1658" s="9" t="s">
        <v>4573</v>
      </c>
      <c r="G1658" s="9" t="s">
        <v>4283</v>
      </c>
      <c r="H1658" s="9" t="s">
        <v>4574</v>
      </c>
      <c r="I1658" s="10">
        <v>45533</v>
      </c>
    </row>
    <row r="1659" spans="1:9" x14ac:dyDescent="0.15">
      <c r="A1659" s="9">
        <v>1658</v>
      </c>
      <c r="B1659" s="9" t="s">
        <v>9</v>
      </c>
      <c r="C1659" s="9">
        <v>1912</v>
      </c>
      <c r="D1659" s="10">
        <v>45616</v>
      </c>
      <c r="E1659" s="13" t="str">
        <f>+HYPERLINK("http://trademark.i-assist.jp/data/china/image_1912th/80642378.pdf","80642378")</f>
        <v>80642378</v>
      </c>
      <c r="F1659" s="9" t="s">
        <v>4575</v>
      </c>
      <c r="G1659" s="9" t="s">
        <v>4576</v>
      </c>
      <c r="H1659" s="9" t="s">
        <v>4577</v>
      </c>
      <c r="I1659" s="10">
        <v>45533</v>
      </c>
    </row>
    <row r="1660" spans="1:9" x14ac:dyDescent="0.15">
      <c r="A1660" s="9">
        <v>1659</v>
      </c>
      <c r="B1660" s="9" t="s">
        <v>9</v>
      </c>
      <c r="C1660" s="9">
        <v>1912</v>
      </c>
      <c r="D1660" s="10">
        <v>45616</v>
      </c>
      <c r="E1660" s="13" t="str">
        <f>+HYPERLINK("http://trademark.i-assist.jp/data/china/image_1912th/80642427.pdf","80642427")</f>
        <v>80642427</v>
      </c>
      <c r="F1660" s="9" t="s">
        <v>4578</v>
      </c>
      <c r="G1660" s="9" t="s">
        <v>4579</v>
      </c>
      <c r="H1660" s="9" t="s">
        <v>4580</v>
      </c>
      <c r="I1660" s="10">
        <v>45533</v>
      </c>
    </row>
    <row r="1661" spans="1:9" x14ac:dyDescent="0.15">
      <c r="A1661" s="9">
        <v>1660</v>
      </c>
      <c r="B1661" s="9" t="s">
        <v>9</v>
      </c>
      <c r="C1661" s="9">
        <v>1912</v>
      </c>
      <c r="D1661" s="10">
        <v>45616</v>
      </c>
      <c r="E1661" s="13" t="str">
        <f>+HYPERLINK("http://trademark.i-assist.jp/data/china/image_1912th/80642463.pdf","80642463")</f>
        <v>80642463</v>
      </c>
      <c r="F1661" s="12" t="s">
        <v>4581</v>
      </c>
      <c r="G1661" s="12" t="s">
        <v>4582</v>
      </c>
      <c r="H1661" s="9" t="s">
        <v>4583</v>
      </c>
      <c r="I1661" s="10">
        <v>45533</v>
      </c>
    </row>
    <row r="1662" spans="1:9" x14ac:dyDescent="0.15">
      <c r="A1662" s="9">
        <v>1661</v>
      </c>
      <c r="B1662" s="9" t="s">
        <v>9</v>
      </c>
      <c r="C1662" s="9">
        <v>1912</v>
      </c>
      <c r="D1662" s="10">
        <v>45616</v>
      </c>
      <c r="E1662" s="13" t="str">
        <f>+HYPERLINK("http://trademark.i-assist.jp/data/china/image_1912th/80642646.pdf","80642646")</f>
        <v>80642646</v>
      </c>
      <c r="F1662" s="12" t="s">
        <v>4584</v>
      </c>
      <c r="G1662" s="9" t="s">
        <v>4585</v>
      </c>
      <c r="H1662" s="9" t="s">
        <v>4586</v>
      </c>
      <c r="I1662" s="10">
        <v>45533</v>
      </c>
    </row>
    <row r="1663" spans="1:9" x14ac:dyDescent="0.15">
      <c r="A1663" s="9">
        <v>1662</v>
      </c>
      <c r="B1663" s="9" t="s">
        <v>9</v>
      </c>
      <c r="C1663" s="9">
        <v>1912</v>
      </c>
      <c r="D1663" s="10">
        <v>45616</v>
      </c>
      <c r="E1663" s="13" t="str">
        <f>+HYPERLINK("http://trademark.i-assist.jp/data/china/image_1912th/80642896.pdf","80642896")</f>
        <v>80642896</v>
      </c>
      <c r="F1663" s="9" t="s">
        <v>4587</v>
      </c>
      <c r="G1663" s="9" t="s">
        <v>4588</v>
      </c>
      <c r="H1663" s="9" t="s">
        <v>4589</v>
      </c>
      <c r="I1663" s="10">
        <v>45533</v>
      </c>
    </row>
    <row r="1664" spans="1:9" x14ac:dyDescent="0.15">
      <c r="A1664" s="9">
        <v>1663</v>
      </c>
      <c r="B1664" s="9" t="s">
        <v>9</v>
      </c>
      <c r="C1664" s="9">
        <v>1912</v>
      </c>
      <c r="D1664" s="10">
        <v>45616</v>
      </c>
      <c r="E1664" s="13" t="str">
        <f>+HYPERLINK("http://trademark.i-assist.jp/data/china/image_1912th/80642989.pdf","80642989")</f>
        <v>80642989</v>
      </c>
      <c r="F1664" s="9" t="s">
        <v>4590</v>
      </c>
      <c r="G1664" s="9" t="s">
        <v>4508</v>
      </c>
      <c r="H1664" s="9" t="s">
        <v>4591</v>
      </c>
      <c r="I1664" s="10">
        <v>45533</v>
      </c>
    </row>
    <row r="1665" spans="1:9" x14ac:dyDescent="0.15">
      <c r="A1665" s="9">
        <v>1664</v>
      </c>
      <c r="B1665" s="9" t="s">
        <v>9</v>
      </c>
      <c r="C1665" s="9">
        <v>1912</v>
      </c>
      <c r="D1665" s="10">
        <v>45616</v>
      </c>
      <c r="E1665" s="13" t="str">
        <f>+HYPERLINK("http://trademark.i-assist.jp/data/china/image_1912th/80643248.pdf","80643248")</f>
        <v>80643248</v>
      </c>
      <c r="F1665" s="9" t="s">
        <v>4592</v>
      </c>
      <c r="G1665" s="12" t="s">
        <v>4593</v>
      </c>
      <c r="H1665" s="9" t="s">
        <v>4594</v>
      </c>
      <c r="I1665" s="10">
        <v>45533</v>
      </c>
    </row>
    <row r="1666" spans="1:9" x14ac:dyDescent="0.15">
      <c r="A1666" s="9">
        <v>1665</v>
      </c>
      <c r="B1666" s="9" t="s">
        <v>9</v>
      </c>
      <c r="C1666" s="9">
        <v>1912</v>
      </c>
      <c r="D1666" s="10">
        <v>45616</v>
      </c>
      <c r="E1666" s="13" t="str">
        <f>+HYPERLINK("http://trademark.i-assist.jp/data/china/image_1912th/80643270.pdf","80643270")</f>
        <v>80643270</v>
      </c>
      <c r="F1666" s="12" t="s">
        <v>4595</v>
      </c>
      <c r="G1666" s="9" t="s">
        <v>4596</v>
      </c>
      <c r="H1666" s="9" t="s">
        <v>4597</v>
      </c>
      <c r="I1666" s="10">
        <v>45533</v>
      </c>
    </row>
    <row r="1667" spans="1:9" x14ac:dyDescent="0.15">
      <c r="A1667" s="9">
        <v>1666</v>
      </c>
      <c r="B1667" s="9" t="s">
        <v>9</v>
      </c>
      <c r="C1667" s="9">
        <v>1912</v>
      </c>
      <c r="D1667" s="10">
        <v>45616</v>
      </c>
      <c r="E1667" s="13" t="str">
        <f>+HYPERLINK("http://trademark.i-assist.jp/data/china/image_1912th/80643600.pdf","80643600")</f>
        <v>80643600</v>
      </c>
      <c r="F1667" s="9" t="s">
        <v>4598</v>
      </c>
      <c r="G1667" s="9" t="s">
        <v>1792</v>
      </c>
      <c r="H1667" s="9" t="s">
        <v>4599</v>
      </c>
      <c r="I1667" s="10">
        <v>45533</v>
      </c>
    </row>
    <row r="1668" spans="1:9" x14ac:dyDescent="0.15">
      <c r="A1668" s="9">
        <v>1667</v>
      </c>
      <c r="B1668" s="9" t="s">
        <v>9</v>
      </c>
      <c r="C1668" s="9">
        <v>1912</v>
      </c>
      <c r="D1668" s="10">
        <v>45616</v>
      </c>
      <c r="E1668" s="13" t="str">
        <f>+HYPERLINK("http://trademark.i-assist.jp/data/china/image_1912th/80644050.pdf","80644050")</f>
        <v>80644050</v>
      </c>
      <c r="F1668" s="12" t="s">
        <v>4600</v>
      </c>
      <c r="G1668" s="12" t="s">
        <v>4601</v>
      </c>
      <c r="H1668" s="9" t="s">
        <v>4602</v>
      </c>
      <c r="I1668" s="10">
        <v>45533</v>
      </c>
    </row>
    <row r="1669" spans="1:9" x14ac:dyDescent="0.15">
      <c r="A1669" s="9">
        <v>1668</v>
      </c>
      <c r="B1669" s="9" t="s">
        <v>9</v>
      </c>
      <c r="C1669" s="9">
        <v>1912</v>
      </c>
      <c r="D1669" s="10">
        <v>45616</v>
      </c>
      <c r="E1669" s="13" t="str">
        <f>+HYPERLINK("http://trademark.i-assist.jp/data/china/image_1912th/80644117.pdf","80644117")</f>
        <v>80644117</v>
      </c>
      <c r="F1669" s="9" t="s">
        <v>4603</v>
      </c>
      <c r="G1669" s="9" t="s">
        <v>4062</v>
      </c>
      <c r="H1669" s="9" t="s">
        <v>4604</v>
      </c>
      <c r="I1669" s="10">
        <v>45533</v>
      </c>
    </row>
    <row r="1670" spans="1:9" x14ac:dyDescent="0.15">
      <c r="A1670" s="9">
        <v>1669</v>
      </c>
      <c r="B1670" s="9" t="s">
        <v>9</v>
      </c>
      <c r="C1670" s="9">
        <v>1912</v>
      </c>
      <c r="D1670" s="10">
        <v>45616</v>
      </c>
      <c r="E1670" s="13" t="str">
        <f>+HYPERLINK("http://trademark.i-assist.jp/data/china/image_1912th/80644185.pdf","80644185")</f>
        <v>80644185</v>
      </c>
      <c r="F1670" s="12" t="s">
        <v>4605</v>
      </c>
      <c r="G1670" s="9" t="s">
        <v>4327</v>
      </c>
      <c r="H1670" s="9" t="s">
        <v>4606</v>
      </c>
      <c r="I1670" s="10">
        <v>45533</v>
      </c>
    </row>
    <row r="1671" spans="1:9" x14ac:dyDescent="0.15">
      <c r="A1671" s="9">
        <v>1670</v>
      </c>
      <c r="B1671" s="9" t="s">
        <v>9</v>
      </c>
      <c r="C1671" s="9">
        <v>1912</v>
      </c>
      <c r="D1671" s="10">
        <v>45616</v>
      </c>
      <c r="E1671" s="13" t="str">
        <f>+HYPERLINK("http://trademark.i-assist.jp/data/china/image_1912th/80644188.pdf","80644188")</f>
        <v>80644188</v>
      </c>
      <c r="F1671" s="12" t="s">
        <v>4607</v>
      </c>
      <c r="G1671" s="9" t="s">
        <v>4327</v>
      </c>
      <c r="H1671" s="9" t="s">
        <v>4608</v>
      </c>
      <c r="I1671" s="10">
        <v>45533</v>
      </c>
    </row>
    <row r="1672" spans="1:9" x14ac:dyDescent="0.15">
      <c r="A1672" s="9">
        <v>1671</v>
      </c>
      <c r="B1672" s="9" t="s">
        <v>9</v>
      </c>
      <c r="C1672" s="9">
        <v>1912</v>
      </c>
      <c r="D1672" s="10">
        <v>45616</v>
      </c>
      <c r="E1672" s="13" t="str">
        <f>+HYPERLINK("http://trademark.i-assist.jp/data/china/image_1912th/80644353.pdf","80644353")</f>
        <v>80644353</v>
      </c>
      <c r="F1672" s="9" t="s">
        <v>4609</v>
      </c>
      <c r="G1672" s="9" t="s">
        <v>4451</v>
      </c>
      <c r="H1672" s="9" t="s">
        <v>4610</v>
      </c>
      <c r="I1672" s="10">
        <v>45533</v>
      </c>
    </row>
    <row r="1673" spans="1:9" x14ac:dyDescent="0.15">
      <c r="A1673" s="9">
        <v>1672</v>
      </c>
      <c r="B1673" s="9" t="s">
        <v>9</v>
      </c>
      <c r="C1673" s="9">
        <v>1912</v>
      </c>
      <c r="D1673" s="10">
        <v>45616</v>
      </c>
      <c r="E1673" s="13" t="str">
        <f>+HYPERLINK("http://trademark.i-assist.jp/data/china/image_1912th/80644472.pdf","80644472")</f>
        <v>80644472</v>
      </c>
      <c r="F1673" s="9" t="s">
        <v>4611</v>
      </c>
      <c r="G1673" s="9" t="s">
        <v>4612</v>
      </c>
      <c r="H1673" s="9" t="s">
        <v>4613</v>
      </c>
      <c r="I1673" s="10">
        <v>45533</v>
      </c>
    </row>
    <row r="1674" spans="1:9" x14ac:dyDescent="0.15">
      <c r="A1674" s="9">
        <v>1673</v>
      </c>
      <c r="B1674" s="9" t="s">
        <v>9</v>
      </c>
      <c r="C1674" s="9">
        <v>1912</v>
      </c>
      <c r="D1674" s="10">
        <v>45616</v>
      </c>
      <c r="E1674" s="13" t="str">
        <f>+HYPERLINK("http://trademark.i-assist.jp/data/china/image_1912th/80644481.pdf","80644481")</f>
        <v>80644481</v>
      </c>
      <c r="F1674" s="9" t="s">
        <v>4614</v>
      </c>
      <c r="G1674" s="9" t="s">
        <v>4615</v>
      </c>
      <c r="H1674" s="9" t="s">
        <v>4616</v>
      </c>
      <c r="I1674" s="10">
        <v>45533</v>
      </c>
    </row>
    <row r="1675" spans="1:9" x14ac:dyDescent="0.15">
      <c r="A1675" s="9">
        <v>1674</v>
      </c>
      <c r="B1675" s="9" t="s">
        <v>9</v>
      </c>
      <c r="C1675" s="9">
        <v>1912</v>
      </c>
      <c r="D1675" s="10">
        <v>45616</v>
      </c>
      <c r="E1675" s="13" t="str">
        <f>+HYPERLINK("http://trademark.i-assist.jp/data/china/image_1912th/80644604.pdf","80644604")</f>
        <v>80644604</v>
      </c>
      <c r="F1675" s="9" t="s">
        <v>4617</v>
      </c>
      <c r="G1675" s="9" t="s">
        <v>4618</v>
      </c>
      <c r="H1675" s="9" t="s">
        <v>4619</v>
      </c>
      <c r="I1675" s="10">
        <v>45533</v>
      </c>
    </row>
    <row r="1676" spans="1:9" x14ac:dyDescent="0.15">
      <c r="A1676" s="9">
        <v>1675</v>
      </c>
      <c r="B1676" s="9" t="s">
        <v>9</v>
      </c>
      <c r="C1676" s="9">
        <v>1912</v>
      </c>
      <c r="D1676" s="10">
        <v>45616</v>
      </c>
      <c r="E1676" s="13" t="str">
        <f>+HYPERLINK("http://trademark.i-assist.jp/data/china/image_1912th/80644663.pdf","80644663")</f>
        <v>80644663</v>
      </c>
      <c r="F1676" s="9" t="s">
        <v>4620</v>
      </c>
      <c r="G1676" s="9" t="s">
        <v>4621</v>
      </c>
      <c r="H1676" s="9" t="s">
        <v>4622</v>
      </c>
      <c r="I1676" s="10">
        <v>45533</v>
      </c>
    </row>
    <row r="1677" spans="1:9" x14ac:dyDescent="0.15">
      <c r="A1677" s="9">
        <v>1676</v>
      </c>
      <c r="B1677" s="9" t="s">
        <v>9</v>
      </c>
      <c r="C1677" s="9">
        <v>1912</v>
      </c>
      <c r="D1677" s="10">
        <v>45616</v>
      </c>
      <c r="E1677" s="13" t="str">
        <f>+HYPERLINK("http://trademark.i-assist.jp/data/china/image_1912th/80644901.pdf","80644901")</f>
        <v>80644901</v>
      </c>
      <c r="F1677" s="9" t="s">
        <v>4623</v>
      </c>
      <c r="G1677" s="9" t="s">
        <v>4624</v>
      </c>
      <c r="H1677" s="12" t="s">
        <v>4625</v>
      </c>
      <c r="I1677" s="10">
        <v>45533</v>
      </c>
    </row>
    <row r="1678" spans="1:9" x14ac:dyDescent="0.15">
      <c r="A1678" s="9">
        <v>1677</v>
      </c>
      <c r="B1678" s="9" t="s">
        <v>9</v>
      </c>
      <c r="C1678" s="9">
        <v>1912</v>
      </c>
      <c r="D1678" s="10">
        <v>45616</v>
      </c>
      <c r="E1678" s="13" t="str">
        <f>+HYPERLINK("http://trademark.i-assist.jp/data/china/image_1912th/80644964.pdf","80644964")</f>
        <v>80644964</v>
      </c>
      <c r="F1678" s="9" t="s">
        <v>4626</v>
      </c>
      <c r="G1678" s="9" t="s">
        <v>4627</v>
      </c>
      <c r="H1678" s="9" t="s">
        <v>4628</v>
      </c>
      <c r="I1678" s="10">
        <v>45533</v>
      </c>
    </row>
    <row r="1679" spans="1:9" x14ac:dyDescent="0.15">
      <c r="A1679" s="9">
        <v>1678</v>
      </c>
      <c r="B1679" s="9" t="s">
        <v>9</v>
      </c>
      <c r="C1679" s="9">
        <v>1912</v>
      </c>
      <c r="D1679" s="10">
        <v>45616</v>
      </c>
      <c r="E1679" s="13" t="str">
        <f>+HYPERLINK("http://trademark.i-assist.jp/data/china/image_1912th/80645047.pdf","80645047")</f>
        <v>80645047</v>
      </c>
      <c r="F1679" s="9" t="s">
        <v>4629</v>
      </c>
      <c r="G1679" s="9" t="s">
        <v>4630</v>
      </c>
      <c r="H1679" s="9" t="s">
        <v>4631</v>
      </c>
      <c r="I1679" s="10">
        <v>45533</v>
      </c>
    </row>
    <row r="1680" spans="1:9" x14ac:dyDescent="0.15">
      <c r="A1680" s="9">
        <v>1679</v>
      </c>
      <c r="B1680" s="9" t="s">
        <v>9</v>
      </c>
      <c r="C1680" s="9">
        <v>1912</v>
      </c>
      <c r="D1680" s="10">
        <v>45616</v>
      </c>
      <c r="E1680" s="13" t="str">
        <f>+HYPERLINK("http://trademark.i-assist.jp/data/china/image_1912th/80645294.pdf","80645294")</f>
        <v>80645294</v>
      </c>
      <c r="F1680" s="9" t="s">
        <v>4632</v>
      </c>
      <c r="G1680" s="9" t="s">
        <v>4335</v>
      </c>
      <c r="H1680" s="9" t="s">
        <v>4633</v>
      </c>
      <c r="I1680" s="10">
        <v>45533</v>
      </c>
    </row>
    <row r="1681" spans="1:9" x14ac:dyDescent="0.15">
      <c r="A1681" s="9">
        <v>1680</v>
      </c>
      <c r="B1681" s="9" t="s">
        <v>9</v>
      </c>
      <c r="C1681" s="9">
        <v>1912</v>
      </c>
      <c r="D1681" s="10">
        <v>45616</v>
      </c>
      <c r="E1681" s="13" t="str">
        <f>+HYPERLINK("http://trademark.i-assist.jp/data/china/image_1912th/80645768.pdf","80645768")</f>
        <v>80645768</v>
      </c>
      <c r="F1681" s="9" t="s">
        <v>4634</v>
      </c>
      <c r="G1681" s="9" t="s">
        <v>4635</v>
      </c>
      <c r="H1681" s="9" t="s">
        <v>4636</v>
      </c>
      <c r="I1681" s="10">
        <v>45533</v>
      </c>
    </row>
    <row r="1682" spans="1:9" x14ac:dyDescent="0.15">
      <c r="A1682" s="9">
        <v>1681</v>
      </c>
      <c r="B1682" s="9" t="s">
        <v>9</v>
      </c>
      <c r="C1682" s="9">
        <v>1912</v>
      </c>
      <c r="D1682" s="10">
        <v>45616</v>
      </c>
      <c r="E1682" s="13" t="str">
        <f>+HYPERLINK("http://trademark.i-assist.jp/data/china/image_1912th/80645902.pdf","80645902")</f>
        <v>80645902</v>
      </c>
      <c r="F1682" s="9" t="s">
        <v>4637</v>
      </c>
      <c r="G1682" s="9" t="s">
        <v>4508</v>
      </c>
      <c r="H1682" s="9" t="s">
        <v>4638</v>
      </c>
      <c r="I1682" s="10">
        <v>45533</v>
      </c>
    </row>
    <row r="1683" spans="1:9" x14ac:dyDescent="0.15">
      <c r="A1683" s="9">
        <v>1682</v>
      </c>
      <c r="B1683" s="9" t="s">
        <v>9</v>
      </c>
      <c r="C1683" s="9">
        <v>1912</v>
      </c>
      <c r="D1683" s="10">
        <v>45616</v>
      </c>
      <c r="E1683" s="13" t="str">
        <f>+HYPERLINK("http://trademark.i-assist.jp/data/china/image_1912th/80645915.pdf","80645915")</f>
        <v>80645915</v>
      </c>
      <c r="F1683" s="9" t="s">
        <v>4639</v>
      </c>
      <c r="G1683" s="9" t="s">
        <v>4511</v>
      </c>
      <c r="H1683" s="12" t="s">
        <v>4640</v>
      </c>
      <c r="I1683" s="10">
        <v>45533</v>
      </c>
    </row>
    <row r="1684" spans="1:9" x14ac:dyDescent="0.15">
      <c r="A1684" s="9">
        <v>1683</v>
      </c>
      <c r="B1684" s="9" t="s">
        <v>9</v>
      </c>
      <c r="C1684" s="9">
        <v>1912</v>
      </c>
      <c r="D1684" s="10">
        <v>45616</v>
      </c>
      <c r="E1684" s="13" t="str">
        <f>+HYPERLINK("http://trademark.i-assist.jp/data/china/image_1912th/80645988.pdf","80645988")</f>
        <v>80645988</v>
      </c>
      <c r="F1684" s="9" t="s">
        <v>4641</v>
      </c>
      <c r="G1684" s="9" t="s">
        <v>4642</v>
      </c>
      <c r="H1684" s="12" t="s">
        <v>4643</v>
      </c>
      <c r="I1684" s="10">
        <v>45533</v>
      </c>
    </row>
    <row r="1685" spans="1:9" x14ac:dyDescent="0.15">
      <c r="A1685" s="9">
        <v>1684</v>
      </c>
      <c r="B1685" s="9" t="s">
        <v>9</v>
      </c>
      <c r="C1685" s="9">
        <v>1912</v>
      </c>
      <c r="D1685" s="10">
        <v>45616</v>
      </c>
      <c r="E1685" s="13" t="str">
        <f>+HYPERLINK("http://trademark.i-assist.jp/data/china/image_1912th/80646391.pdf","80646391")</f>
        <v>80646391</v>
      </c>
      <c r="F1685" s="9" t="s">
        <v>4644</v>
      </c>
      <c r="G1685" s="9" t="s">
        <v>4645</v>
      </c>
      <c r="H1685" s="12" t="s">
        <v>4646</v>
      </c>
      <c r="I1685" s="10">
        <v>45533</v>
      </c>
    </row>
    <row r="1686" spans="1:9" x14ac:dyDescent="0.15">
      <c r="A1686" s="9">
        <v>1685</v>
      </c>
      <c r="B1686" s="9" t="s">
        <v>9</v>
      </c>
      <c r="C1686" s="9">
        <v>1912</v>
      </c>
      <c r="D1686" s="10">
        <v>45616</v>
      </c>
      <c r="E1686" s="13" t="str">
        <f>+HYPERLINK("http://trademark.i-assist.jp/data/china/image_1912th/80646860.pdf","80646860")</f>
        <v>80646860</v>
      </c>
      <c r="F1686" s="9" t="s">
        <v>4647</v>
      </c>
      <c r="G1686" s="9" t="s">
        <v>4648</v>
      </c>
      <c r="H1686" s="9" t="s">
        <v>4649</v>
      </c>
      <c r="I1686" s="10">
        <v>45533</v>
      </c>
    </row>
    <row r="1687" spans="1:9" x14ac:dyDescent="0.15">
      <c r="A1687" s="9">
        <v>1686</v>
      </c>
      <c r="B1687" s="9" t="s">
        <v>9</v>
      </c>
      <c r="C1687" s="9">
        <v>1912</v>
      </c>
      <c r="D1687" s="10">
        <v>45616</v>
      </c>
      <c r="E1687" s="13" t="str">
        <f>+HYPERLINK("http://trademark.i-assist.jp/data/china/image_1912th/80647302.pdf","80647302")</f>
        <v>80647302</v>
      </c>
      <c r="F1687" s="9" t="s">
        <v>4650</v>
      </c>
      <c r="G1687" s="9" t="s">
        <v>4651</v>
      </c>
      <c r="H1687" s="9" t="s">
        <v>4652</v>
      </c>
      <c r="I1687" s="10">
        <v>45533</v>
      </c>
    </row>
    <row r="1688" spans="1:9" x14ac:dyDescent="0.15">
      <c r="A1688" s="9">
        <v>1687</v>
      </c>
      <c r="B1688" s="9" t="s">
        <v>9</v>
      </c>
      <c r="C1688" s="9">
        <v>1912</v>
      </c>
      <c r="D1688" s="10">
        <v>45616</v>
      </c>
      <c r="E1688" s="13" t="str">
        <f>+HYPERLINK("http://trademark.i-assist.jp/data/china/image_1912th/80647637.pdf","80647637")</f>
        <v>80647637</v>
      </c>
      <c r="F1688" s="9" t="s">
        <v>4653</v>
      </c>
      <c r="G1688" s="9" t="s">
        <v>4654</v>
      </c>
      <c r="H1688" s="9" t="s">
        <v>4655</v>
      </c>
      <c r="I1688" s="10">
        <v>45533</v>
      </c>
    </row>
    <row r="1689" spans="1:9" x14ac:dyDescent="0.15">
      <c r="A1689" s="9">
        <v>1688</v>
      </c>
      <c r="B1689" s="9" t="s">
        <v>9</v>
      </c>
      <c r="C1689" s="9">
        <v>1912</v>
      </c>
      <c r="D1689" s="10">
        <v>45616</v>
      </c>
      <c r="E1689" s="13" t="str">
        <f>+HYPERLINK("http://trademark.i-assist.jp/data/china/image_1912th/80647799.pdf","80647799")</f>
        <v>80647799</v>
      </c>
      <c r="F1689" s="9" t="s">
        <v>4656</v>
      </c>
      <c r="G1689" s="12" t="s">
        <v>4657</v>
      </c>
      <c r="H1689" s="9" t="s">
        <v>4658</v>
      </c>
      <c r="I1689" s="10">
        <v>45533</v>
      </c>
    </row>
    <row r="1690" spans="1:9" x14ac:dyDescent="0.15">
      <c r="A1690" s="9">
        <v>1689</v>
      </c>
      <c r="B1690" s="9" t="s">
        <v>9</v>
      </c>
      <c r="C1690" s="9">
        <v>1912</v>
      </c>
      <c r="D1690" s="10">
        <v>45616</v>
      </c>
      <c r="E1690" s="13" t="str">
        <f>+HYPERLINK("http://trademark.i-assist.jp/data/china/image_1912th/80647940.pdf","80647940")</f>
        <v>80647940</v>
      </c>
      <c r="F1690" s="9" t="s">
        <v>4659</v>
      </c>
      <c r="G1690" s="12" t="s">
        <v>4660</v>
      </c>
      <c r="H1690" s="9" t="s">
        <v>4661</v>
      </c>
      <c r="I1690" s="10">
        <v>45533</v>
      </c>
    </row>
    <row r="1691" spans="1:9" x14ac:dyDescent="0.15">
      <c r="A1691" s="9">
        <v>1690</v>
      </c>
      <c r="B1691" s="9" t="s">
        <v>9</v>
      </c>
      <c r="C1691" s="9">
        <v>1912</v>
      </c>
      <c r="D1691" s="10">
        <v>45616</v>
      </c>
      <c r="E1691" s="13" t="str">
        <f>+HYPERLINK("http://trademark.i-assist.jp/data/china/image_1912th/80648151.pdf","80648151")</f>
        <v>80648151</v>
      </c>
      <c r="F1691" s="9" t="s">
        <v>4662</v>
      </c>
      <c r="G1691" s="9" t="s">
        <v>4663</v>
      </c>
      <c r="H1691" s="9" t="s">
        <v>4664</v>
      </c>
      <c r="I1691" s="10">
        <v>45533</v>
      </c>
    </row>
    <row r="1692" spans="1:9" x14ac:dyDescent="0.15">
      <c r="A1692" s="9">
        <v>1691</v>
      </c>
      <c r="B1692" s="9" t="s">
        <v>9</v>
      </c>
      <c r="C1692" s="9">
        <v>1912</v>
      </c>
      <c r="D1692" s="10">
        <v>45616</v>
      </c>
      <c r="E1692" s="13" t="str">
        <f>+HYPERLINK("http://trademark.i-assist.jp/data/china/image_1912th/80648238.pdf","80648238")</f>
        <v>80648238</v>
      </c>
      <c r="F1692" s="12" t="s">
        <v>4665</v>
      </c>
      <c r="G1692" s="9" t="s">
        <v>4666</v>
      </c>
      <c r="H1692" s="9" t="s">
        <v>4667</v>
      </c>
      <c r="I1692" s="10">
        <v>45533</v>
      </c>
    </row>
    <row r="1693" spans="1:9" x14ac:dyDescent="0.15">
      <c r="A1693" s="9">
        <v>1692</v>
      </c>
      <c r="B1693" s="9" t="s">
        <v>9</v>
      </c>
      <c r="C1693" s="9">
        <v>1912</v>
      </c>
      <c r="D1693" s="10">
        <v>45616</v>
      </c>
      <c r="E1693" s="13" t="str">
        <f>+HYPERLINK("http://trademark.i-assist.jp/data/china/image_1912th/80648300.pdf","80648300")</f>
        <v>80648300</v>
      </c>
      <c r="F1693" s="9" t="s">
        <v>4668</v>
      </c>
      <c r="G1693" s="9" t="s">
        <v>4669</v>
      </c>
      <c r="H1693" s="9" t="s">
        <v>4670</v>
      </c>
      <c r="I1693" s="10">
        <v>45533</v>
      </c>
    </row>
    <row r="1694" spans="1:9" x14ac:dyDescent="0.15">
      <c r="A1694" s="9">
        <v>1693</v>
      </c>
      <c r="B1694" s="9" t="s">
        <v>9</v>
      </c>
      <c r="C1694" s="9">
        <v>1912</v>
      </c>
      <c r="D1694" s="10">
        <v>45616</v>
      </c>
      <c r="E1694" s="13" t="str">
        <f>+HYPERLINK("http://trademark.i-assist.jp/data/china/image_1912th/80648492.pdf","80648492")</f>
        <v>80648492</v>
      </c>
      <c r="F1694" s="9" t="s">
        <v>4671</v>
      </c>
      <c r="G1694" s="9" t="s">
        <v>4511</v>
      </c>
      <c r="H1694" s="9" t="s">
        <v>4672</v>
      </c>
      <c r="I1694" s="10">
        <v>45533</v>
      </c>
    </row>
    <row r="1695" spans="1:9" x14ac:dyDescent="0.15">
      <c r="A1695" s="9">
        <v>1694</v>
      </c>
      <c r="B1695" s="9" t="s">
        <v>9</v>
      </c>
      <c r="C1695" s="9">
        <v>1912</v>
      </c>
      <c r="D1695" s="10">
        <v>45616</v>
      </c>
      <c r="E1695" s="13" t="str">
        <f>+HYPERLINK("http://trademark.i-assist.jp/data/china/image_1912th/80648648.pdf","80648648")</f>
        <v>80648648</v>
      </c>
      <c r="F1695" s="12" t="s">
        <v>4673</v>
      </c>
      <c r="G1695" s="9" t="s">
        <v>4674</v>
      </c>
      <c r="H1695" s="9" t="s">
        <v>4675</v>
      </c>
      <c r="I1695" s="10">
        <v>45533</v>
      </c>
    </row>
    <row r="1696" spans="1:9" x14ac:dyDescent="0.15">
      <c r="A1696" s="9">
        <v>1695</v>
      </c>
      <c r="B1696" s="9" t="s">
        <v>9</v>
      </c>
      <c r="C1696" s="9">
        <v>1912</v>
      </c>
      <c r="D1696" s="10">
        <v>45616</v>
      </c>
      <c r="E1696" s="13" t="str">
        <f>+HYPERLINK("http://trademark.i-assist.jp/data/china/image_1912th/80648943.pdf","80648943")</f>
        <v>80648943</v>
      </c>
      <c r="F1696" s="9" t="s">
        <v>4676</v>
      </c>
      <c r="G1696" s="9" t="s">
        <v>4677</v>
      </c>
      <c r="H1696" s="9" t="s">
        <v>4678</v>
      </c>
      <c r="I1696" s="10">
        <v>45533</v>
      </c>
    </row>
    <row r="1697" spans="1:9" x14ac:dyDescent="0.15">
      <c r="A1697" s="9">
        <v>1696</v>
      </c>
      <c r="B1697" s="9" t="s">
        <v>9</v>
      </c>
      <c r="C1697" s="9">
        <v>1912</v>
      </c>
      <c r="D1697" s="10">
        <v>45616</v>
      </c>
      <c r="E1697" s="13" t="str">
        <f>+HYPERLINK("http://trademark.i-assist.jp/data/china/image_1912th/80649107.pdf","80649107")</f>
        <v>80649107</v>
      </c>
      <c r="F1697" s="9" t="s">
        <v>4679</v>
      </c>
      <c r="G1697" s="12" t="s">
        <v>4680</v>
      </c>
      <c r="H1697" s="9" t="s">
        <v>4681</v>
      </c>
      <c r="I1697" s="10">
        <v>45534</v>
      </c>
    </row>
    <row r="1698" spans="1:9" x14ac:dyDescent="0.15">
      <c r="A1698" s="9">
        <v>1697</v>
      </c>
      <c r="B1698" s="9" t="s">
        <v>9</v>
      </c>
      <c r="C1698" s="9">
        <v>1912</v>
      </c>
      <c r="D1698" s="10">
        <v>45616</v>
      </c>
      <c r="E1698" s="13" t="str">
        <f>+HYPERLINK("http://trademark.i-assist.jp/data/china/image_1912th/80649239.pdf","80649239")</f>
        <v>80649239</v>
      </c>
      <c r="F1698" s="9" t="s">
        <v>4682</v>
      </c>
      <c r="G1698" s="12" t="s">
        <v>4683</v>
      </c>
      <c r="H1698" s="9" t="s">
        <v>4684</v>
      </c>
      <c r="I1698" s="10">
        <v>45534</v>
      </c>
    </row>
    <row r="1699" spans="1:9" x14ac:dyDescent="0.15">
      <c r="A1699" s="9">
        <v>1698</v>
      </c>
      <c r="B1699" s="9" t="s">
        <v>9</v>
      </c>
      <c r="C1699" s="9">
        <v>1912</v>
      </c>
      <c r="D1699" s="10">
        <v>45616</v>
      </c>
      <c r="E1699" s="13" t="str">
        <f>+HYPERLINK("http://trademark.i-assist.jp/data/china/image_1912th/80649320.pdf","80649320")</f>
        <v>80649320</v>
      </c>
      <c r="F1699" s="9" t="s">
        <v>4685</v>
      </c>
      <c r="G1699" s="9" t="s">
        <v>4686</v>
      </c>
      <c r="H1699" s="9" t="s">
        <v>4687</v>
      </c>
      <c r="I1699" s="10">
        <v>45534</v>
      </c>
    </row>
    <row r="1700" spans="1:9" x14ac:dyDescent="0.15">
      <c r="A1700" s="9">
        <v>1699</v>
      </c>
      <c r="B1700" s="9" t="s">
        <v>9</v>
      </c>
      <c r="C1700" s="9">
        <v>1912</v>
      </c>
      <c r="D1700" s="10">
        <v>45616</v>
      </c>
      <c r="E1700" s="13" t="str">
        <f>+HYPERLINK("http://trademark.i-assist.jp/data/china/image_1912th/80649728.pdf","80649728")</f>
        <v>80649728</v>
      </c>
      <c r="F1700" s="9" t="s">
        <v>4688</v>
      </c>
      <c r="G1700" s="9" t="s">
        <v>4689</v>
      </c>
      <c r="H1700" s="9" t="s">
        <v>4690</v>
      </c>
      <c r="I1700" s="10">
        <v>45534</v>
      </c>
    </row>
    <row r="1701" spans="1:9" x14ac:dyDescent="0.15">
      <c r="A1701" s="9">
        <v>1700</v>
      </c>
      <c r="B1701" s="9" t="s">
        <v>9</v>
      </c>
      <c r="C1701" s="9">
        <v>1912</v>
      </c>
      <c r="D1701" s="10">
        <v>45616</v>
      </c>
      <c r="E1701" s="13" t="str">
        <f>+HYPERLINK("http://trademark.i-assist.jp/data/china/image_1912th/80649834.pdf","80649834")</f>
        <v>80649834</v>
      </c>
      <c r="F1701" s="12" t="s">
        <v>4691</v>
      </c>
      <c r="G1701" s="9" t="s">
        <v>3532</v>
      </c>
      <c r="H1701" s="9" t="s">
        <v>4692</v>
      </c>
      <c r="I1701" s="10">
        <v>45534</v>
      </c>
    </row>
    <row r="1702" spans="1:9" x14ac:dyDescent="0.15">
      <c r="A1702" s="9">
        <v>1701</v>
      </c>
      <c r="B1702" s="9" t="s">
        <v>9</v>
      </c>
      <c r="C1702" s="9">
        <v>1912</v>
      </c>
      <c r="D1702" s="10">
        <v>45616</v>
      </c>
      <c r="E1702" s="13" t="str">
        <f>+HYPERLINK("http://trademark.i-assist.jp/data/china/image_1912th/80649852.pdf","80649852")</f>
        <v>80649852</v>
      </c>
      <c r="F1702" s="9" t="s">
        <v>4693</v>
      </c>
      <c r="G1702" s="12" t="s">
        <v>4694</v>
      </c>
      <c r="H1702" s="9" t="s">
        <v>4695</v>
      </c>
      <c r="I1702" s="10">
        <v>45534</v>
      </c>
    </row>
    <row r="1703" spans="1:9" x14ac:dyDescent="0.15">
      <c r="A1703" s="9">
        <v>1702</v>
      </c>
      <c r="B1703" s="9" t="s">
        <v>9</v>
      </c>
      <c r="C1703" s="9">
        <v>1912</v>
      </c>
      <c r="D1703" s="10">
        <v>45616</v>
      </c>
      <c r="E1703" s="13" t="str">
        <f>+HYPERLINK("http://trademark.i-assist.jp/data/china/image_1912th/80649994.pdf","80649994")</f>
        <v>80649994</v>
      </c>
      <c r="F1703" s="9" t="s">
        <v>4696</v>
      </c>
      <c r="G1703" s="9" t="s">
        <v>4697</v>
      </c>
      <c r="H1703" s="9" t="s">
        <v>4698</v>
      </c>
      <c r="I1703" s="10">
        <v>45534</v>
      </c>
    </row>
    <row r="1704" spans="1:9" x14ac:dyDescent="0.15">
      <c r="A1704" s="9">
        <v>1703</v>
      </c>
      <c r="B1704" s="9" t="s">
        <v>9</v>
      </c>
      <c r="C1704" s="9">
        <v>1912</v>
      </c>
      <c r="D1704" s="10">
        <v>45616</v>
      </c>
      <c r="E1704" s="13" t="str">
        <f>+HYPERLINK("http://trademark.i-assist.jp/data/china/image_1912th/80650041.pdf","80650041")</f>
        <v>80650041</v>
      </c>
      <c r="F1704" s="12" t="s">
        <v>4699</v>
      </c>
      <c r="G1704" s="9" t="s">
        <v>4700</v>
      </c>
      <c r="H1704" s="9" t="s">
        <v>4701</v>
      </c>
      <c r="I1704" s="10">
        <v>45534</v>
      </c>
    </row>
    <row r="1705" spans="1:9" x14ac:dyDescent="0.15">
      <c r="A1705" s="9">
        <v>1704</v>
      </c>
      <c r="B1705" s="9" t="s">
        <v>9</v>
      </c>
      <c r="C1705" s="9">
        <v>1912</v>
      </c>
      <c r="D1705" s="10">
        <v>45616</v>
      </c>
      <c r="E1705" s="13" t="str">
        <f>+HYPERLINK("http://trademark.i-assist.jp/data/china/image_1912th/80650103.pdf","80650103")</f>
        <v>80650103</v>
      </c>
      <c r="F1705" s="12" t="s">
        <v>15</v>
      </c>
      <c r="G1705" s="9" t="s">
        <v>4702</v>
      </c>
      <c r="H1705" s="9" t="s">
        <v>4703</v>
      </c>
      <c r="I1705" s="10">
        <v>45534</v>
      </c>
    </row>
    <row r="1706" spans="1:9" x14ac:dyDescent="0.15">
      <c r="A1706" s="9">
        <v>1705</v>
      </c>
      <c r="B1706" s="9" t="s">
        <v>9</v>
      </c>
      <c r="C1706" s="9">
        <v>1912</v>
      </c>
      <c r="D1706" s="10">
        <v>45616</v>
      </c>
      <c r="E1706" s="13" t="str">
        <f>+HYPERLINK("http://trademark.i-assist.jp/data/china/image_1912th/80650176.pdf","80650176")</f>
        <v>80650176</v>
      </c>
      <c r="F1706" s="9" t="s">
        <v>4704</v>
      </c>
      <c r="G1706" s="9" t="s">
        <v>4705</v>
      </c>
      <c r="H1706" s="9" t="s">
        <v>4706</v>
      </c>
      <c r="I1706" s="10">
        <v>45534</v>
      </c>
    </row>
    <row r="1707" spans="1:9" x14ac:dyDescent="0.15">
      <c r="A1707" s="9">
        <v>1706</v>
      </c>
      <c r="B1707" s="9" t="s">
        <v>9</v>
      </c>
      <c r="C1707" s="9">
        <v>1912</v>
      </c>
      <c r="D1707" s="10">
        <v>45616</v>
      </c>
      <c r="E1707" s="13" t="str">
        <f>+HYPERLINK("http://trademark.i-assist.jp/data/china/image_1912th/80650413.pdf","80650413")</f>
        <v>80650413</v>
      </c>
      <c r="F1707" s="9" t="s">
        <v>4707</v>
      </c>
      <c r="G1707" s="9" t="s">
        <v>4708</v>
      </c>
      <c r="H1707" s="9" t="s">
        <v>4709</v>
      </c>
      <c r="I1707" s="10">
        <v>45534</v>
      </c>
    </row>
    <row r="1708" spans="1:9" x14ac:dyDescent="0.15">
      <c r="A1708" s="9">
        <v>1707</v>
      </c>
      <c r="B1708" s="9" t="s">
        <v>9</v>
      </c>
      <c r="C1708" s="9">
        <v>1912</v>
      </c>
      <c r="D1708" s="10">
        <v>45616</v>
      </c>
      <c r="E1708" s="13" t="str">
        <f>+HYPERLINK("http://trademark.i-assist.jp/data/china/image_1912th/80650583.pdf","80650583")</f>
        <v>80650583</v>
      </c>
      <c r="F1708" s="9" t="s">
        <v>4710</v>
      </c>
      <c r="G1708" s="12" t="s">
        <v>4711</v>
      </c>
      <c r="H1708" s="9" t="s">
        <v>4712</v>
      </c>
      <c r="I1708" s="10">
        <v>45534</v>
      </c>
    </row>
    <row r="1709" spans="1:9" x14ac:dyDescent="0.15">
      <c r="A1709" s="9">
        <v>1708</v>
      </c>
      <c r="B1709" s="9" t="s">
        <v>9</v>
      </c>
      <c r="C1709" s="9">
        <v>1912</v>
      </c>
      <c r="D1709" s="10">
        <v>45616</v>
      </c>
      <c r="E1709" s="13" t="str">
        <f>+HYPERLINK("http://trademark.i-assist.jp/data/china/image_1912th/80650683.pdf","80650683")</f>
        <v>80650683</v>
      </c>
      <c r="F1709" s="9" t="s">
        <v>4713</v>
      </c>
      <c r="G1709" s="9" t="s">
        <v>4714</v>
      </c>
      <c r="H1709" s="9" t="s">
        <v>4715</v>
      </c>
      <c r="I1709" s="10">
        <v>45534</v>
      </c>
    </row>
    <row r="1710" spans="1:9" x14ac:dyDescent="0.15">
      <c r="A1710" s="9">
        <v>1709</v>
      </c>
      <c r="B1710" s="9" t="s">
        <v>9</v>
      </c>
      <c r="C1710" s="9">
        <v>1912</v>
      </c>
      <c r="D1710" s="10">
        <v>45616</v>
      </c>
      <c r="E1710" s="13" t="str">
        <f>+HYPERLINK("http://trademark.i-assist.jp/data/china/image_1912th/80650721.pdf","80650721")</f>
        <v>80650721</v>
      </c>
      <c r="F1710" s="9" t="s">
        <v>4716</v>
      </c>
      <c r="G1710" s="12" t="s">
        <v>4717</v>
      </c>
      <c r="H1710" s="9" t="s">
        <v>4718</v>
      </c>
      <c r="I1710" s="10">
        <v>45534</v>
      </c>
    </row>
    <row r="1711" spans="1:9" x14ac:dyDescent="0.15">
      <c r="A1711" s="9">
        <v>1710</v>
      </c>
      <c r="B1711" s="9" t="s">
        <v>9</v>
      </c>
      <c r="C1711" s="9">
        <v>1912</v>
      </c>
      <c r="D1711" s="10">
        <v>45616</v>
      </c>
      <c r="E1711" s="13" t="str">
        <f>+HYPERLINK("http://trademark.i-assist.jp/data/china/image_1912th/80650762.pdf","80650762")</f>
        <v>80650762</v>
      </c>
      <c r="F1711" s="9" t="s">
        <v>4719</v>
      </c>
      <c r="G1711" s="9" t="s">
        <v>4720</v>
      </c>
      <c r="H1711" s="9" t="s">
        <v>4721</v>
      </c>
      <c r="I1711" s="10">
        <v>45534</v>
      </c>
    </row>
    <row r="1712" spans="1:9" x14ac:dyDescent="0.15">
      <c r="A1712" s="9">
        <v>1711</v>
      </c>
      <c r="B1712" s="9" t="s">
        <v>9</v>
      </c>
      <c r="C1712" s="9">
        <v>1912</v>
      </c>
      <c r="D1712" s="10">
        <v>45616</v>
      </c>
      <c r="E1712" s="13" t="str">
        <f>+HYPERLINK("http://trademark.i-assist.jp/data/china/image_1912th/80650828.pdf","80650828")</f>
        <v>80650828</v>
      </c>
      <c r="F1712" s="9" t="s">
        <v>4722</v>
      </c>
      <c r="G1712" s="9" t="s">
        <v>4720</v>
      </c>
      <c r="H1712" s="9" t="s">
        <v>4723</v>
      </c>
      <c r="I1712" s="10">
        <v>45534</v>
      </c>
    </row>
    <row r="1713" spans="1:9" x14ac:dyDescent="0.15">
      <c r="A1713" s="9">
        <v>1712</v>
      </c>
      <c r="B1713" s="9" t="s">
        <v>9</v>
      </c>
      <c r="C1713" s="9">
        <v>1912</v>
      </c>
      <c r="D1713" s="10">
        <v>45616</v>
      </c>
      <c r="E1713" s="13" t="str">
        <f>+HYPERLINK("http://trademark.i-assist.jp/data/china/image_1912th/80650859.pdf","80650859")</f>
        <v>80650859</v>
      </c>
      <c r="F1713" s="12" t="s">
        <v>4724</v>
      </c>
      <c r="G1713" s="12" t="s">
        <v>4725</v>
      </c>
      <c r="H1713" s="9" t="s">
        <v>4726</v>
      </c>
      <c r="I1713" s="10">
        <v>45534</v>
      </c>
    </row>
    <row r="1714" spans="1:9" x14ac:dyDescent="0.15">
      <c r="A1714" s="9">
        <v>1713</v>
      </c>
      <c r="B1714" s="9" t="s">
        <v>9</v>
      </c>
      <c r="C1714" s="9">
        <v>1912</v>
      </c>
      <c r="D1714" s="10">
        <v>45616</v>
      </c>
      <c r="E1714" s="13" t="str">
        <f>+HYPERLINK("http://trademark.i-assist.jp/data/china/image_1912th/80650904.pdf","80650904")</f>
        <v>80650904</v>
      </c>
      <c r="F1714" s="9" t="s">
        <v>4727</v>
      </c>
      <c r="G1714" s="12" t="s">
        <v>73</v>
      </c>
      <c r="H1714" s="12" t="s">
        <v>4728</v>
      </c>
      <c r="I1714" s="10">
        <v>45534</v>
      </c>
    </row>
    <row r="1715" spans="1:9" x14ac:dyDescent="0.15">
      <c r="A1715" s="9">
        <v>1714</v>
      </c>
      <c r="B1715" s="9" t="s">
        <v>9</v>
      </c>
      <c r="C1715" s="9">
        <v>1912</v>
      </c>
      <c r="D1715" s="10">
        <v>45616</v>
      </c>
      <c r="E1715" s="13" t="str">
        <f>+HYPERLINK("http://trademark.i-assist.jp/data/china/image_1912th/80650909.pdf","80650909")</f>
        <v>80650909</v>
      </c>
      <c r="F1715" s="9" t="s">
        <v>4729</v>
      </c>
      <c r="G1715" s="9" t="s">
        <v>4730</v>
      </c>
      <c r="H1715" s="9" t="s">
        <v>4731</v>
      </c>
      <c r="I1715" s="10">
        <v>45534</v>
      </c>
    </row>
    <row r="1716" spans="1:9" x14ac:dyDescent="0.15">
      <c r="A1716" s="9">
        <v>1715</v>
      </c>
      <c r="B1716" s="9" t="s">
        <v>9</v>
      </c>
      <c r="C1716" s="9">
        <v>1912</v>
      </c>
      <c r="D1716" s="10">
        <v>45616</v>
      </c>
      <c r="E1716" s="13" t="str">
        <f>+HYPERLINK("http://trademark.i-assist.jp/data/china/image_1912th/80651026.pdf","80651026")</f>
        <v>80651026</v>
      </c>
      <c r="F1716" s="9" t="s">
        <v>4732</v>
      </c>
      <c r="G1716" s="12" t="s">
        <v>4733</v>
      </c>
      <c r="H1716" s="12" t="s">
        <v>4734</v>
      </c>
      <c r="I1716" s="10">
        <v>45534</v>
      </c>
    </row>
    <row r="1717" spans="1:9" x14ac:dyDescent="0.15">
      <c r="A1717" s="9">
        <v>1716</v>
      </c>
      <c r="B1717" s="9" t="s">
        <v>9</v>
      </c>
      <c r="C1717" s="9">
        <v>1912</v>
      </c>
      <c r="D1717" s="10">
        <v>45616</v>
      </c>
      <c r="E1717" s="13" t="str">
        <f>+HYPERLINK("http://trademark.i-assist.jp/data/china/image_1912th/80651156.pdf","80651156")</f>
        <v>80651156</v>
      </c>
      <c r="F1717" s="9" t="s">
        <v>75</v>
      </c>
      <c r="G1717" s="9" t="s">
        <v>76</v>
      </c>
      <c r="H1717" s="9" t="s">
        <v>4735</v>
      </c>
      <c r="I1717" s="10">
        <v>45534</v>
      </c>
    </row>
    <row r="1718" spans="1:9" x14ac:dyDescent="0.15">
      <c r="A1718" s="9">
        <v>1717</v>
      </c>
      <c r="B1718" s="9" t="s">
        <v>9</v>
      </c>
      <c r="C1718" s="9">
        <v>1912</v>
      </c>
      <c r="D1718" s="10">
        <v>45616</v>
      </c>
      <c r="E1718" s="13" t="str">
        <f>+HYPERLINK("http://trademark.i-assist.jp/data/china/image_1912th/80651212.pdf","80651212")</f>
        <v>80651212</v>
      </c>
      <c r="F1718" s="12" t="s">
        <v>4736</v>
      </c>
      <c r="G1718" s="12" t="s">
        <v>4737</v>
      </c>
      <c r="H1718" s="9" t="s">
        <v>4738</v>
      </c>
      <c r="I1718" s="10">
        <v>45534</v>
      </c>
    </row>
    <row r="1719" spans="1:9" x14ac:dyDescent="0.15">
      <c r="A1719" s="9">
        <v>1718</v>
      </c>
      <c r="B1719" s="9" t="s">
        <v>9</v>
      </c>
      <c r="C1719" s="9">
        <v>1912</v>
      </c>
      <c r="D1719" s="10">
        <v>45616</v>
      </c>
      <c r="E1719" s="13" t="str">
        <f>+HYPERLINK("http://trademark.i-assist.jp/data/china/image_1912th/80651273.pdf","80651273")</f>
        <v>80651273</v>
      </c>
      <c r="F1719" s="12" t="s">
        <v>4739</v>
      </c>
      <c r="G1719" s="9" t="s">
        <v>4740</v>
      </c>
      <c r="H1719" s="9" t="s">
        <v>4741</v>
      </c>
      <c r="I1719" s="10">
        <v>45534</v>
      </c>
    </row>
    <row r="1720" spans="1:9" x14ac:dyDescent="0.15">
      <c r="A1720" s="9">
        <v>1719</v>
      </c>
      <c r="B1720" s="9" t="s">
        <v>9</v>
      </c>
      <c r="C1720" s="9">
        <v>1912</v>
      </c>
      <c r="D1720" s="10">
        <v>45616</v>
      </c>
      <c r="E1720" s="13" t="str">
        <f>+HYPERLINK("http://trademark.i-assist.jp/data/china/image_1912th/80651287.pdf","80651287")</f>
        <v>80651287</v>
      </c>
      <c r="F1720" s="9" t="s">
        <v>4742</v>
      </c>
      <c r="G1720" s="9" t="s">
        <v>3791</v>
      </c>
      <c r="H1720" s="9" t="s">
        <v>4743</v>
      </c>
      <c r="I1720" s="10">
        <v>45534</v>
      </c>
    </row>
    <row r="1721" spans="1:9" x14ac:dyDescent="0.15">
      <c r="A1721" s="9">
        <v>1720</v>
      </c>
      <c r="B1721" s="9" t="s">
        <v>9</v>
      </c>
      <c r="C1721" s="9">
        <v>1912</v>
      </c>
      <c r="D1721" s="10">
        <v>45616</v>
      </c>
      <c r="E1721" s="13" t="str">
        <f>+HYPERLINK("http://trademark.i-assist.jp/data/china/image_1912th/80651306.pdf","80651306")</f>
        <v>80651306</v>
      </c>
      <c r="F1721" s="9" t="s">
        <v>4744</v>
      </c>
      <c r="G1721" s="9" t="s">
        <v>4745</v>
      </c>
      <c r="H1721" s="9" t="s">
        <v>4746</v>
      </c>
      <c r="I1721" s="10">
        <v>45534</v>
      </c>
    </row>
    <row r="1722" spans="1:9" x14ac:dyDescent="0.15">
      <c r="A1722" s="9">
        <v>1721</v>
      </c>
      <c r="B1722" s="9" t="s">
        <v>9</v>
      </c>
      <c r="C1722" s="9">
        <v>1912</v>
      </c>
      <c r="D1722" s="10">
        <v>45616</v>
      </c>
      <c r="E1722" s="13" t="str">
        <f>+HYPERLINK("http://trademark.i-assist.jp/data/china/image_1912th/80651329.pdf","80651329")</f>
        <v>80651329</v>
      </c>
      <c r="F1722" s="9" t="s">
        <v>4747</v>
      </c>
      <c r="G1722" s="9" t="s">
        <v>4748</v>
      </c>
      <c r="H1722" s="9" t="s">
        <v>4749</v>
      </c>
      <c r="I1722" s="10">
        <v>45534</v>
      </c>
    </row>
    <row r="1723" spans="1:9" x14ac:dyDescent="0.15">
      <c r="A1723" s="9">
        <v>1722</v>
      </c>
      <c r="B1723" s="9" t="s">
        <v>9</v>
      </c>
      <c r="C1723" s="9">
        <v>1912</v>
      </c>
      <c r="D1723" s="10">
        <v>45616</v>
      </c>
      <c r="E1723" s="13" t="str">
        <f>+HYPERLINK("http://trademark.i-assist.jp/data/china/image_1912th/80651369.pdf","80651369")</f>
        <v>80651369</v>
      </c>
      <c r="F1723" s="9" t="s">
        <v>4750</v>
      </c>
      <c r="G1723" s="9" t="s">
        <v>71</v>
      </c>
      <c r="H1723" s="9" t="s">
        <v>4751</v>
      </c>
      <c r="I1723" s="10">
        <v>45534</v>
      </c>
    </row>
    <row r="1724" spans="1:9" x14ac:dyDescent="0.15">
      <c r="A1724" s="9">
        <v>1723</v>
      </c>
      <c r="B1724" s="9" t="s">
        <v>9</v>
      </c>
      <c r="C1724" s="9">
        <v>1912</v>
      </c>
      <c r="D1724" s="10">
        <v>45616</v>
      </c>
      <c r="E1724" s="13" t="str">
        <f>+HYPERLINK("http://trademark.i-assist.jp/data/china/image_1912th/80651460.pdf","80651460")</f>
        <v>80651460</v>
      </c>
      <c r="F1724" s="9" t="s">
        <v>4752</v>
      </c>
      <c r="G1724" s="9" t="s">
        <v>4753</v>
      </c>
      <c r="H1724" s="9" t="s">
        <v>4754</v>
      </c>
      <c r="I1724" s="10">
        <v>45534</v>
      </c>
    </row>
    <row r="1725" spans="1:9" x14ac:dyDescent="0.15">
      <c r="A1725" s="9">
        <v>1724</v>
      </c>
      <c r="B1725" s="9" t="s">
        <v>9</v>
      </c>
      <c r="C1725" s="9">
        <v>1912</v>
      </c>
      <c r="D1725" s="10">
        <v>45616</v>
      </c>
      <c r="E1725" s="13" t="str">
        <f>+HYPERLINK("http://trademark.i-assist.jp/data/china/image_1912th/80651486.pdf","80651486")</f>
        <v>80651486</v>
      </c>
      <c r="F1725" s="9" t="s">
        <v>4755</v>
      </c>
      <c r="G1725" s="12" t="s">
        <v>4756</v>
      </c>
      <c r="H1725" s="9" t="s">
        <v>4757</v>
      </c>
      <c r="I1725" s="10">
        <v>45534</v>
      </c>
    </row>
    <row r="1726" spans="1:9" x14ac:dyDescent="0.15">
      <c r="A1726" s="9">
        <v>1725</v>
      </c>
      <c r="B1726" s="9" t="s">
        <v>9</v>
      </c>
      <c r="C1726" s="9">
        <v>1912</v>
      </c>
      <c r="D1726" s="10">
        <v>45616</v>
      </c>
      <c r="E1726" s="13" t="str">
        <f>+HYPERLINK("http://trademark.i-assist.jp/data/china/image_1912th/80651631.pdf","80651631")</f>
        <v>80651631</v>
      </c>
      <c r="F1726" s="9" t="s">
        <v>4758</v>
      </c>
      <c r="G1726" s="9" t="s">
        <v>4700</v>
      </c>
      <c r="H1726" s="9" t="s">
        <v>4759</v>
      </c>
      <c r="I1726" s="10">
        <v>45534</v>
      </c>
    </row>
    <row r="1727" spans="1:9" x14ac:dyDescent="0.15">
      <c r="A1727" s="9">
        <v>1726</v>
      </c>
      <c r="B1727" s="9" t="s">
        <v>9</v>
      </c>
      <c r="C1727" s="9">
        <v>1912</v>
      </c>
      <c r="D1727" s="10">
        <v>45616</v>
      </c>
      <c r="E1727" s="13" t="str">
        <f>+HYPERLINK("http://trademark.i-assist.jp/data/china/image_1912th/80651641.pdf","80651641")</f>
        <v>80651641</v>
      </c>
      <c r="F1727" s="9" t="s">
        <v>4760</v>
      </c>
      <c r="G1727" s="9" t="s">
        <v>4700</v>
      </c>
      <c r="H1727" s="9" t="s">
        <v>4761</v>
      </c>
      <c r="I1727" s="10">
        <v>45534</v>
      </c>
    </row>
    <row r="1728" spans="1:9" x14ac:dyDescent="0.15">
      <c r="A1728" s="9">
        <v>1727</v>
      </c>
      <c r="B1728" s="9" t="s">
        <v>9</v>
      </c>
      <c r="C1728" s="9">
        <v>1912</v>
      </c>
      <c r="D1728" s="10">
        <v>45616</v>
      </c>
      <c r="E1728" s="13" t="str">
        <f>+HYPERLINK("http://trademark.i-assist.jp/data/china/image_1912th/80651705.pdf","80651705")</f>
        <v>80651705</v>
      </c>
      <c r="F1728" s="9" t="s">
        <v>4762</v>
      </c>
      <c r="G1728" s="9" t="s">
        <v>4763</v>
      </c>
      <c r="H1728" s="9" t="s">
        <v>4764</v>
      </c>
      <c r="I1728" s="10">
        <v>45534</v>
      </c>
    </row>
    <row r="1729" spans="1:9" x14ac:dyDescent="0.15">
      <c r="A1729" s="9">
        <v>1728</v>
      </c>
      <c r="B1729" s="9" t="s">
        <v>9</v>
      </c>
      <c r="C1729" s="9">
        <v>1912</v>
      </c>
      <c r="D1729" s="10">
        <v>45616</v>
      </c>
      <c r="E1729" s="13" t="str">
        <f>+HYPERLINK("http://trademark.i-assist.jp/data/china/image_1912th/80651719.pdf","80651719")</f>
        <v>80651719</v>
      </c>
      <c r="F1729" s="9" t="s">
        <v>4765</v>
      </c>
      <c r="G1729" s="9" t="s">
        <v>4766</v>
      </c>
      <c r="H1729" s="9" t="s">
        <v>4767</v>
      </c>
      <c r="I1729" s="10">
        <v>45534</v>
      </c>
    </row>
    <row r="1730" spans="1:9" x14ac:dyDescent="0.15">
      <c r="A1730" s="9">
        <v>1729</v>
      </c>
      <c r="B1730" s="9" t="s">
        <v>9</v>
      </c>
      <c r="C1730" s="9">
        <v>1912</v>
      </c>
      <c r="D1730" s="10">
        <v>45616</v>
      </c>
      <c r="E1730" s="13" t="str">
        <f>+HYPERLINK("http://trademark.i-assist.jp/data/china/image_1912th/80651894.pdf","80651894")</f>
        <v>80651894</v>
      </c>
      <c r="F1730" s="12" t="s">
        <v>4768</v>
      </c>
      <c r="G1730" s="12" t="s">
        <v>4769</v>
      </c>
      <c r="H1730" s="9" t="s">
        <v>4770</v>
      </c>
      <c r="I1730" s="10">
        <v>45534</v>
      </c>
    </row>
    <row r="1731" spans="1:9" x14ac:dyDescent="0.15">
      <c r="A1731" s="9">
        <v>1730</v>
      </c>
      <c r="B1731" s="9" t="s">
        <v>9</v>
      </c>
      <c r="C1731" s="9">
        <v>1912</v>
      </c>
      <c r="D1731" s="10">
        <v>45616</v>
      </c>
      <c r="E1731" s="13" t="str">
        <f>+HYPERLINK("http://trademark.i-assist.jp/data/china/image_1912th/80652373.pdf","80652373")</f>
        <v>80652373</v>
      </c>
      <c r="F1731" s="9" t="s">
        <v>4771</v>
      </c>
      <c r="G1731" s="9" t="s">
        <v>4772</v>
      </c>
      <c r="H1731" s="9" t="s">
        <v>4773</v>
      </c>
      <c r="I1731" s="10">
        <v>45534</v>
      </c>
    </row>
    <row r="1732" spans="1:9" x14ac:dyDescent="0.15">
      <c r="A1732" s="9">
        <v>1731</v>
      </c>
      <c r="B1732" s="9" t="s">
        <v>9</v>
      </c>
      <c r="C1732" s="9">
        <v>1912</v>
      </c>
      <c r="D1732" s="10">
        <v>45616</v>
      </c>
      <c r="E1732" s="13" t="str">
        <f>+HYPERLINK("http://trademark.i-assist.jp/data/china/image_1912th/80652554.pdf","80652554")</f>
        <v>80652554</v>
      </c>
      <c r="F1732" s="9" t="s">
        <v>4774</v>
      </c>
      <c r="G1732" s="9" t="s">
        <v>4775</v>
      </c>
      <c r="H1732" s="9" t="s">
        <v>4776</v>
      </c>
      <c r="I1732" s="10">
        <v>45534</v>
      </c>
    </row>
    <row r="1733" spans="1:9" x14ac:dyDescent="0.15">
      <c r="A1733" s="9">
        <v>1732</v>
      </c>
      <c r="B1733" s="9" t="s">
        <v>9</v>
      </c>
      <c r="C1733" s="9">
        <v>1912</v>
      </c>
      <c r="D1733" s="10">
        <v>45616</v>
      </c>
      <c r="E1733" s="13" t="str">
        <f>+HYPERLINK("http://trademark.i-assist.jp/data/china/image_1912th/80652556.pdf","80652556")</f>
        <v>80652556</v>
      </c>
      <c r="F1733" s="9" t="s">
        <v>4777</v>
      </c>
      <c r="G1733" s="12" t="s">
        <v>4778</v>
      </c>
      <c r="H1733" s="9" t="s">
        <v>4779</v>
      </c>
      <c r="I1733" s="10">
        <v>45534</v>
      </c>
    </row>
    <row r="1734" spans="1:9" x14ac:dyDescent="0.15">
      <c r="A1734" s="9">
        <v>1733</v>
      </c>
      <c r="B1734" s="9" t="s">
        <v>9</v>
      </c>
      <c r="C1734" s="9">
        <v>1912</v>
      </c>
      <c r="D1734" s="10">
        <v>45616</v>
      </c>
      <c r="E1734" s="13" t="str">
        <f>+HYPERLINK("http://trademark.i-assist.jp/data/china/image_1912th/80652851.pdf","80652851")</f>
        <v>80652851</v>
      </c>
      <c r="F1734" s="9" t="s">
        <v>4780</v>
      </c>
      <c r="G1734" s="9" t="s">
        <v>4781</v>
      </c>
      <c r="H1734" s="9" t="s">
        <v>4782</v>
      </c>
      <c r="I1734" s="10">
        <v>45534</v>
      </c>
    </row>
    <row r="1735" spans="1:9" x14ac:dyDescent="0.15">
      <c r="A1735" s="9">
        <v>1734</v>
      </c>
      <c r="B1735" s="9" t="s">
        <v>9</v>
      </c>
      <c r="C1735" s="9">
        <v>1912</v>
      </c>
      <c r="D1735" s="10">
        <v>45616</v>
      </c>
      <c r="E1735" s="13" t="str">
        <f>+HYPERLINK("http://trademark.i-assist.jp/data/china/image_1912th/80653072.pdf","80653072")</f>
        <v>80653072</v>
      </c>
      <c r="F1735" s="9" t="s">
        <v>4783</v>
      </c>
      <c r="G1735" s="9" t="s">
        <v>4700</v>
      </c>
      <c r="H1735" s="9" t="s">
        <v>4784</v>
      </c>
      <c r="I1735" s="10">
        <v>45534</v>
      </c>
    </row>
    <row r="1736" spans="1:9" x14ac:dyDescent="0.15">
      <c r="A1736" s="9">
        <v>1735</v>
      </c>
      <c r="B1736" s="9" t="s">
        <v>9</v>
      </c>
      <c r="C1736" s="9">
        <v>1912</v>
      </c>
      <c r="D1736" s="10">
        <v>45616</v>
      </c>
      <c r="E1736" s="13" t="str">
        <f>+HYPERLINK("http://trademark.i-assist.jp/data/china/image_1912th/80653182.pdf","80653182")</f>
        <v>80653182</v>
      </c>
      <c r="F1736" s="9" t="s">
        <v>4785</v>
      </c>
      <c r="G1736" s="9" t="s">
        <v>4786</v>
      </c>
      <c r="H1736" s="12" t="s">
        <v>4787</v>
      </c>
      <c r="I1736" s="10">
        <v>45534</v>
      </c>
    </row>
    <row r="1737" spans="1:9" x14ac:dyDescent="0.15">
      <c r="A1737" s="9">
        <v>1736</v>
      </c>
      <c r="B1737" s="9" t="s">
        <v>9</v>
      </c>
      <c r="C1737" s="9">
        <v>1912</v>
      </c>
      <c r="D1737" s="10">
        <v>45616</v>
      </c>
      <c r="E1737" s="13" t="str">
        <f>+HYPERLINK("http://trademark.i-assist.jp/data/china/image_1912th/80653346.pdf","80653346")</f>
        <v>80653346</v>
      </c>
      <c r="F1737" s="12" t="s">
        <v>15</v>
      </c>
      <c r="G1737" s="9" t="s">
        <v>4788</v>
      </c>
      <c r="H1737" s="12" t="s">
        <v>4789</v>
      </c>
      <c r="I1737" s="10">
        <v>45534</v>
      </c>
    </row>
    <row r="1738" spans="1:9" x14ac:dyDescent="0.15">
      <c r="A1738" s="9">
        <v>1737</v>
      </c>
      <c r="B1738" s="9" t="s">
        <v>9</v>
      </c>
      <c r="C1738" s="9">
        <v>1912</v>
      </c>
      <c r="D1738" s="10">
        <v>45616</v>
      </c>
      <c r="E1738" s="13" t="str">
        <f>+HYPERLINK("http://trademark.i-assist.jp/data/china/image_1912th/80653402.pdf","80653402")</f>
        <v>80653402</v>
      </c>
      <c r="F1738" s="9" t="s">
        <v>4790</v>
      </c>
      <c r="G1738" s="9" t="s">
        <v>4791</v>
      </c>
      <c r="H1738" s="9" t="s">
        <v>4792</v>
      </c>
      <c r="I1738" s="10">
        <v>45534</v>
      </c>
    </row>
    <row r="1739" spans="1:9" x14ac:dyDescent="0.15">
      <c r="A1739" s="9">
        <v>1738</v>
      </c>
      <c r="B1739" s="9" t="s">
        <v>9</v>
      </c>
      <c r="C1739" s="9">
        <v>1912</v>
      </c>
      <c r="D1739" s="10">
        <v>45616</v>
      </c>
      <c r="E1739" s="13" t="str">
        <f>+HYPERLINK("http://trademark.i-assist.jp/data/china/image_1912th/80653584.pdf","80653584")</f>
        <v>80653584</v>
      </c>
      <c r="F1739" s="9" t="s">
        <v>4793</v>
      </c>
      <c r="G1739" s="12" t="s">
        <v>35</v>
      </c>
      <c r="H1739" s="9" t="s">
        <v>4794</v>
      </c>
      <c r="I1739" s="10">
        <v>45534</v>
      </c>
    </row>
    <row r="1740" spans="1:9" x14ac:dyDescent="0.15">
      <c r="A1740" s="9">
        <v>1739</v>
      </c>
      <c r="B1740" s="9" t="s">
        <v>9</v>
      </c>
      <c r="C1740" s="9">
        <v>1912</v>
      </c>
      <c r="D1740" s="10">
        <v>45616</v>
      </c>
      <c r="E1740" s="13" t="str">
        <f>+HYPERLINK("http://trademark.i-assist.jp/data/china/image_1912th/80653631.pdf","80653631")</f>
        <v>80653631</v>
      </c>
      <c r="F1740" s="9" t="s">
        <v>4795</v>
      </c>
      <c r="G1740" s="9" t="s">
        <v>4796</v>
      </c>
      <c r="H1740" s="9" t="s">
        <v>4797</v>
      </c>
      <c r="I1740" s="10">
        <v>45534</v>
      </c>
    </row>
    <row r="1741" spans="1:9" x14ac:dyDescent="0.15">
      <c r="A1741" s="9">
        <v>1740</v>
      </c>
      <c r="B1741" s="9" t="s">
        <v>9</v>
      </c>
      <c r="C1741" s="9">
        <v>1912</v>
      </c>
      <c r="D1741" s="10">
        <v>45616</v>
      </c>
      <c r="E1741" s="13" t="str">
        <f>+HYPERLINK("http://trademark.i-assist.jp/data/china/image_1912th/80653784.pdf","80653784")</f>
        <v>80653784</v>
      </c>
      <c r="F1741" s="9" t="s">
        <v>4798</v>
      </c>
      <c r="G1741" s="12" t="s">
        <v>4680</v>
      </c>
      <c r="H1741" s="9" t="s">
        <v>4799</v>
      </c>
      <c r="I1741" s="10">
        <v>45534</v>
      </c>
    </row>
    <row r="1742" spans="1:9" x14ac:dyDescent="0.15">
      <c r="A1742" s="9">
        <v>1741</v>
      </c>
      <c r="B1742" s="9" t="s">
        <v>9</v>
      </c>
      <c r="C1742" s="9">
        <v>1912</v>
      </c>
      <c r="D1742" s="10">
        <v>45616</v>
      </c>
      <c r="E1742" s="13" t="str">
        <f>+HYPERLINK("http://trademark.i-assist.jp/data/china/image_1912th/80653892.pdf","80653892")</f>
        <v>80653892</v>
      </c>
      <c r="F1742" s="9" t="s">
        <v>4800</v>
      </c>
      <c r="G1742" s="9" t="s">
        <v>4801</v>
      </c>
      <c r="H1742" s="9" t="s">
        <v>4802</v>
      </c>
      <c r="I1742" s="10">
        <v>45534</v>
      </c>
    </row>
    <row r="1743" spans="1:9" x14ac:dyDescent="0.15">
      <c r="A1743" s="9">
        <v>1742</v>
      </c>
      <c r="B1743" s="9" t="s">
        <v>9</v>
      </c>
      <c r="C1743" s="9">
        <v>1912</v>
      </c>
      <c r="D1743" s="10">
        <v>45616</v>
      </c>
      <c r="E1743" s="13" t="str">
        <f>+HYPERLINK("http://trademark.i-assist.jp/data/china/image_1912th/80653915.pdf","80653915")</f>
        <v>80653915</v>
      </c>
      <c r="F1743" s="9" t="s">
        <v>4803</v>
      </c>
      <c r="G1743" s="9" t="s">
        <v>4804</v>
      </c>
      <c r="H1743" s="12" t="s">
        <v>4805</v>
      </c>
      <c r="I1743" s="10">
        <v>45534</v>
      </c>
    </row>
    <row r="1744" spans="1:9" x14ac:dyDescent="0.15">
      <c r="A1744" s="9">
        <v>1743</v>
      </c>
      <c r="B1744" s="9" t="s">
        <v>9</v>
      </c>
      <c r="C1744" s="9">
        <v>1912</v>
      </c>
      <c r="D1744" s="10">
        <v>45616</v>
      </c>
      <c r="E1744" s="13" t="str">
        <f>+HYPERLINK("http://trademark.i-assist.jp/data/china/image_1912th/80654455.pdf","80654455")</f>
        <v>80654455</v>
      </c>
      <c r="F1744" s="9" t="s">
        <v>4806</v>
      </c>
      <c r="G1744" s="9" t="s">
        <v>4697</v>
      </c>
      <c r="H1744" s="9" t="s">
        <v>4807</v>
      </c>
      <c r="I1744" s="10">
        <v>45534</v>
      </c>
    </row>
    <row r="1745" spans="1:9" x14ac:dyDescent="0.15">
      <c r="A1745" s="9">
        <v>1744</v>
      </c>
      <c r="B1745" s="9" t="s">
        <v>9</v>
      </c>
      <c r="C1745" s="9">
        <v>1912</v>
      </c>
      <c r="D1745" s="10">
        <v>45616</v>
      </c>
      <c r="E1745" s="13" t="str">
        <f>+HYPERLINK("http://trademark.i-assist.jp/data/china/image_1912th/80654670.pdf","80654670")</f>
        <v>80654670</v>
      </c>
      <c r="F1745" s="9" t="s">
        <v>4808</v>
      </c>
      <c r="G1745" s="9" t="s">
        <v>4809</v>
      </c>
      <c r="H1745" s="9" t="s">
        <v>4810</v>
      </c>
      <c r="I1745" s="10">
        <v>45534</v>
      </c>
    </row>
    <row r="1746" spans="1:9" x14ac:dyDescent="0.15">
      <c r="A1746" s="9">
        <v>1745</v>
      </c>
      <c r="B1746" s="9" t="s">
        <v>9</v>
      </c>
      <c r="C1746" s="9">
        <v>1912</v>
      </c>
      <c r="D1746" s="10">
        <v>45616</v>
      </c>
      <c r="E1746" s="13" t="str">
        <f>+HYPERLINK("http://trademark.i-assist.jp/data/china/image_1912th/80654993.pdf","80654993")</f>
        <v>80654993</v>
      </c>
      <c r="F1746" s="9" t="s">
        <v>4811</v>
      </c>
      <c r="G1746" s="12" t="s">
        <v>4733</v>
      </c>
      <c r="H1746" s="9" t="s">
        <v>4812</v>
      </c>
      <c r="I1746" s="10">
        <v>45534</v>
      </c>
    </row>
    <row r="1747" spans="1:9" x14ac:dyDescent="0.15">
      <c r="A1747" s="9">
        <v>1746</v>
      </c>
      <c r="B1747" s="9" t="s">
        <v>9</v>
      </c>
      <c r="C1747" s="9">
        <v>1912</v>
      </c>
      <c r="D1747" s="10">
        <v>45616</v>
      </c>
      <c r="E1747" s="13" t="str">
        <f>+HYPERLINK("http://trademark.i-assist.jp/data/china/image_1912th/80655084.pdf","80655084")</f>
        <v>80655084</v>
      </c>
      <c r="F1747" s="9" t="s">
        <v>4813</v>
      </c>
      <c r="G1747" s="9" t="s">
        <v>778</v>
      </c>
      <c r="H1747" s="9" t="s">
        <v>4814</v>
      </c>
      <c r="I1747" s="10">
        <v>45534</v>
      </c>
    </row>
    <row r="1748" spans="1:9" x14ac:dyDescent="0.15">
      <c r="A1748" s="9">
        <v>1747</v>
      </c>
      <c r="B1748" s="9" t="s">
        <v>9</v>
      </c>
      <c r="C1748" s="9">
        <v>1912</v>
      </c>
      <c r="D1748" s="10">
        <v>45616</v>
      </c>
      <c r="E1748" s="13" t="str">
        <f>+HYPERLINK("http://trademark.i-assist.jp/data/china/image_1912th/80655318.pdf","80655318")</f>
        <v>80655318</v>
      </c>
      <c r="F1748" s="9" t="s">
        <v>4815</v>
      </c>
      <c r="G1748" s="9" t="s">
        <v>4816</v>
      </c>
      <c r="H1748" s="9" t="s">
        <v>4817</v>
      </c>
      <c r="I1748" s="10">
        <v>45534</v>
      </c>
    </row>
    <row r="1749" spans="1:9" x14ac:dyDescent="0.15">
      <c r="A1749" s="9">
        <v>1748</v>
      </c>
      <c r="B1749" s="9" t="s">
        <v>9</v>
      </c>
      <c r="C1749" s="9">
        <v>1912</v>
      </c>
      <c r="D1749" s="10">
        <v>45616</v>
      </c>
      <c r="E1749" s="13" t="str">
        <f>+HYPERLINK("http://trademark.i-assist.jp/data/china/image_1912th/80655803.pdf","80655803")</f>
        <v>80655803</v>
      </c>
      <c r="F1749" s="9" t="s">
        <v>4818</v>
      </c>
      <c r="G1749" s="12" t="s">
        <v>4819</v>
      </c>
      <c r="H1749" s="9" t="s">
        <v>4820</v>
      </c>
      <c r="I1749" s="10">
        <v>45534</v>
      </c>
    </row>
    <row r="1750" spans="1:9" x14ac:dyDescent="0.15">
      <c r="A1750" s="9">
        <v>1749</v>
      </c>
      <c r="B1750" s="9" t="s">
        <v>9</v>
      </c>
      <c r="C1750" s="9">
        <v>1912</v>
      </c>
      <c r="D1750" s="10">
        <v>45616</v>
      </c>
      <c r="E1750" s="13" t="str">
        <f>+HYPERLINK("http://trademark.i-assist.jp/data/china/image_1912th/80655839.pdf","80655839")</f>
        <v>80655839</v>
      </c>
      <c r="F1750" s="9" t="s">
        <v>4821</v>
      </c>
      <c r="G1750" s="9" t="s">
        <v>4697</v>
      </c>
      <c r="H1750" s="9" t="s">
        <v>4822</v>
      </c>
      <c r="I1750" s="10">
        <v>45534</v>
      </c>
    </row>
    <row r="1751" spans="1:9" x14ac:dyDescent="0.15">
      <c r="A1751" s="9">
        <v>1750</v>
      </c>
      <c r="B1751" s="9" t="s">
        <v>9</v>
      </c>
      <c r="C1751" s="9">
        <v>1912</v>
      </c>
      <c r="D1751" s="10">
        <v>45616</v>
      </c>
      <c r="E1751" s="13" t="str">
        <f>+HYPERLINK("http://trademark.i-assist.jp/data/china/image_1912th/80655846.pdf","80655846")</f>
        <v>80655846</v>
      </c>
      <c r="F1751" s="9" t="s">
        <v>4823</v>
      </c>
      <c r="G1751" s="9" t="s">
        <v>4700</v>
      </c>
      <c r="H1751" s="9" t="s">
        <v>4824</v>
      </c>
      <c r="I1751" s="10">
        <v>45534</v>
      </c>
    </row>
    <row r="1752" spans="1:9" x14ac:dyDescent="0.15">
      <c r="A1752" s="9">
        <v>1751</v>
      </c>
      <c r="B1752" s="9" t="s">
        <v>9</v>
      </c>
      <c r="C1752" s="9">
        <v>1912</v>
      </c>
      <c r="D1752" s="10">
        <v>45616</v>
      </c>
      <c r="E1752" s="13" t="str">
        <f>+HYPERLINK("http://trademark.i-assist.jp/data/china/image_1912th/80655887.pdf","80655887")</f>
        <v>80655887</v>
      </c>
      <c r="F1752" s="9" t="s">
        <v>4825</v>
      </c>
      <c r="G1752" s="9" t="s">
        <v>4826</v>
      </c>
      <c r="H1752" s="12" t="s">
        <v>4827</v>
      </c>
      <c r="I1752" s="10">
        <v>45534</v>
      </c>
    </row>
    <row r="1753" spans="1:9" x14ac:dyDescent="0.15">
      <c r="A1753" s="9">
        <v>1752</v>
      </c>
      <c r="B1753" s="9" t="s">
        <v>9</v>
      </c>
      <c r="C1753" s="9">
        <v>1912</v>
      </c>
      <c r="D1753" s="10">
        <v>45616</v>
      </c>
      <c r="E1753" s="13" t="str">
        <f>+HYPERLINK("http://trademark.i-assist.jp/data/china/image_1912th/80656173.pdf","80656173")</f>
        <v>80656173</v>
      </c>
      <c r="F1753" s="9" t="s">
        <v>4828</v>
      </c>
      <c r="G1753" s="9" t="s">
        <v>4829</v>
      </c>
      <c r="H1753" s="9" t="s">
        <v>4830</v>
      </c>
      <c r="I1753" s="10">
        <v>45534</v>
      </c>
    </row>
    <row r="1754" spans="1:9" x14ac:dyDescent="0.15">
      <c r="A1754" s="9">
        <v>1753</v>
      </c>
      <c r="B1754" s="9" t="s">
        <v>9</v>
      </c>
      <c r="C1754" s="9">
        <v>1912</v>
      </c>
      <c r="D1754" s="10">
        <v>45616</v>
      </c>
      <c r="E1754" s="13" t="str">
        <f>+HYPERLINK("http://trademark.i-assist.jp/data/china/image_1912th/80656323.pdf","80656323")</f>
        <v>80656323</v>
      </c>
      <c r="F1754" s="9" t="s">
        <v>4831</v>
      </c>
      <c r="G1754" s="9" t="s">
        <v>4832</v>
      </c>
      <c r="H1754" s="9" t="s">
        <v>4833</v>
      </c>
      <c r="I1754" s="10">
        <v>45534</v>
      </c>
    </row>
    <row r="1755" spans="1:9" x14ac:dyDescent="0.15">
      <c r="A1755" s="9">
        <v>1754</v>
      </c>
      <c r="B1755" s="9" t="s">
        <v>9</v>
      </c>
      <c r="C1755" s="9">
        <v>1912</v>
      </c>
      <c r="D1755" s="10">
        <v>45616</v>
      </c>
      <c r="E1755" s="13" t="str">
        <f>+HYPERLINK("http://trademark.i-assist.jp/data/china/image_1912th/80656945.pdf","80656945")</f>
        <v>80656945</v>
      </c>
      <c r="F1755" s="9" t="s">
        <v>4834</v>
      </c>
      <c r="G1755" s="12" t="s">
        <v>4835</v>
      </c>
      <c r="H1755" s="9" t="s">
        <v>4836</v>
      </c>
      <c r="I1755" s="10">
        <v>45534</v>
      </c>
    </row>
    <row r="1756" spans="1:9" x14ac:dyDescent="0.15">
      <c r="A1756" s="9">
        <v>1755</v>
      </c>
      <c r="B1756" s="9" t="s">
        <v>9</v>
      </c>
      <c r="C1756" s="9">
        <v>1912</v>
      </c>
      <c r="D1756" s="10">
        <v>45616</v>
      </c>
      <c r="E1756" s="13" t="str">
        <f>+HYPERLINK("http://trademark.i-assist.jp/data/china/image_1912th/80657086.pdf","80657086")</f>
        <v>80657086</v>
      </c>
      <c r="F1756" s="9" t="s">
        <v>4837</v>
      </c>
      <c r="G1756" s="9" t="s">
        <v>4838</v>
      </c>
      <c r="H1756" s="9" t="s">
        <v>4839</v>
      </c>
      <c r="I1756" s="10">
        <v>45534</v>
      </c>
    </row>
    <row r="1757" spans="1:9" x14ac:dyDescent="0.15">
      <c r="A1757" s="9">
        <v>1756</v>
      </c>
      <c r="B1757" s="9" t="s">
        <v>9</v>
      </c>
      <c r="C1757" s="9">
        <v>1912</v>
      </c>
      <c r="D1757" s="10">
        <v>45616</v>
      </c>
      <c r="E1757" s="13" t="str">
        <f>+HYPERLINK("http://trademark.i-assist.jp/data/china/image_1912th/80657292.pdf","80657292")</f>
        <v>80657292</v>
      </c>
      <c r="F1757" s="9" t="s">
        <v>4840</v>
      </c>
      <c r="G1757" s="9" t="s">
        <v>4841</v>
      </c>
      <c r="H1757" s="9" t="s">
        <v>4842</v>
      </c>
      <c r="I1757" s="10">
        <v>45534</v>
      </c>
    </row>
    <row r="1758" spans="1:9" x14ac:dyDescent="0.15">
      <c r="A1758" s="9">
        <v>1757</v>
      </c>
      <c r="B1758" s="9" t="s">
        <v>9</v>
      </c>
      <c r="C1758" s="9">
        <v>1912</v>
      </c>
      <c r="D1758" s="10">
        <v>45616</v>
      </c>
      <c r="E1758" s="13" t="str">
        <f>+HYPERLINK("http://trademark.i-assist.jp/data/china/image_1912th/80657336.pdf","80657336")</f>
        <v>80657336</v>
      </c>
      <c r="F1758" s="9" t="s">
        <v>4843</v>
      </c>
      <c r="G1758" s="12" t="s">
        <v>4844</v>
      </c>
      <c r="H1758" s="9" t="s">
        <v>4845</v>
      </c>
      <c r="I1758" s="10">
        <v>45534</v>
      </c>
    </row>
    <row r="1759" spans="1:9" x14ac:dyDescent="0.15">
      <c r="A1759" s="9">
        <v>1758</v>
      </c>
      <c r="B1759" s="9" t="s">
        <v>9</v>
      </c>
      <c r="C1759" s="9">
        <v>1912</v>
      </c>
      <c r="D1759" s="10">
        <v>45616</v>
      </c>
      <c r="E1759" s="13" t="str">
        <f>+HYPERLINK("http://trademark.i-assist.jp/data/china/image_1912th/80657564.pdf","80657564")</f>
        <v>80657564</v>
      </c>
      <c r="F1759" s="9" t="s">
        <v>4846</v>
      </c>
      <c r="G1759" s="12" t="s">
        <v>4847</v>
      </c>
      <c r="H1759" s="9" t="s">
        <v>4848</v>
      </c>
      <c r="I1759" s="10">
        <v>45534</v>
      </c>
    </row>
    <row r="1760" spans="1:9" x14ac:dyDescent="0.15">
      <c r="A1760" s="9">
        <v>1759</v>
      </c>
      <c r="B1760" s="9" t="s">
        <v>9</v>
      </c>
      <c r="C1760" s="9">
        <v>1912</v>
      </c>
      <c r="D1760" s="10">
        <v>45616</v>
      </c>
      <c r="E1760" s="13" t="str">
        <f>+HYPERLINK("http://trademark.i-assist.jp/data/china/image_1912th/80657596.pdf","80657596")</f>
        <v>80657596</v>
      </c>
      <c r="F1760" s="9" t="s">
        <v>4849</v>
      </c>
      <c r="G1760" s="9" t="s">
        <v>4850</v>
      </c>
      <c r="H1760" s="12" t="s">
        <v>4851</v>
      </c>
      <c r="I1760" s="10">
        <v>45534</v>
      </c>
    </row>
    <row r="1761" spans="1:9" x14ac:dyDescent="0.15">
      <c r="A1761" s="9">
        <v>1760</v>
      </c>
      <c r="B1761" s="9" t="s">
        <v>9</v>
      </c>
      <c r="C1761" s="9">
        <v>1912</v>
      </c>
      <c r="D1761" s="10">
        <v>45616</v>
      </c>
      <c r="E1761" s="13" t="str">
        <f>+HYPERLINK("http://trademark.i-assist.jp/data/china/image_1912th/80657724.pdf","80657724")</f>
        <v>80657724</v>
      </c>
      <c r="F1761" s="9" t="s">
        <v>4852</v>
      </c>
      <c r="G1761" s="12" t="s">
        <v>4853</v>
      </c>
      <c r="H1761" s="9" t="s">
        <v>4854</v>
      </c>
      <c r="I1761" s="10">
        <v>45534</v>
      </c>
    </row>
    <row r="1762" spans="1:9" x14ac:dyDescent="0.15">
      <c r="A1762" s="9">
        <v>1761</v>
      </c>
      <c r="B1762" s="9" t="s">
        <v>9</v>
      </c>
      <c r="C1762" s="9">
        <v>1912</v>
      </c>
      <c r="D1762" s="10">
        <v>45616</v>
      </c>
      <c r="E1762" s="13" t="str">
        <f>+HYPERLINK("http://trademark.i-assist.jp/data/china/image_1912th/80657913.pdf","80657913")</f>
        <v>80657913</v>
      </c>
      <c r="F1762" s="9" t="s">
        <v>4855</v>
      </c>
      <c r="G1762" s="12" t="s">
        <v>4856</v>
      </c>
      <c r="H1762" s="9" t="s">
        <v>4857</v>
      </c>
      <c r="I1762" s="10">
        <v>45534</v>
      </c>
    </row>
    <row r="1763" spans="1:9" x14ac:dyDescent="0.15">
      <c r="A1763" s="9">
        <v>1762</v>
      </c>
      <c r="B1763" s="9" t="s">
        <v>9</v>
      </c>
      <c r="C1763" s="9">
        <v>1912</v>
      </c>
      <c r="D1763" s="10">
        <v>45616</v>
      </c>
      <c r="E1763" s="13" t="str">
        <f>+HYPERLINK("http://trademark.i-assist.jp/data/china/image_1912th/80658032.pdf","80658032")</f>
        <v>80658032</v>
      </c>
      <c r="F1763" s="9" t="s">
        <v>4858</v>
      </c>
      <c r="G1763" s="12" t="s">
        <v>4859</v>
      </c>
      <c r="H1763" s="9" t="s">
        <v>4860</v>
      </c>
      <c r="I1763" s="10">
        <v>45534</v>
      </c>
    </row>
    <row r="1764" spans="1:9" x14ac:dyDescent="0.15">
      <c r="A1764" s="9">
        <v>1763</v>
      </c>
      <c r="B1764" s="9" t="s">
        <v>9</v>
      </c>
      <c r="C1764" s="9">
        <v>1912</v>
      </c>
      <c r="D1764" s="10">
        <v>45616</v>
      </c>
      <c r="E1764" s="13" t="str">
        <f>+HYPERLINK("http://trademark.i-assist.jp/data/china/image_1912th/80658055.pdf","80658055")</f>
        <v>80658055</v>
      </c>
      <c r="F1764" s="9" t="s">
        <v>4861</v>
      </c>
      <c r="G1764" s="9" t="s">
        <v>4862</v>
      </c>
      <c r="H1764" s="9" t="s">
        <v>4863</v>
      </c>
      <c r="I1764" s="10">
        <v>45534</v>
      </c>
    </row>
    <row r="1765" spans="1:9" x14ac:dyDescent="0.15">
      <c r="A1765" s="9">
        <v>1764</v>
      </c>
      <c r="B1765" s="9" t="s">
        <v>9</v>
      </c>
      <c r="C1765" s="9">
        <v>1912</v>
      </c>
      <c r="D1765" s="10">
        <v>45616</v>
      </c>
      <c r="E1765" s="13" t="str">
        <f>+HYPERLINK("http://trademark.i-assist.jp/data/china/image_1912th/80658091.pdf","80658091")</f>
        <v>80658091</v>
      </c>
      <c r="F1765" s="12" t="s">
        <v>4864</v>
      </c>
      <c r="G1765" s="9" t="s">
        <v>4865</v>
      </c>
      <c r="H1765" s="9" t="s">
        <v>4866</v>
      </c>
      <c r="I1765" s="10">
        <v>45534</v>
      </c>
    </row>
    <row r="1766" spans="1:9" x14ac:dyDescent="0.15">
      <c r="A1766" s="9">
        <v>1765</v>
      </c>
      <c r="B1766" s="9" t="s">
        <v>9</v>
      </c>
      <c r="C1766" s="9">
        <v>1912</v>
      </c>
      <c r="D1766" s="10">
        <v>45616</v>
      </c>
      <c r="E1766" s="13" t="str">
        <f>+HYPERLINK("http://trademark.i-assist.jp/data/china/image_1912th/80658224.pdf","80658224")</f>
        <v>80658224</v>
      </c>
      <c r="F1766" s="9" t="s">
        <v>4867</v>
      </c>
      <c r="G1766" s="12" t="s">
        <v>2799</v>
      </c>
      <c r="H1766" s="9" t="s">
        <v>4868</v>
      </c>
      <c r="I1766" s="10">
        <v>45534</v>
      </c>
    </row>
    <row r="1767" spans="1:9" x14ac:dyDescent="0.15">
      <c r="A1767" s="9">
        <v>1766</v>
      </c>
      <c r="B1767" s="9" t="s">
        <v>9</v>
      </c>
      <c r="C1767" s="9">
        <v>1912</v>
      </c>
      <c r="D1767" s="10">
        <v>45616</v>
      </c>
      <c r="E1767" s="13" t="str">
        <f>+HYPERLINK("http://trademark.i-assist.jp/data/china/image_1912th/80658290.pdf","80658290")</f>
        <v>80658290</v>
      </c>
      <c r="F1767" s="12" t="s">
        <v>4869</v>
      </c>
      <c r="G1767" s="12" t="s">
        <v>4870</v>
      </c>
      <c r="H1767" s="9" t="s">
        <v>4871</v>
      </c>
      <c r="I1767" s="10">
        <v>45534</v>
      </c>
    </row>
    <row r="1768" spans="1:9" x14ac:dyDescent="0.15">
      <c r="A1768" s="9">
        <v>1767</v>
      </c>
      <c r="B1768" s="9" t="s">
        <v>9</v>
      </c>
      <c r="C1768" s="9">
        <v>1912</v>
      </c>
      <c r="D1768" s="10">
        <v>45616</v>
      </c>
      <c r="E1768" s="13" t="str">
        <f>+HYPERLINK("http://trademark.i-assist.jp/data/china/image_1912th/80658357.pdf","80658357")</f>
        <v>80658357</v>
      </c>
      <c r="F1768" s="9" t="s">
        <v>4872</v>
      </c>
      <c r="G1768" s="9" t="s">
        <v>4697</v>
      </c>
      <c r="H1768" s="9" t="s">
        <v>4873</v>
      </c>
      <c r="I1768" s="10">
        <v>45534</v>
      </c>
    </row>
    <row r="1769" spans="1:9" x14ac:dyDescent="0.15">
      <c r="A1769" s="9">
        <v>1768</v>
      </c>
      <c r="B1769" s="9" t="s">
        <v>9</v>
      </c>
      <c r="C1769" s="9">
        <v>1912</v>
      </c>
      <c r="D1769" s="10">
        <v>45616</v>
      </c>
      <c r="E1769" s="13" t="str">
        <f>+HYPERLINK("http://trademark.i-assist.jp/data/china/image_1912th/80658729.pdf","80658729")</f>
        <v>80658729</v>
      </c>
      <c r="F1769" s="12" t="s">
        <v>15</v>
      </c>
      <c r="G1769" s="9" t="s">
        <v>4874</v>
      </c>
      <c r="H1769" s="9" t="s">
        <v>4875</v>
      </c>
      <c r="I1769" s="10">
        <v>45534</v>
      </c>
    </row>
    <row r="1770" spans="1:9" x14ac:dyDescent="0.15">
      <c r="A1770" s="9">
        <v>1769</v>
      </c>
      <c r="B1770" s="9" t="s">
        <v>9</v>
      </c>
      <c r="C1770" s="9">
        <v>1912</v>
      </c>
      <c r="D1770" s="10">
        <v>45616</v>
      </c>
      <c r="E1770" s="13" t="str">
        <f>+HYPERLINK("http://trademark.i-assist.jp/data/china/image_1912th/80658972.pdf","80658972")</f>
        <v>80658972</v>
      </c>
      <c r="F1770" s="9" t="s">
        <v>4876</v>
      </c>
      <c r="G1770" s="9" t="s">
        <v>4877</v>
      </c>
      <c r="H1770" s="9" t="s">
        <v>4878</v>
      </c>
      <c r="I1770" s="10">
        <v>45534</v>
      </c>
    </row>
    <row r="1771" spans="1:9" x14ac:dyDescent="0.15">
      <c r="A1771" s="9">
        <v>1770</v>
      </c>
      <c r="B1771" s="9" t="s">
        <v>9</v>
      </c>
      <c r="C1771" s="9">
        <v>1912</v>
      </c>
      <c r="D1771" s="10">
        <v>45616</v>
      </c>
      <c r="E1771" s="13" t="str">
        <f>+HYPERLINK("http://trademark.i-assist.jp/data/china/image_1912th/80659205.pdf","80659205")</f>
        <v>80659205</v>
      </c>
      <c r="F1771" s="9" t="s">
        <v>4879</v>
      </c>
      <c r="G1771" s="9" t="s">
        <v>4880</v>
      </c>
      <c r="H1771" s="9" t="s">
        <v>4881</v>
      </c>
      <c r="I1771" s="10">
        <v>45534</v>
      </c>
    </row>
    <row r="1772" spans="1:9" x14ac:dyDescent="0.15">
      <c r="A1772" s="9">
        <v>1771</v>
      </c>
      <c r="B1772" s="9" t="s">
        <v>9</v>
      </c>
      <c r="C1772" s="9">
        <v>1912</v>
      </c>
      <c r="D1772" s="10">
        <v>45616</v>
      </c>
      <c r="E1772" s="13" t="str">
        <f>+HYPERLINK("http://trademark.i-assist.jp/data/china/image_1912th/80659718.pdf","80659718")</f>
        <v>80659718</v>
      </c>
      <c r="F1772" s="9" t="s">
        <v>4882</v>
      </c>
      <c r="G1772" s="9" t="s">
        <v>4697</v>
      </c>
      <c r="H1772" s="9" t="s">
        <v>4883</v>
      </c>
      <c r="I1772" s="10">
        <v>45534</v>
      </c>
    </row>
    <row r="1773" spans="1:9" x14ac:dyDescent="0.15">
      <c r="A1773" s="9">
        <v>1772</v>
      </c>
      <c r="B1773" s="9" t="s">
        <v>9</v>
      </c>
      <c r="C1773" s="9">
        <v>1912</v>
      </c>
      <c r="D1773" s="10">
        <v>45616</v>
      </c>
      <c r="E1773" s="13" t="str">
        <f>+HYPERLINK("http://trademark.i-assist.jp/data/china/image_1912th/80659773.pdf","80659773")</f>
        <v>80659773</v>
      </c>
      <c r="F1773" s="9" t="s">
        <v>4884</v>
      </c>
      <c r="G1773" s="9" t="s">
        <v>4885</v>
      </c>
      <c r="H1773" s="9" t="s">
        <v>4886</v>
      </c>
      <c r="I1773" s="10">
        <v>45534</v>
      </c>
    </row>
    <row r="1774" spans="1:9" x14ac:dyDescent="0.15">
      <c r="A1774" s="9">
        <v>1773</v>
      </c>
      <c r="B1774" s="9" t="s">
        <v>9</v>
      </c>
      <c r="C1774" s="9">
        <v>1912</v>
      </c>
      <c r="D1774" s="10">
        <v>45616</v>
      </c>
      <c r="E1774" s="13" t="str">
        <f>+HYPERLINK("http://trademark.i-assist.jp/data/china/image_1912th/80659848.pdf","80659848")</f>
        <v>80659848</v>
      </c>
      <c r="F1774" s="9" t="s">
        <v>4887</v>
      </c>
      <c r="G1774" s="9" t="s">
        <v>4888</v>
      </c>
      <c r="H1774" s="9" t="s">
        <v>4889</v>
      </c>
      <c r="I1774" s="10">
        <v>45534</v>
      </c>
    </row>
    <row r="1775" spans="1:9" x14ac:dyDescent="0.15">
      <c r="A1775" s="9">
        <v>1774</v>
      </c>
      <c r="B1775" s="9" t="s">
        <v>9</v>
      </c>
      <c r="C1775" s="9">
        <v>1912</v>
      </c>
      <c r="D1775" s="10">
        <v>45616</v>
      </c>
      <c r="E1775" s="13" t="str">
        <f>+HYPERLINK("http://trademark.i-assist.jp/data/china/image_1912th/80660419.pdf","80660419")</f>
        <v>80660419</v>
      </c>
      <c r="F1775" s="9" t="s">
        <v>4890</v>
      </c>
      <c r="G1775" s="12" t="s">
        <v>4680</v>
      </c>
      <c r="H1775" s="9" t="s">
        <v>4891</v>
      </c>
      <c r="I1775" s="10">
        <v>45534</v>
      </c>
    </row>
    <row r="1776" spans="1:9" x14ac:dyDescent="0.15">
      <c r="A1776" s="9">
        <v>1775</v>
      </c>
      <c r="B1776" s="9" t="s">
        <v>9</v>
      </c>
      <c r="C1776" s="9">
        <v>1912</v>
      </c>
      <c r="D1776" s="10">
        <v>45616</v>
      </c>
      <c r="E1776" s="13" t="str">
        <f>+HYPERLINK("http://trademark.i-assist.jp/data/china/image_1912th/80660442.pdf","80660442")</f>
        <v>80660442</v>
      </c>
      <c r="F1776" s="12" t="s">
        <v>4892</v>
      </c>
      <c r="G1776" s="12" t="s">
        <v>4893</v>
      </c>
      <c r="H1776" s="9" t="s">
        <v>4894</v>
      </c>
      <c r="I1776" s="10">
        <v>45534</v>
      </c>
    </row>
    <row r="1777" spans="1:9" x14ac:dyDescent="0.15">
      <c r="A1777" s="9">
        <v>1776</v>
      </c>
      <c r="B1777" s="9" t="s">
        <v>9</v>
      </c>
      <c r="C1777" s="9">
        <v>1912</v>
      </c>
      <c r="D1777" s="10">
        <v>45616</v>
      </c>
      <c r="E1777" s="13" t="str">
        <f>+HYPERLINK("http://trademark.i-assist.jp/data/china/image_1912th/80660710.pdf","80660710")</f>
        <v>80660710</v>
      </c>
      <c r="F1777" s="9" t="s">
        <v>4895</v>
      </c>
      <c r="G1777" s="9" t="s">
        <v>4896</v>
      </c>
      <c r="H1777" s="9" t="s">
        <v>4897</v>
      </c>
      <c r="I1777" s="10">
        <v>45534</v>
      </c>
    </row>
    <row r="1778" spans="1:9" x14ac:dyDescent="0.15">
      <c r="A1778" s="9">
        <v>1777</v>
      </c>
      <c r="B1778" s="9" t="s">
        <v>9</v>
      </c>
      <c r="C1778" s="9">
        <v>1912</v>
      </c>
      <c r="D1778" s="10">
        <v>45616</v>
      </c>
      <c r="E1778" s="13" t="str">
        <f>+HYPERLINK("http://trademark.i-assist.jp/data/china/image_1912th/80660873.pdf","80660873")</f>
        <v>80660873</v>
      </c>
      <c r="F1778" s="12" t="s">
        <v>4898</v>
      </c>
      <c r="G1778" s="9" t="s">
        <v>4899</v>
      </c>
      <c r="H1778" s="12" t="s">
        <v>4900</v>
      </c>
      <c r="I1778" s="10">
        <v>45534</v>
      </c>
    </row>
    <row r="1779" spans="1:9" x14ac:dyDescent="0.15">
      <c r="A1779" s="9">
        <v>1778</v>
      </c>
      <c r="B1779" s="9" t="s">
        <v>9</v>
      </c>
      <c r="C1779" s="9">
        <v>1912</v>
      </c>
      <c r="D1779" s="10">
        <v>45616</v>
      </c>
      <c r="E1779" s="13" t="str">
        <f>+HYPERLINK("http://trademark.i-assist.jp/data/china/image_1912th/80661129.pdf","80661129")</f>
        <v>80661129</v>
      </c>
      <c r="F1779" s="9" t="s">
        <v>4901</v>
      </c>
      <c r="G1779" s="9" t="s">
        <v>4902</v>
      </c>
      <c r="H1779" s="12" t="s">
        <v>4903</v>
      </c>
      <c r="I1779" s="10">
        <v>45534</v>
      </c>
    </row>
    <row r="1780" spans="1:9" x14ac:dyDescent="0.15">
      <c r="A1780" s="9">
        <v>1779</v>
      </c>
      <c r="B1780" s="9" t="s">
        <v>9</v>
      </c>
      <c r="C1780" s="9">
        <v>1912</v>
      </c>
      <c r="D1780" s="10">
        <v>45616</v>
      </c>
      <c r="E1780" s="13" t="str">
        <f>+HYPERLINK("http://trademark.i-assist.jp/data/china/image_1912th/80661418.pdf","80661418")</f>
        <v>80661418</v>
      </c>
      <c r="F1780" s="12" t="s">
        <v>4904</v>
      </c>
      <c r="G1780" s="9" t="s">
        <v>4905</v>
      </c>
      <c r="H1780" s="9" t="s">
        <v>4906</v>
      </c>
      <c r="I1780" s="10">
        <v>45534</v>
      </c>
    </row>
    <row r="1781" spans="1:9" x14ac:dyDescent="0.15">
      <c r="A1781" s="9">
        <v>1780</v>
      </c>
      <c r="B1781" s="9" t="s">
        <v>9</v>
      </c>
      <c r="C1781" s="9">
        <v>1912</v>
      </c>
      <c r="D1781" s="10">
        <v>45616</v>
      </c>
      <c r="E1781" s="13" t="str">
        <f>+HYPERLINK("http://trademark.i-assist.jp/data/china/image_1912th/80661421.pdf","80661421")</f>
        <v>80661421</v>
      </c>
      <c r="F1781" s="9" t="s">
        <v>4907</v>
      </c>
      <c r="G1781" s="9" t="s">
        <v>4700</v>
      </c>
      <c r="H1781" s="9" t="s">
        <v>4908</v>
      </c>
      <c r="I1781" s="10">
        <v>45534</v>
      </c>
    </row>
    <row r="1782" spans="1:9" x14ac:dyDescent="0.15">
      <c r="A1782" s="9">
        <v>1781</v>
      </c>
      <c r="B1782" s="9" t="s">
        <v>9</v>
      </c>
      <c r="C1782" s="9">
        <v>1912</v>
      </c>
      <c r="D1782" s="10">
        <v>45616</v>
      </c>
      <c r="E1782" s="13" t="str">
        <f>+HYPERLINK("http://trademark.i-assist.jp/data/china/image_1912th/80661456.pdf","80661456")</f>
        <v>80661456</v>
      </c>
      <c r="F1782" s="9" t="s">
        <v>4909</v>
      </c>
      <c r="G1782" s="9" t="s">
        <v>4910</v>
      </c>
      <c r="H1782" s="9" t="s">
        <v>4911</v>
      </c>
      <c r="I1782" s="10">
        <v>45534</v>
      </c>
    </row>
    <row r="1783" spans="1:9" x14ac:dyDescent="0.15">
      <c r="A1783" s="9">
        <v>1782</v>
      </c>
      <c r="B1783" s="9" t="s">
        <v>9</v>
      </c>
      <c r="C1783" s="9">
        <v>1912</v>
      </c>
      <c r="D1783" s="10">
        <v>45616</v>
      </c>
      <c r="E1783" s="13" t="str">
        <f>+HYPERLINK("http://trademark.i-assist.jp/data/china/image_1912th/80661583.pdf","80661583")</f>
        <v>80661583</v>
      </c>
      <c r="F1783" s="9" t="s">
        <v>4912</v>
      </c>
      <c r="G1783" s="9" t="s">
        <v>4913</v>
      </c>
      <c r="H1783" s="9" t="s">
        <v>4914</v>
      </c>
      <c r="I1783" s="10">
        <v>45534</v>
      </c>
    </row>
    <row r="1784" spans="1:9" x14ac:dyDescent="0.15">
      <c r="A1784" s="9">
        <v>1783</v>
      </c>
      <c r="B1784" s="9" t="s">
        <v>9</v>
      </c>
      <c r="C1784" s="9">
        <v>1912</v>
      </c>
      <c r="D1784" s="10">
        <v>45616</v>
      </c>
      <c r="E1784" s="13" t="str">
        <f>+HYPERLINK("http://trademark.i-assist.jp/data/china/image_1912th/80661593.pdf","80661593")</f>
        <v>80661593</v>
      </c>
      <c r="F1784" s="9" t="s">
        <v>4915</v>
      </c>
      <c r="G1784" s="9" t="s">
        <v>4596</v>
      </c>
      <c r="H1784" s="9" t="s">
        <v>4916</v>
      </c>
      <c r="I1784" s="10">
        <v>45534</v>
      </c>
    </row>
    <row r="1785" spans="1:9" x14ac:dyDescent="0.15">
      <c r="A1785" s="9">
        <v>1784</v>
      </c>
      <c r="B1785" s="9" t="s">
        <v>9</v>
      </c>
      <c r="C1785" s="9">
        <v>1912</v>
      </c>
      <c r="D1785" s="10">
        <v>45616</v>
      </c>
      <c r="E1785" s="13" t="str">
        <f>+HYPERLINK("http://trademark.i-assist.jp/data/china/image_1912th/80662119.pdf","80662119")</f>
        <v>80662119</v>
      </c>
      <c r="F1785" s="12" t="s">
        <v>4917</v>
      </c>
      <c r="G1785" s="9" t="s">
        <v>4918</v>
      </c>
      <c r="H1785" s="9" t="s">
        <v>4919</v>
      </c>
      <c r="I1785" s="10">
        <v>45534</v>
      </c>
    </row>
    <row r="1786" spans="1:9" x14ac:dyDescent="0.15">
      <c r="A1786" s="9">
        <v>1785</v>
      </c>
      <c r="B1786" s="9" t="s">
        <v>9</v>
      </c>
      <c r="C1786" s="9">
        <v>1912</v>
      </c>
      <c r="D1786" s="10">
        <v>45616</v>
      </c>
      <c r="E1786" s="13" t="str">
        <f>+HYPERLINK("http://trademark.i-assist.jp/data/china/image_1912th/80662430.pdf","80662430")</f>
        <v>80662430</v>
      </c>
      <c r="F1786" s="9" t="s">
        <v>4920</v>
      </c>
      <c r="G1786" s="9" t="s">
        <v>4921</v>
      </c>
      <c r="H1786" s="9" t="s">
        <v>4922</v>
      </c>
      <c r="I1786" s="10">
        <v>45534</v>
      </c>
    </row>
    <row r="1787" spans="1:9" x14ac:dyDescent="0.15">
      <c r="A1787" s="9">
        <v>1786</v>
      </c>
      <c r="B1787" s="9" t="s">
        <v>9</v>
      </c>
      <c r="C1787" s="9">
        <v>1912</v>
      </c>
      <c r="D1787" s="10">
        <v>45616</v>
      </c>
      <c r="E1787" s="13" t="str">
        <f>+HYPERLINK("http://trademark.i-assist.jp/data/china/image_1912th/80662544.pdf","80662544")</f>
        <v>80662544</v>
      </c>
      <c r="F1787" s="12" t="s">
        <v>4923</v>
      </c>
      <c r="G1787" s="9" t="s">
        <v>4924</v>
      </c>
      <c r="H1787" s="9" t="s">
        <v>4925</v>
      </c>
      <c r="I1787" s="10">
        <v>45534</v>
      </c>
    </row>
    <row r="1788" spans="1:9" x14ac:dyDescent="0.15">
      <c r="A1788" s="9">
        <v>1787</v>
      </c>
      <c r="B1788" s="9" t="s">
        <v>9</v>
      </c>
      <c r="C1788" s="9">
        <v>1912</v>
      </c>
      <c r="D1788" s="10">
        <v>45616</v>
      </c>
      <c r="E1788" s="13" t="str">
        <f>+HYPERLINK("http://trademark.i-assist.jp/data/china/image_1912th/80662735.pdf","80662735")</f>
        <v>80662735</v>
      </c>
      <c r="F1788" s="9" t="s">
        <v>4926</v>
      </c>
      <c r="G1788" s="9" t="s">
        <v>4801</v>
      </c>
      <c r="H1788" s="9" t="s">
        <v>4927</v>
      </c>
      <c r="I1788" s="10">
        <v>45534</v>
      </c>
    </row>
    <row r="1789" spans="1:9" x14ac:dyDescent="0.15">
      <c r="A1789" s="9">
        <v>1788</v>
      </c>
      <c r="B1789" s="9" t="s">
        <v>9</v>
      </c>
      <c r="C1789" s="9">
        <v>1912</v>
      </c>
      <c r="D1789" s="10">
        <v>45616</v>
      </c>
      <c r="E1789" s="13" t="str">
        <f>+HYPERLINK("http://trademark.i-assist.jp/data/china/image_1912th/80662845.pdf","80662845")</f>
        <v>80662845</v>
      </c>
      <c r="F1789" s="9" t="s">
        <v>4928</v>
      </c>
      <c r="G1789" s="9" t="s">
        <v>4929</v>
      </c>
      <c r="H1789" s="9" t="s">
        <v>4930</v>
      </c>
      <c r="I1789" s="10">
        <v>45534</v>
      </c>
    </row>
    <row r="1790" spans="1:9" x14ac:dyDescent="0.15">
      <c r="A1790" s="9">
        <v>1789</v>
      </c>
      <c r="B1790" s="9" t="s">
        <v>9</v>
      </c>
      <c r="C1790" s="9">
        <v>1912</v>
      </c>
      <c r="D1790" s="10">
        <v>45616</v>
      </c>
      <c r="E1790" s="13" t="str">
        <f>+HYPERLINK("http://trademark.i-assist.jp/data/china/image_1912th/80662890.pdf","80662890")</f>
        <v>80662890</v>
      </c>
      <c r="F1790" s="9" t="s">
        <v>4931</v>
      </c>
      <c r="G1790" s="12" t="s">
        <v>2463</v>
      </c>
      <c r="H1790" s="9" t="s">
        <v>4932</v>
      </c>
      <c r="I1790" s="10">
        <v>45534</v>
      </c>
    </row>
    <row r="1791" spans="1:9" x14ac:dyDescent="0.15">
      <c r="A1791" s="9">
        <v>1790</v>
      </c>
      <c r="B1791" s="9" t="s">
        <v>9</v>
      </c>
      <c r="C1791" s="9">
        <v>1912</v>
      </c>
      <c r="D1791" s="10">
        <v>45616</v>
      </c>
      <c r="E1791" s="13" t="str">
        <f>+HYPERLINK("http://trademark.i-assist.jp/data/china/image_1912th/80663151.pdf","80663151")</f>
        <v>80663151</v>
      </c>
      <c r="F1791" s="9" t="s">
        <v>4933</v>
      </c>
      <c r="G1791" s="9" t="s">
        <v>4934</v>
      </c>
      <c r="H1791" s="9" t="s">
        <v>4935</v>
      </c>
      <c r="I1791" s="10">
        <v>45534</v>
      </c>
    </row>
    <row r="1792" spans="1:9" x14ac:dyDescent="0.15">
      <c r="A1792" s="9">
        <v>1791</v>
      </c>
      <c r="B1792" s="9" t="s">
        <v>9</v>
      </c>
      <c r="C1792" s="9">
        <v>1912</v>
      </c>
      <c r="D1792" s="10">
        <v>45616</v>
      </c>
      <c r="E1792" s="13" t="str">
        <f>+HYPERLINK("http://trademark.i-assist.jp/data/china/image_1912th/80663230.pdf","80663230")</f>
        <v>80663230</v>
      </c>
      <c r="F1792" s="12" t="s">
        <v>4936</v>
      </c>
      <c r="G1792" s="9" t="s">
        <v>4937</v>
      </c>
      <c r="H1792" s="9" t="s">
        <v>4938</v>
      </c>
      <c r="I1792" s="10">
        <v>45534</v>
      </c>
    </row>
    <row r="1793" spans="1:9" x14ac:dyDescent="0.15">
      <c r="A1793" s="9">
        <v>1792</v>
      </c>
      <c r="B1793" s="9" t="s">
        <v>9</v>
      </c>
      <c r="C1793" s="9">
        <v>1912</v>
      </c>
      <c r="D1793" s="10">
        <v>45616</v>
      </c>
      <c r="E1793" s="13" t="str">
        <f>+HYPERLINK("http://trademark.i-assist.jp/data/china/image_1912th/80663233.pdf","80663233")</f>
        <v>80663233</v>
      </c>
      <c r="F1793" s="9" t="s">
        <v>4939</v>
      </c>
      <c r="G1793" s="12" t="s">
        <v>4940</v>
      </c>
      <c r="H1793" s="12" t="s">
        <v>4941</v>
      </c>
      <c r="I1793" s="10">
        <v>45534</v>
      </c>
    </row>
    <row r="1794" spans="1:9" x14ac:dyDescent="0.15">
      <c r="A1794" s="9">
        <v>1793</v>
      </c>
      <c r="B1794" s="9" t="s">
        <v>9</v>
      </c>
      <c r="C1794" s="9">
        <v>1912</v>
      </c>
      <c r="D1794" s="10">
        <v>45616</v>
      </c>
      <c r="E1794" s="13" t="str">
        <f>+HYPERLINK("http://trademark.i-assist.jp/data/china/image_1912th/80663298.pdf","80663298")</f>
        <v>80663298</v>
      </c>
      <c r="F1794" s="9" t="s">
        <v>4942</v>
      </c>
      <c r="G1794" s="12" t="s">
        <v>4943</v>
      </c>
      <c r="H1794" s="9" t="s">
        <v>4944</v>
      </c>
      <c r="I1794" s="10">
        <v>45534</v>
      </c>
    </row>
    <row r="1795" spans="1:9" x14ac:dyDescent="0.15">
      <c r="A1795" s="9">
        <v>1794</v>
      </c>
      <c r="B1795" s="9" t="s">
        <v>9</v>
      </c>
      <c r="C1795" s="9">
        <v>1912</v>
      </c>
      <c r="D1795" s="10">
        <v>45616</v>
      </c>
      <c r="E1795" s="13" t="str">
        <f>+HYPERLINK("http://trademark.i-assist.jp/data/china/image_1912th/80663705.pdf","80663705")</f>
        <v>80663705</v>
      </c>
      <c r="F1795" s="9" t="s">
        <v>4945</v>
      </c>
      <c r="G1795" s="9" t="s">
        <v>4946</v>
      </c>
      <c r="H1795" s="9" t="s">
        <v>4947</v>
      </c>
      <c r="I1795" s="10">
        <v>45534</v>
      </c>
    </row>
    <row r="1796" spans="1:9" x14ac:dyDescent="0.15">
      <c r="A1796" s="9">
        <v>1795</v>
      </c>
      <c r="B1796" s="9" t="s">
        <v>9</v>
      </c>
      <c r="C1796" s="9">
        <v>1912</v>
      </c>
      <c r="D1796" s="10">
        <v>45616</v>
      </c>
      <c r="E1796" s="13" t="str">
        <f>+HYPERLINK("http://trademark.i-assist.jp/data/china/image_1912th/80663777.pdf","80663777")</f>
        <v>80663777</v>
      </c>
      <c r="F1796" s="9" t="s">
        <v>4948</v>
      </c>
      <c r="G1796" s="9" t="s">
        <v>4949</v>
      </c>
      <c r="H1796" s="9" t="s">
        <v>4950</v>
      </c>
      <c r="I1796" s="10">
        <v>45534</v>
      </c>
    </row>
    <row r="1797" spans="1:9" x14ac:dyDescent="0.15">
      <c r="A1797" s="9">
        <v>1796</v>
      </c>
      <c r="B1797" s="9" t="s">
        <v>9</v>
      </c>
      <c r="C1797" s="9">
        <v>1912</v>
      </c>
      <c r="D1797" s="10">
        <v>45616</v>
      </c>
      <c r="E1797" s="13" t="str">
        <f>+HYPERLINK("http://trademark.i-assist.jp/data/china/image_1912th/80663812.pdf","80663812")</f>
        <v>80663812</v>
      </c>
      <c r="F1797" s="9" t="s">
        <v>4951</v>
      </c>
      <c r="G1797" s="9" t="s">
        <v>4952</v>
      </c>
      <c r="H1797" s="9" t="s">
        <v>4953</v>
      </c>
      <c r="I1797" s="10">
        <v>45534</v>
      </c>
    </row>
    <row r="1798" spans="1:9" x14ac:dyDescent="0.15">
      <c r="A1798" s="9">
        <v>1797</v>
      </c>
      <c r="B1798" s="9" t="s">
        <v>9</v>
      </c>
      <c r="C1798" s="9">
        <v>1912</v>
      </c>
      <c r="D1798" s="10">
        <v>45616</v>
      </c>
      <c r="E1798" s="13" t="str">
        <f>+HYPERLINK("http://trademark.i-assist.jp/data/china/image_1912th/80663983.pdf","80663983")</f>
        <v>80663983</v>
      </c>
      <c r="F1798" s="12" t="s">
        <v>15</v>
      </c>
      <c r="G1798" s="9" t="s">
        <v>4954</v>
      </c>
      <c r="H1798" s="9" t="s">
        <v>4955</v>
      </c>
      <c r="I1798" s="10">
        <v>45534</v>
      </c>
    </row>
    <row r="1799" spans="1:9" x14ac:dyDescent="0.15">
      <c r="A1799" s="9">
        <v>1798</v>
      </c>
      <c r="B1799" s="9" t="s">
        <v>9</v>
      </c>
      <c r="C1799" s="9">
        <v>1912</v>
      </c>
      <c r="D1799" s="10">
        <v>45616</v>
      </c>
      <c r="E1799" s="13" t="str">
        <f>+HYPERLINK("http://trademark.i-assist.jp/data/china/image_1912th/80664226.pdf","80664226")</f>
        <v>80664226</v>
      </c>
      <c r="F1799" s="9" t="s">
        <v>4956</v>
      </c>
      <c r="G1799" s="9" t="s">
        <v>4957</v>
      </c>
      <c r="H1799" s="9" t="s">
        <v>4958</v>
      </c>
      <c r="I1799" s="10">
        <v>45534</v>
      </c>
    </row>
    <row r="1800" spans="1:9" x14ac:dyDescent="0.15">
      <c r="A1800" s="9">
        <v>1799</v>
      </c>
      <c r="B1800" s="9" t="s">
        <v>9</v>
      </c>
      <c r="C1800" s="9">
        <v>1912</v>
      </c>
      <c r="D1800" s="10">
        <v>45616</v>
      </c>
      <c r="E1800" s="13" t="str">
        <f>+HYPERLINK("http://trademark.i-assist.jp/data/china/image_1912th/80664592.pdf","80664592")</f>
        <v>80664592</v>
      </c>
      <c r="F1800" s="9" t="s">
        <v>4959</v>
      </c>
      <c r="G1800" s="9" t="s">
        <v>4700</v>
      </c>
      <c r="H1800" s="9" t="s">
        <v>4960</v>
      </c>
      <c r="I1800" s="10">
        <v>45534</v>
      </c>
    </row>
    <row r="1801" spans="1:9" x14ac:dyDescent="0.15">
      <c r="A1801" s="9">
        <v>1800</v>
      </c>
      <c r="B1801" s="9" t="s">
        <v>9</v>
      </c>
      <c r="C1801" s="9">
        <v>1912</v>
      </c>
      <c r="D1801" s="10">
        <v>45616</v>
      </c>
      <c r="E1801" s="13" t="str">
        <f>+HYPERLINK("http://trademark.i-assist.jp/data/china/image_1912th/80665114.pdf","80665114")</f>
        <v>80665114</v>
      </c>
      <c r="F1801" s="9" t="s">
        <v>4961</v>
      </c>
      <c r="G1801" s="9" t="s">
        <v>4962</v>
      </c>
      <c r="H1801" s="9" t="s">
        <v>4963</v>
      </c>
      <c r="I1801" s="10">
        <v>45534</v>
      </c>
    </row>
    <row r="1802" spans="1:9" x14ac:dyDescent="0.15">
      <c r="A1802" s="9">
        <v>1801</v>
      </c>
      <c r="B1802" s="9" t="s">
        <v>9</v>
      </c>
      <c r="C1802" s="9">
        <v>1912</v>
      </c>
      <c r="D1802" s="10">
        <v>45616</v>
      </c>
      <c r="E1802" s="13" t="str">
        <f>+HYPERLINK("http://trademark.i-assist.jp/data/china/image_1912th/80665473.pdf","80665473")</f>
        <v>80665473</v>
      </c>
      <c r="F1802" s="9" t="s">
        <v>4964</v>
      </c>
      <c r="G1802" s="12" t="s">
        <v>4683</v>
      </c>
      <c r="H1802" s="9" t="s">
        <v>4965</v>
      </c>
      <c r="I1802" s="10">
        <v>45534</v>
      </c>
    </row>
    <row r="1803" spans="1:9" x14ac:dyDescent="0.15">
      <c r="A1803" s="9">
        <v>1802</v>
      </c>
      <c r="B1803" s="9" t="s">
        <v>9</v>
      </c>
      <c r="C1803" s="9">
        <v>1912</v>
      </c>
      <c r="D1803" s="10">
        <v>45616</v>
      </c>
      <c r="E1803" s="13" t="str">
        <f>+HYPERLINK("http://trademark.i-assist.jp/data/china/image_1912th/80665716.pdf","80665716")</f>
        <v>80665716</v>
      </c>
      <c r="F1803" s="12" t="s">
        <v>15</v>
      </c>
      <c r="G1803" s="9" t="s">
        <v>4816</v>
      </c>
      <c r="H1803" s="9" t="s">
        <v>4966</v>
      </c>
      <c r="I1803" s="10">
        <v>45534</v>
      </c>
    </row>
    <row r="1804" spans="1:9" x14ac:dyDescent="0.15">
      <c r="A1804" s="9">
        <v>1803</v>
      </c>
      <c r="B1804" s="9" t="s">
        <v>9</v>
      </c>
      <c r="C1804" s="9">
        <v>1912</v>
      </c>
      <c r="D1804" s="10">
        <v>45616</v>
      </c>
      <c r="E1804" s="13" t="str">
        <f>+HYPERLINK("http://trademark.i-assist.jp/data/china/image_1912th/80665812.pdf","80665812")</f>
        <v>80665812</v>
      </c>
      <c r="F1804" s="9" t="s">
        <v>4967</v>
      </c>
      <c r="G1804" s="9" t="s">
        <v>4700</v>
      </c>
      <c r="H1804" s="9" t="s">
        <v>4968</v>
      </c>
      <c r="I1804" s="10">
        <v>45534</v>
      </c>
    </row>
    <row r="1805" spans="1:9" x14ac:dyDescent="0.15">
      <c r="A1805" s="9">
        <v>1804</v>
      </c>
      <c r="B1805" s="9" t="s">
        <v>9</v>
      </c>
      <c r="C1805" s="9">
        <v>1912</v>
      </c>
      <c r="D1805" s="10">
        <v>45616</v>
      </c>
      <c r="E1805" s="13" t="str">
        <f>+HYPERLINK("http://trademark.i-assist.jp/data/china/image_1912th/80665833.pdf","80665833")</f>
        <v>80665833</v>
      </c>
      <c r="F1805" s="9" t="s">
        <v>4969</v>
      </c>
      <c r="G1805" s="9" t="s">
        <v>4700</v>
      </c>
      <c r="H1805" s="12" t="s">
        <v>4970</v>
      </c>
      <c r="I1805" s="10">
        <v>45534</v>
      </c>
    </row>
    <row r="1806" spans="1:9" x14ac:dyDescent="0.15">
      <c r="A1806" s="9">
        <v>1805</v>
      </c>
      <c r="B1806" s="9" t="s">
        <v>9</v>
      </c>
      <c r="C1806" s="9">
        <v>1912</v>
      </c>
      <c r="D1806" s="10">
        <v>45616</v>
      </c>
      <c r="E1806" s="13" t="str">
        <f>+HYPERLINK("http://trademark.i-assist.jp/data/china/image_1912th/80665836.pdf","80665836")</f>
        <v>80665836</v>
      </c>
      <c r="F1806" s="9" t="s">
        <v>4971</v>
      </c>
      <c r="G1806" s="9" t="s">
        <v>4902</v>
      </c>
      <c r="H1806" s="12" t="s">
        <v>4972</v>
      </c>
      <c r="I1806" s="10">
        <v>45534</v>
      </c>
    </row>
    <row r="1807" spans="1:9" x14ac:dyDescent="0.15">
      <c r="A1807" s="9">
        <v>1806</v>
      </c>
      <c r="B1807" s="9" t="s">
        <v>9</v>
      </c>
      <c r="C1807" s="9">
        <v>1912</v>
      </c>
      <c r="D1807" s="10">
        <v>45616</v>
      </c>
      <c r="E1807" s="13" t="str">
        <f>+HYPERLINK("http://trademark.i-assist.jp/data/china/image_1912th/80665853.pdf","80665853")</f>
        <v>80665853</v>
      </c>
      <c r="F1807" s="9" t="s">
        <v>4973</v>
      </c>
      <c r="G1807" s="9" t="s">
        <v>4974</v>
      </c>
      <c r="H1807" s="9" t="s">
        <v>4975</v>
      </c>
      <c r="I1807" s="10">
        <v>45534</v>
      </c>
    </row>
    <row r="1808" spans="1:9" x14ac:dyDescent="0.15">
      <c r="A1808" s="9">
        <v>1807</v>
      </c>
      <c r="B1808" s="9" t="s">
        <v>9</v>
      </c>
      <c r="C1808" s="9">
        <v>1912</v>
      </c>
      <c r="D1808" s="10">
        <v>45616</v>
      </c>
      <c r="E1808" s="13" t="str">
        <f>+HYPERLINK("http://trademark.i-assist.jp/data/china/image_1912th/80665875.pdf","80665875")</f>
        <v>80665875</v>
      </c>
      <c r="F1808" s="12" t="s">
        <v>15</v>
      </c>
      <c r="G1808" s="9" t="s">
        <v>4702</v>
      </c>
      <c r="H1808" s="9" t="s">
        <v>4976</v>
      </c>
      <c r="I1808" s="10">
        <v>45534</v>
      </c>
    </row>
    <row r="1809" spans="1:9" x14ac:dyDescent="0.15">
      <c r="A1809" s="9">
        <v>1808</v>
      </c>
      <c r="B1809" s="9" t="s">
        <v>9</v>
      </c>
      <c r="C1809" s="9">
        <v>1912</v>
      </c>
      <c r="D1809" s="10">
        <v>45616</v>
      </c>
      <c r="E1809" s="13" t="str">
        <f>+HYPERLINK("http://trademark.i-assist.jp/data/china/image_1912th/80666049.pdf","80666049")</f>
        <v>80666049</v>
      </c>
      <c r="F1809" s="12" t="s">
        <v>15</v>
      </c>
      <c r="G1809" s="9" t="s">
        <v>4977</v>
      </c>
      <c r="H1809" s="9" t="s">
        <v>4978</v>
      </c>
      <c r="I1809" s="10">
        <v>45534</v>
      </c>
    </row>
    <row r="1810" spans="1:9" x14ac:dyDescent="0.15">
      <c r="A1810" s="9">
        <v>1809</v>
      </c>
      <c r="B1810" s="9" t="s">
        <v>9</v>
      </c>
      <c r="C1810" s="9">
        <v>1912</v>
      </c>
      <c r="D1810" s="10">
        <v>45616</v>
      </c>
      <c r="E1810" s="13" t="str">
        <f>+HYPERLINK("http://trademark.i-assist.jp/data/china/image_1912th/80666112.pdf","80666112")</f>
        <v>80666112</v>
      </c>
      <c r="F1810" s="9" t="s">
        <v>4979</v>
      </c>
      <c r="G1810" s="9" t="s">
        <v>4748</v>
      </c>
      <c r="H1810" s="9" t="s">
        <v>4980</v>
      </c>
      <c r="I1810" s="10">
        <v>45534</v>
      </c>
    </row>
    <row r="1811" spans="1:9" x14ac:dyDescent="0.15">
      <c r="A1811" s="9">
        <v>1810</v>
      </c>
      <c r="B1811" s="9" t="s">
        <v>9</v>
      </c>
      <c r="C1811" s="9">
        <v>1912</v>
      </c>
      <c r="D1811" s="10">
        <v>45616</v>
      </c>
      <c r="E1811" s="13" t="str">
        <f>+HYPERLINK("http://trademark.i-assist.jp/data/china/image_1912th/80666270.pdf","80666270")</f>
        <v>80666270</v>
      </c>
      <c r="F1811" s="9" t="s">
        <v>4981</v>
      </c>
      <c r="G1811" s="9" t="s">
        <v>4829</v>
      </c>
      <c r="H1811" s="9" t="s">
        <v>4982</v>
      </c>
      <c r="I1811" s="10">
        <v>45534</v>
      </c>
    </row>
    <row r="1812" spans="1:9" x14ac:dyDescent="0.15">
      <c r="A1812" s="9">
        <v>1811</v>
      </c>
      <c r="B1812" s="9" t="s">
        <v>9</v>
      </c>
      <c r="C1812" s="9">
        <v>1912</v>
      </c>
      <c r="D1812" s="10">
        <v>45616</v>
      </c>
      <c r="E1812" s="13" t="str">
        <f>+HYPERLINK("http://trademark.i-assist.jp/data/china/image_1912th/80666346.pdf","80666346")</f>
        <v>80666346</v>
      </c>
      <c r="F1812" s="9" t="s">
        <v>4983</v>
      </c>
      <c r="G1812" s="9" t="s">
        <v>4984</v>
      </c>
      <c r="H1812" s="9" t="s">
        <v>4985</v>
      </c>
      <c r="I1812" s="10">
        <v>45534</v>
      </c>
    </row>
    <row r="1813" spans="1:9" x14ac:dyDescent="0.15">
      <c r="A1813" s="9">
        <v>1812</v>
      </c>
      <c r="B1813" s="9" t="s">
        <v>9</v>
      </c>
      <c r="C1813" s="9">
        <v>1912</v>
      </c>
      <c r="D1813" s="10">
        <v>45616</v>
      </c>
      <c r="E1813" s="13" t="str">
        <f>+HYPERLINK("http://trademark.i-assist.jp/data/china/image_1912th/80666360.pdf","80666360")</f>
        <v>80666360</v>
      </c>
      <c r="F1813" s="9" t="s">
        <v>4986</v>
      </c>
      <c r="G1813" s="9" t="s">
        <v>4841</v>
      </c>
      <c r="H1813" s="12" t="s">
        <v>4987</v>
      </c>
      <c r="I1813" s="10">
        <v>45534</v>
      </c>
    </row>
    <row r="1814" spans="1:9" x14ac:dyDescent="0.15">
      <c r="A1814" s="9">
        <v>1813</v>
      </c>
      <c r="B1814" s="9" t="s">
        <v>9</v>
      </c>
      <c r="C1814" s="9">
        <v>1912</v>
      </c>
      <c r="D1814" s="10">
        <v>45616</v>
      </c>
      <c r="E1814" s="13" t="str">
        <f>+HYPERLINK("http://trademark.i-assist.jp/data/china/image_1912th/80666466.pdf","80666466")</f>
        <v>80666466</v>
      </c>
      <c r="F1814" s="11" t="s">
        <v>4988</v>
      </c>
      <c r="G1814" s="12" t="s">
        <v>4989</v>
      </c>
      <c r="H1814" s="12" t="s">
        <v>4990</v>
      </c>
      <c r="I1814" s="10">
        <v>45534</v>
      </c>
    </row>
    <row r="1815" spans="1:9" x14ac:dyDescent="0.15">
      <c r="A1815" s="9">
        <v>1814</v>
      </c>
      <c r="B1815" s="9" t="s">
        <v>9</v>
      </c>
      <c r="C1815" s="9">
        <v>1912</v>
      </c>
      <c r="D1815" s="10">
        <v>45616</v>
      </c>
      <c r="E1815" s="13" t="str">
        <f>+HYPERLINK("http://trademark.i-assist.jp/data/china/image_1912th/80666528.pdf","80666528")</f>
        <v>80666528</v>
      </c>
      <c r="F1815" s="9" t="s">
        <v>4991</v>
      </c>
      <c r="G1815" s="9" t="s">
        <v>4937</v>
      </c>
      <c r="H1815" s="9" t="s">
        <v>4992</v>
      </c>
      <c r="I1815" s="10">
        <v>45534</v>
      </c>
    </row>
    <row r="1816" spans="1:9" x14ac:dyDescent="0.15">
      <c r="A1816" s="9">
        <v>1815</v>
      </c>
      <c r="B1816" s="9" t="s">
        <v>9</v>
      </c>
      <c r="C1816" s="9">
        <v>1912</v>
      </c>
      <c r="D1816" s="10">
        <v>45616</v>
      </c>
      <c r="E1816" s="13" t="str">
        <f>+HYPERLINK("http://trademark.i-assist.jp/data/china/image_1912th/80666787.pdf","80666787")</f>
        <v>80666787</v>
      </c>
      <c r="F1816" s="12" t="s">
        <v>15</v>
      </c>
      <c r="G1816" s="9" t="s">
        <v>4993</v>
      </c>
      <c r="H1816" s="9" t="s">
        <v>4994</v>
      </c>
      <c r="I1816" s="10">
        <v>45534</v>
      </c>
    </row>
    <row r="1817" spans="1:9" x14ac:dyDescent="0.15">
      <c r="A1817" s="9">
        <v>1816</v>
      </c>
      <c r="B1817" s="9" t="s">
        <v>9</v>
      </c>
      <c r="C1817" s="9">
        <v>1912</v>
      </c>
      <c r="D1817" s="10">
        <v>45616</v>
      </c>
      <c r="E1817" s="13" t="str">
        <f>+HYPERLINK("http://trademark.i-assist.jp/data/china/image_1912th/80667188.pdf","80667188")</f>
        <v>80667188</v>
      </c>
      <c r="F1817" s="9" t="s">
        <v>4995</v>
      </c>
      <c r="G1817" s="9" t="s">
        <v>4996</v>
      </c>
      <c r="H1817" s="9" t="s">
        <v>4997</v>
      </c>
      <c r="I1817" s="10">
        <v>45534</v>
      </c>
    </row>
    <row r="1818" spans="1:9" x14ac:dyDescent="0.15">
      <c r="A1818" s="9">
        <v>1817</v>
      </c>
      <c r="B1818" s="9" t="s">
        <v>9</v>
      </c>
      <c r="C1818" s="9">
        <v>1912</v>
      </c>
      <c r="D1818" s="10">
        <v>45616</v>
      </c>
      <c r="E1818" s="13" t="str">
        <f>+HYPERLINK("http://trademark.i-assist.jp/data/china/image_1912th/80667300.pdf","80667300")</f>
        <v>80667300</v>
      </c>
      <c r="F1818" s="12" t="s">
        <v>4998</v>
      </c>
      <c r="G1818" s="12" t="s">
        <v>4999</v>
      </c>
      <c r="H1818" s="9" t="s">
        <v>5000</v>
      </c>
      <c r="I1818" s="10">
        <v>45534</v>
      </c>
    </row>
    <row r="1819" spans="1:9" x14ac:dyDescent="0.15">
      <c r="A1819" s="9">
        <v>1818</v>
      </c>
      <c r="B1819" s="9" t="s">
        <v>9</v>
      </c>
      <c r="C1819" s="9">
        <v>1912</v>
      </c>
      <c r="D1819" s="10">
        <v>45616</v>
      </c>
      <c r="E1819" s="13" t="str">
        <f>+HYPERLINK("http://trademark.i-assist.jp/data/china/image_1912th/80667459.pdf","80667459")</f>
        <v>80667459</v>
      </c>
      <c r="F1819" s="9" t="s">
        <v>5001</v>
      </c>
      <c r="G1819" s="9" t="s">
        <v>4700</v>
      </c>
      <c r="H1819" s="9" t="s">
        <v>5002</v>
      </c>
      <c r="I1819" s="10">
        <v>45534</v>
      </c>
    </row>
    <row r="1820" spans="1:9" x14ac:dyDescent="0.15">
      <c r="A1820" s="9">
        <v>1819</v>
      </c>
      <c r="B1820" s="9" t="s">
        <v>9</v>
      </c>
      <c r="C1820" s="9">
        <v>1912</v>
      </c>
      <c r="D1820" s="10">
        <v>45616</v>
      </c>
      <c r="E1820" s="13" t="str">
        <f>+HYPERLINK("http://trademark.i-assist.jp/data/china/image_1912th/80667848.pdf","80667848")</f>
        <v>80667848</v>
      </c>
      <c r="F1820" s="9" t="s">
        <v>5003</v>
      </c>
      <c r="G1820" s="12" t="s">
        <v>5004</v>
      </c>
      <c r="H1820" s="9" t="s">
        <v>5005</v>
      </c>
      <c r="I1820" s="10">
        <v>45534</v>
      </c>
    </row>
    <row r="1821" spans="1:9" x14ac:dyDescent="0.15">
      <c r="A1821" s="9">
        <v>1820</v>
      </c>
      <c r="B1821" s="9" t="s">
        <v>9</v>
      </c>
      <c r="C1821" s="9">
        <v>1912</v>
      </c>
      <c r="D1821" s="10">
        <v>45616</v>
      </c>
      <c r="E1821" s="13" t="str">
        <f>+HYPERLINK("http://trademark.i-assist.jp/data/china/image_1912th/80668035.pdf","80668035")</f>
        <v>80668035</v>
      </c>
      <c r="F1821" s="9" t="s">
        <v>5006</v>
      </c>
      <c r="G1821" s="12" t="s">
        <v>2799</v>
      </c>
      <c r="H1821" s="9" t="s">
        <v>5007</v>
      </c>
      <c r="I1821" s="10">
        <v>45534</v>
      </c>
    </row>
    <row r="1822" spans="1:9" x14ac:dyDescent="0.15">
      <c r="A1822" s="9">
        <v>1821</v>
      </c>
      <c r="B1822" s="9" t="s">
        <v>9</v>
      </c>
      <c r="C1822" s="9">
        <v>1912</v>
      </c>
      <c r="D1822" s="10">
        <v>45616</v>
      </c>
      <c r="E1822" s="13" t="str">
        <f>+HYPERLINK("http://trademark.i-assist.jp/data/china/image_1912th/80668041.pdf","80668041")</f>
        <v>80668041</v>
      </c>
      <c r="F1822" s="9" t="s">
        <v>5008</v>
      </c>
      <c r="G1822" s="9" t="s">
        <v>5009</v>
      </c>
      <c r="H1822" s="9" t="s">
        <v>5010</v>
      </c>
      <c r="I1822" s="10">
        <v>45534</v>
      </c>
    </row>
    <row r="1823" spans="1:9" x14ac:dyDescent="0.15">
      <c r="A1823" s="9">
        <v>1822</v>
      </c>
      <c r="B1823" s="9" t="s">
        <v>9</v>
      </c>
      <c r="C1823" s="9">
        <v>1912</v>
      </c>
      <c r="D1823" s="10">
        <v>45616</v>
      </c>
      <c r="E1823" s="13" t="str">
        <f>+HYPERLINK("http://trademark.i-assist.jp/data/china/image_1912th/80668111.pdf","80668111")</f>
        <v>80668111</v>
      </c>
      <c r="F1823" s="12" t="s">
        <v>5011</v>
      </c>
      <c r="G1823" s="9" t="s">
        <v>5012</v>
      </c>
      <c r="H1823" s="9" t="s">
        <v>5013</v>
      </c>
      <c r="I1823" s="10">
        <v>45534</v>
      </c>
    </row>
    <row r="1824" spans="1:9" x14ac:dyDescent="0.15">
      <c r="A1824" s="9">
        <v>1823</v>
      </c>
      <c r="B1824" s="9" t="s">
        <v>9</v>
      </c>
      <c r="C1824" s="9">
        <v>1912</v>
      </c>
      <c r="D1824" s="10">
        <v>45616</v>
      </c>
      <c r="E1824" s="13" t="str">
        <f>+HYPERLINK("http://trademark.i-assist.jp/data/china/image_1912th/80668120.pdf","80668120")</f>
        <v>80668120</v>
      </c>
      <c r="F1824" s="9" t="s">
        <v>5014</v>
      </c>
      <c r="G1824" s="9" t="s">
        <v>11</v>
      </c>
      <c r="H1824" s="9" t="s">
        <v>5015</v>
      </c>
      <c r="I1824" s="10">
        <v>45534</v>
      </c>
    </row>
    <row r="1825" spans="1:9" x14ac:dyDescent="0.15">
      <c r="A1825" s="9">
        <v>1824</v>
      </c>
      <c r="B1825" s="9" t="s">
        <v>9</v>
      </c>
      <c r="C1825" s="9">
        <v>1912</v>
      </c>
      <c r="D1825" s="10">
        <v>45616</v>
      </c>
      <c r="E1825" s="13" t="str">
        <f>+HYPERLINK("http://trademark.i-assist.jp/data/china/image_1912th/80668350.pdf","80668350")</f>
        <v>80668350</v>
      </c>
      <c r="F1825" s="9" t="s">
        <v>5016</v>
      </c>
      <c r="G1825" s="9" t="s">
        <v>5017</v>
      </c>
      <c r="H1825" s="9" t="s">
        <v>5018</v>
      </c>
      <c r="I1825" s="10">
        <v>45534</v>
      </c>
    </row>
    <row r="1826" spans="1:9" x14ac:dyDescent="0.15">
      <c r="A1826" s="9">
        <v>1825</v>
      </c>
      <c r="B1826" s="9" t="s">
        <v>9</v>
      </c>
      <c r="C1826" s="9">
        <v>1912</v>
      </c>
      <c r="D1826" s="10">
        <v>45616</v>
      </c>
      <c r="E1826" s="13" t="str">
        <f>+HYPERLINK("http://trademark.i-assist.jp/data/china/image_1912th/80668387.pdf","80668387")</f>
        <v>80668387</v>
      </c>
      <c r="F1826" s="12" t="s">
        <v>5019</v>
      </c>
      <c r="G1826" s="12" t="s">
        <v>4680</v>
      </c>
      <c r="H1826" s="9" t="s">
        <v>5020</v>
      </c>
      <c r="I1826" s="10">
        <v>45534</v>
      </c>
    </row>
    <row r="1827" spans="1:9" x14ac:dyDescent="0.15">
      <c r="A1827" s="9">
        <v>1826</v>
      </c>
      <c r="B1827" s="9" t="s">
        <v>9</v>
      </c>
      <c r="C1827" s="9">
        <v>1912</v>
      </c>
      <c r="D1827" s="10">
        <v>45616</v>
      </c>
      <c r="E1827" s="13" t="str">
        <f>+HYPERLINK("http://trademark.i-assist.jp/data/china/image_1912th/80668644.pdf","80668644")</f>
        <v>80668644</v>
      </c>
      <c r="F1827" s="9" t="s">
        <v>5021</v>
      </c>
      <c r="G1827" s="9" t="s">
        <v>5022</v>
      </c>
      <c r="H1827" s="12" t="s">
        <v>5023</v>
      </c>
      <c r="I1827" s="10">
        <v>45534</v>
      </c>
    </row>
    <row r="1828" spans="1:9" x14ac:dyDescent="0.15">
      <c r="A1828" s="9">
        <v>1827</v>
      </c>
      <c r="B1828" s="9" t="s">
        <v>9</v>
      </c>
      <c r="C1828" s="9">
        <v>1912</v>
      </c>
      <c r="D1828" s="10">
        <v>45616</v>
      </c>
      <c r="E1828" s="13" t="str">
        <f>+HYPERLINK("http://trademark.i-assist.jp/data/china/image_1912th/80668938.pdf","80668938")</f>
        <v>80668938</v>
      </c>
      <c r="F1828" s="9" t="s">
        <v>5024</v>
      </c>
      <c r="G1828" s="9" t="s">
        <v>5025</v>
      </c>
      <c r="H1828" s="9" t="s">
        <v>5026</v>
      </c>
      <c r="I1828" s="10">
        <v>45534</v>
      </c>
    </row>
    <row r="1829" spans="1:9" x14ac:dyDescent="0.15">
      <c r="A1829" s="9">
        <v>1828</v>
      </c>
      <c r="B1829" s="9" t="s">
        <v>9</v>
      </c>
      <c r="C1829" s="9">
        <v>1912</v>
      </c>
      <c r="D1829" s="10">
        <v>45616</v>
      </c>
      <c r="E1829" s="13" t="str">
        <f>+HYPERLINK("http://trademark.i-assist.jp/data/china/image_1912th/80669066.pdf","80669066")</f>
        <v>80669066</v>
      </c>
      <c r="F1829" s="9" t="s">
        <v>5027</v>
      </c>
      <c r="G1829" s="9" t="s">
        <v>5028</v>
      </c>
      <c r="H1829" s="9" t="s">
        <v>5029</v>
      </c>
      <c r="I1829" s="10">
        <v>45534</v>
      </c>
    </row>
    <row r="1830" spans="1:9" x14ac:dyDescent="0.15">
      <c r="A1830" s="9">
        <v>1829</v>
      </c>
      <c r="B1830" s="9" t="s">
        <v>9</v>
      </c>
      <c r="C1830" s="9">
        <v>1912</v>
      </c>
      <c r="D1830" s="10">
        <v>45616</v>
      </c>
      <c r="E1830" s="13" t="str">
        <f>+HYPERLINK("http://trademark.i-assist.jp/data/china/image_1912th/80669268.pdf","80669268")</f>
        <v>80669268</v>
      </c>
      <c r="F1830" s="12" t="s">
        <v>5030</v>
      </c>
      <c r="G1830" s="9" t="s">
        <v>4865</v>
      </c>
      <c r="H1830" s="9" t="s">
        <v>5031</v>
      </c>
      <c r="I1830" s="10">
        <v>45534</v>
      </c>
    </row>
    <row r="1831" spans="1:9" x14ac:dyDescent="0.15">
      <c r="A1831" s="9">
        <v>1830</v>
      </c>
      <c r="B1831" s="9" t="s">
        <v>9</v>
      </c>
      <c r="C1831" s="9">
        <v>1912</v>
      </c>
      <c r="D1831" s="10">
        <v>45616</v>
      </c>
      <c r="E1831" s="13" t="str">
        <f>+HYPERLINK("http://trademark.i-assist.jp/data/china/image_1912th/80669540.pdf","80669540")</f>
        <v>80669540</v>
      </c>
      <c r="F1831" s="9" t="s">
        <v>5032</v>
      </c>
      <c r="G1831" s="9" t="s">
        <v>5033</v>
      </c>
      <c r="H1831" s="9" t="s">
        <v>5034</v>
      </c>
      <c r="I1831" s="10">
        <v>45534</v>
      </c>
    </row>
    <row r="1832" spans="1:9" x14ac:dyDescent="0.15">
      <c r="A1832" s="9">
        <v>1831</v>
      </c>
      <c r="B1832" s="9" t="s">
        <v>9</v>
      </c>
      <c r="C1832" s="9">
        <v>1912</v>
      </c>
      <c r="D1832" s="10">
        <v>45616</v>
      </c>
      <c r="E1832" s="13" t="str">
        <f>+HYPERLINK("http://trademark.i-assist.jp/data/china/image_1912th/80669552.pdf","80669552")</f>
        <v>80669552</v>
      </c>
      <c r="F1832" s="9" t="s">
        <v>5035</v>
      </c>
      <c r="G1832" s="9" t="s">
        <v>4832</v>
      </c>
      <c r="H1832" s="9" t="s">
        <v>5036</v>
      </c>
      <c r="I1832" s="10">
        <v>45534</v>
      </c>
    </row>
    <row r="1833" spans="1:9" x14ac:dyDescent="0.15">
      <c r="A1833" s="9">
        <v>1832</v>
      </c>
      <c r="B1833" s="9" t="s">
        <v>9</v>
      </c>
      <c r="C1833" s="9">
        <v>1912</v>
      </c>
      <c r="D1833" s="10">
        <v>45616</v>
      </c>
      <c r="E1833" s="13" t="str">
        <f>+HYPERLINK("http://trademark.i-assist.jp/data/china/image_1912th/80669675.pdf","80669675")</f>
        <v>80669675</v>
      </c>
      <c r="F1833" s="9" t="s">
        <v>5037</v>
      </c>
      <c r="G1833" s="12" t="s">
        <v>5038</v>
      </c>
      <c r="H1833" s="12" t="s">
        <v>5039</v>
      </c>
      <c r="I1833" s="10">
        <v>45534</v>
      </c>
    </row>
    <row r="1834" spans="1:9" x14ac:dyDescent="0.15">
      <c r="A1834" s="9">
        <v>1833</v>
      </c>
      <c r="B1834" s="9" t="s">
        <v>9</v>
      </c>
      <c r="C1834" s="9">
        <v>1912</v>
      </c>
      <c r="D1834" s="10">
        <v>45616</v>
      </c>
      <c r="E1834" s="13" t="str">
        <f>+HYPERLINK("http://trademark.i-assist.jp/data/china/image_1912th/80669785.pdf","80669785")</f>
        <v>80669785</v>
      </c>
      <c r="F1834" s="12" t="s">
        <v>5040</v>
      </c>
      <c r="G1834" s="12" t="s">
        <v>4870</v>
      </c>
      <c r="H1834" s="9" t="s">
        <v>5041</v>
      </c>
      <c r="I1834" s="10">
        <v>45534</v>
      </c>
    </row>
    <row r="1835" spans="1:9" x14ac:dyDescent="0.15">
      <c r="A1835" s="9">
        <v>1834</v>
      </c>
      <c r="B1835" s="9" t="s">
        <v>9</v>
      </c>
      <c r="C1835" s="9">
        <v>1912</v>
      </c>
      <c r="D1835" s="10">
        <v>45616</v>
      </c>
      <c r="E1835" s="13" t="str">
        <f>+HYPERLINK("http://trademark.i-assist.jp/data/china/image_1912th/80669859.pdf","80669859")</f>
        <v>80669859</v>
      </c>
      <c r="F1835" s="9" t="s">
        <v>5042</v>
      </c>
      <c r="G1835" s="9" t="s">
        <v>5043</v>
      </c>
      <c r="H1835" s="12" t="s">
        <v>5044</v>
      </c>
      <c r="I1835" s="10">
        <v>45534</v>
      </c>
    </row>
    <row r="1836" spans="1:9" x14ac:dyDescent="0.15">
      <c r="A1836" s="9">
        <v>1835</v>
      </c>
      <c r="B1836" s="9" t="s">
        <v>9</v>
      </c>
      <c r="C1836" s="9">
        <v>1912</v>
      </c>
      <c r="D1836" s="10">
        <v>45616</v>
      </c>
      <c r="E1836" s="13" t="str">
        <f>+HYPERLINK("http://trademark.i-assist.jp/data/china/image_1912th/80669906.pdf","80669906")</f>
        <v>80669906</v>
      </c>
      <c r="F1836" s="9" t="s">
        <v>5045</v>
      </c>
      <c r="G1836" s="9" t="s">
        <v>4720</v>
      </c>
      <c r="H1836" s="9" t="s">
        <v>5046</v>
      </c>
      <c r="I1836" s="10">
        <v>45534</v>
      </c>
    </row>
    <row r="1837" spans="1:9" x14ac:dyDescent="0.15">
      <c r="A1837" s="9">
        <v>1836</v>
      </c>
      <c r="B1837" s="9" t="s">
        <v>9</v>
      </c>
      <c r="C1837" s="9">
        <v>1912</v>
      </c>
      <c r="D1837" s="10">
        <v>45616</v>
      </c>
      <c r="E1837" s="13" t="str">
        <f>+HYPERLINK("http://trademark.i-assist.jp/data/china/image_1912th/80669994.pdf","80669994")</f>
        <v>80669994</v>
      </c>
      <c r="F1837" s="9" t="s">
        <v>5047</v>
      </c>
      <c r="G1837" s="9" t="s">
        <v>4720</v>
      </c>
      <c r="H1837" s="9" t="s">
        <v>5048</v>
      </c>
      <c r="I1837" s="10">
        <v>45534</v>
      </c>
    </row>
    <row r="1838" spans="1:9" x14ac:dyDescent="0.15">
      <c r="A1838" s="9">
        <v>1837</v>
      </c>
      <c r="B1838" s="9" t="s">
        <v>9</v>
      </c>
      <c r="C1838" s="9">
        <v>1912</v>
      </c>
      <c r="D1838" s="10">
        <v>45616</v>
      </c>
      <c r="E1838" s="13" t="str">
        <f>+HYPERLINK("http://trademark.i-assist.jp/data/china/image_1912th/80670170.pdf","80670170")</f>
        <v>80670170</v>
      </c>
      <c r="F1838" s="9" t="s">
        <v>5049</v>
      </c>
      <c r="G1838" s="9" t="s">
        <v>5050</v>
      </c>
      <c r="H1838" s="9" t="s">
        <v>5051</v>
      </c>
      <c r="I1838" s="10">
        <v>45534</v>
      </c>
    </row>
    <row r="1839" spans="1:9" x14ac:dyDescent="0.15">
      <c r="A1839" s="9">
        <v>1838</v>
      </c>
      <c r="B1839" s="9" t="s">
        <v>9</v>
      </c>
      <c r="C1839" s="9">
        <v>1912</v>
      </c>
      <c r="D1839" s="10">
        <v>45616</v>
      </c>
      <c r="E1839" s="13" t="str">
        <f>+HYPERLINK("http://trademark.i-assist.jp/data/china/image_1912th/80670309.pdf","80670309")</f>
        <v>80670309</v>
      </c>
      <c r="F1839" s="9" t="s">
        <v>5052</v>
      </c>
      <c r="G1839" s="9" t="s">
        <v>5053</v>
      </c>
      <c r="H1839" s="9" t="s">
        <v>5054</v>
      </c>
      <c r="I1839" s="10">
        <v>45534</v>
      </c>
    </row>
    <row r="1840" spans="1:9" x14ac:dyDescent="0.15">
      <c r="A1840" s="9">
        <v>1839</v>
      </c>
      <c r="B1840" s="9" t="s">
        <v>9</v>
      </c>
      <c r="C1840" s="9">
        <v>1912</v>
      </c>
      <c r="D1840" s="10">
        <v>45616</v>
      </c>
      <c r="E1840" s="13" t="str">
        <f>+HYPERLINK("http://trademark.i-assist.jp/data/china/image_1912th/80670343.pdf","80670343")</f>
        <v>80670343</v>
      </c>
      <c r="F1840" s="9" t="s">
        <v>5055</v>
      </c>
      <c r="G1840" s="9" t="s">
        <v>5056</v>
      </c>
      <c r="H1840" s="9" t="s">
        <v>5057</v>
      </c>
      <c r="I1840" s="10">
        <v>45534</v>
      </c>
    </row>
    <row r="1841" spans="1:9" x14ac:dyDescent="0.15">
      <c r="A1841" s="9">
        <v>1840</v>
      </c>
      <c r="B1841" s="9" t="s">
        <v>9</v>
      </c>
      <c r="C1841" s="9">
        <v>1912</v>
      </c>
      <c r="D1841" s="10">
        <v>45616</v>
      </c>
      <c r="E1841" s="13" t="str">
        <f>+HYPERLINK("http://trademark.i-assist.jp/data/china/image_1912th/80670348.pdf","80670348")</f>
        <v>80670348</v>
      </c>
      <c r="F1841" s="9" t="s">
        <v>5058</v>
      </c>
      <c r="G1841" s="9" t="s">
        <v>4697</v>
      </c>
      <c r="H1841" s="9" t="s">
        <v>5059</v>
      </c>
      <c r="I1841" s="10">
        <v>45534</v>
      </c>
    </row>
    <row r="1842" spans="1:9" x14ac:dyDescent="0.15">
      <c r="A1842" s="9">
        <v>1841</v>
      </c>
      <c r="B1842" s="9" t="s">
        <v>9</v>
      </c>
      <c r="C1842" s="9">
        <v>1912</v>
      </c>
      <c r="D1842" s="10">
        <v>45616</v>
      </c>
      <c r="E1842" s="13" t="str">
        <f>+HYPERLINK("http://trademark.i-assist.jp/data/china/image_1912th/80670591.pdf","80670591")</f>
        <v>80670591</v>
      </c>
      <c r="F1842" s="9" t="s">
        <v>5060</v>
      </c>
      <c r="G1842" s="12" t="s">
        <v>70</v>
      </c>
      <c r="H1842" s="9" t="s">
        <v>5061</v>
      </c>
      <c r="I1842" s="10">
        <v>45534</v>
      </c>
    </row>
    <row r="1843" spans="1:9" x14ac:dyDescent="0.15">
      <c r="A1843" s="9">
        <v>1842</v>
      </c>
      <c r="B1843" s="9" t="s">
        <v>9</v>
      </c>
      <c r="C1843" s="9">
        <v>1912</v>
      </c>
      <c r="D1843" s="10">
        <v>45616</v>
      </c>
      <c r="E1843" s="13" t="str">
        <f>+HYPERLINK("http://trademark.i-assist.jp/data/china/image_1912th/80671031.pdf","80671031")</f>
        <v>80671031</v>
      </c>
      <c r="F1843" s="12" t="s">
        <v>15</v>
      </c>
      <c r="G1843" s="9" t="s">
        <v>5062</v>
      </c>
      <c r="H1843" s="9" t="s">
        <v>5063</v>
      </c>
      <c r="I1843" s="10">
        <v>45534</v>
      </c>
    </row>
    <row r="1844" spans="1:9" x14ac:dyDescent="0.15">
      <c r="A1844" s="9">
        <v>1843</v>
      </c>
      <c r="B1844" s="9" t="s">
        <v>9</v>
      </c>
      <c r="C1844" s="9">
        <v>1912</v>
      </c>
      <c r="D1844" s="10">
        <v>45616</v>
      </c>
      <c r="E1844" s="13" t="str">
        <f>+HYPERLINK("http://trademark.i-assist.jp/data/china/image_1912th/80671091.pdf","80671091")</f>
        <v>80671091</v>
      </c>
      <c r="F1844" s="9" t="s">
        <v>5064</v>
      </c>
      <c r="G1844" s="9" t="s">
        <v>4700</v>
      </c>
      <c r="H1844" s="9" t="s">
        <v>5065</v>
      </c>
      <c r="I1844" s="10">
        <v>45534</v>
      </c>
    </row>
    <row r="1845" spans="1:9" x14ac:dyDescent="0.15">
      <c r="A1845" s="9">
        <v>1844</v>
      </c>
      <c r="B1845" s="9" t="s">
        <v>9</v>
      </c>
      <c r="C1845" s="9">
        <v>1912</v>
      </c>
      <c r="D1845" s="10">
        <v>45616</v>
      </c>
      <c r="E1845" s="13" t="str">
        <f>+HYPERLINK("http://trademark.i-assist.jp/data/china/image_1912th/80671121.pdf","80671121")</f>
        <v>80671121</v>
      </c>
      <c r="F1845" s="12" t="s">
        <v>5066</v>
      </c>
      <c r="G1845" s="9" t="s">
        <v>5067</v>
      </c>
      <c r="H1845" s="9" t="s">
        <v>5068</v>
      </c>
      <c r="I1845" s="10">
        <v>45534</v>
      </c>
    </row>
    <row r="1846" spans="1:9" x14ac:dyDescent="0.15">
      <c r="A1846" s="9">
        <v>1845</v>
      </c>
      <c r="B1846" s="9" t="s">
        <v>9</v>
      </c>
      <c r="C1846" s="9">
        <v>1912</v>
      </c>
      <c r="D1846" s="10">
        <v>45616</v>
      </c>
      <c r="E1846" s="13" t="str">
        <f>+HYPERLINK("http://trademark.i-assist.jp/data/china/image_1912th/80671148.pdf","80671148")</f>
        <v>80671148</v>
      </c>
      <c r="F1846" s="9" t="s">
        <v>5069</v>
      </c>
      <c r="G1846" s="9" t="s">
        <v>4700</v>
      </c>
      <c r="H1846" s="9" t="s">
        <v>5070</v>
      </c>
      <c r="I1846" s="10">
        <v>45534</v>
      </c>
    </row>
    <row r="1847" spans="1:9" x14ac:dyDescent="0.15">
      <c r="A1847" s="9">
        <v>1846</v>
      </c>
      <c r="B1847" s="9" t="s">
        <v>9</v>
      </c>
      <c r="C1847" s="9">
        <v>1912</v>
      </c>
      <c r="D1847" s="10">
        <v>45616</v>
      </c>
      <c r="E1847" s="13" t="str">
        <f>+HYPERLINK("http://trademark.i-assist.jp/data/china/image_1912th/80671268.pdf","80671268")</f>
        <v>80671268</v>
      </c>
      <c r="F1847" s="12" t="s">
        <v>15</v>
      </c>
      <c r="G1847" s="9" t="s">
        <v>5071</v>
      </c>
      <c r="H1847" s="9" t="s">
        <v>5072</v>
      </c>
      <c r="I1847" s="10">
        <v>45534</v>
      </c>
    </row>
    <row r="1848" spans="1:9" x14ac:dyDescent="0.15">
      <c r="A1848" s="9">
        <v>1847</v>
      </c>
      <c r="B1848" s="9" t="s">
        <v>9</v>
      </c>
      <c r="C1848" s="9">
        <v>1912</v>
      </c>
      <c r="D1848" s="10">
        <v>45616</v>
      </c>
      <c r="E1848" s="13" t="str">
        <f>+HYPERLINK("http://trademark.i-assist.jp/data/china/image_1912th/80671328.pdf","80671328")</f>
        <v>80671328</v>
      </c>
      <c r="F1848" s="12" t="s">
        <v>5073</v>
      </c>
      <c r="G1848" s="9" t="s">
        <v>4865</v>
      </c>
      <c r="H1848" s="9" t="s">
        <v>5074</v>
      </c>
      <c r="I1848" s="10">
        <v>45534</v>
      </c>
    </row>
    <row r="1849" spans="1:9" x14ac:dyDescent="0.15">
      <c r="A1849" s="9">
        <v>1848</v>
      </c>
      <c r="B1849" s="9" t="s">
        <v>9</v>
      </c>
      <c r="C1849" s="9">
        <v>1912</v>
      </c>
      <c r="D1849" s="10">
        <v>45616</v>
      </c>
      <c r="E1849" s="13" t="str">
        <f>+HYPERLINK("http://trademark.i-assist.jp/data/china/image_1912th/80671484.pdf","80671484")</f>
        <v>80671484</v>
      </c>
      <c r="F1849" s="9" t="s">
        <v>5075</v>
      </c>
      <c r="G1849" s="9" t="s">
        <v>4700</v>
      </c>
      <c r="H1849" s="9" t="s">
        <v>5076</v>
      </c>
      <c r="I1849" s="10">
        <v>45534</v>
      </c>
    </row>
    <row r="1850" spans="1:9" x14ac:dyDescent="0.15">
      <c r="A1850" s="9">
        <v>1849</v>
      </c>
      <c r="B1850" s="9" t="s">
        <v>9</v>
      </c>
      <c r="C1850" s="9">
        <v>1912</v>
      </c>
      <c r="D1850" s="10">
        <v>45616</v>
      </c>
      <c r="E1850" s="13" t="str">
        <f>+HYPERLINK("http://trademark.i-assist.jp/data/china/image_1912th/80671641.pdf","80671641")</f>
        <v>80671641</v>
      </c>
      <c r="F1850" s="9" t="s">
        <v>5077</v>
      </c>
      <c r="G1850" s="9" t="s">
        <v>5078</v>
      </c>
      <c r="H1850" s="9" t="s">
        <v>5079</v>
      </c>
      <c r="I1850" s="10">
        <v>45534</v>
      </c>
    </row>
    <row r="1851" spans="1:9" x14ac:dyDescent="0.15">
      <c r="A1851" s="9">
        <v>1850</v>
      </c>
      <c r="B1851" s="9" t="s">
        <v>9</v>
      </c>
      <c r="C1851" s="9">
        <v>1912</v>
      </c>
      <c r="D1851" s="10">
        <v>45616</v>
      </c>
      <c r="E1851" s="13" t="str">
        <f>+HYPERLINK("http://trademark.i-assist.jp/data/china/image_1912th/80671779.pdf","80671779")</f>
        <v>80671779</v>
      </c>
      <c r="F1851" s="9" t="s">
        <v>5080</v>
      </c>
      <c r="G1851" s="9" t="s">
        <v>4934</v>
      </c>
      <c r="H1851" s="9" t="s">
        <v>5081</v>
      </c>
      <c r="I1851" s="10">
        <v>45534</v>
      </c>
    </row>
    <row r="1852" spans="1:9" x14ac:dyDescent="0.15">
      <c r="A1852" s="9">
        <v>1851</v>
      </c>
      <c r="B1852" s="9" t="s">
        <v>9</v>
      </c>
      <c r="C1852" s="9">
        <v>1912</v>
      </c>
      <c r="D1852" s="10">
        <v>45616</v>
      </c>
      <c r="E1852" s="13" t="str">
        <f>+HYPERLINK("http://trademark.i-assist.jp/data/china/image_1912th/80671925.pdf","80671925")</f>
        <v>80671925</v>
      </c>
      <c r="F1852" s="12" t="s">
        <v>15</v>
      </c>
      <c r="G1852" s="9" t="s">
        <v>5082</v>
      </c>
      <c r="H1852" s="9" t="s">
        <v>5083</v>
      </c>
      <c r="I1852" s="10">
        <v>45534</v>
      </c>
    </row>
    <row r="1853" spans="1:9" x14ac:dyDescent="0.15">
      <c r="A1853" s="9">
        <v>1852</v>
      </c>
      <c r="B1853" s="9" t="s">
        <v>9</v>
      </c>
      <c r="C1853" s="9">
        <v>1912</v>
      </c>
      <c r="D1853" s="10">
        <v>45616</v>
      </c>
      <c r="E1853" s="13" t="str">
        <f>+HYPERLINK("http://trademark.i-assist.jp/data/china/image_1912th/80672116.pdf","80672116")</f>
        <v>80672116</v>
      </c>
      <c r="F1853" s="9" t="s">
        <v>5084</v>
      </c>
      <c r="G1853" s="9" t="s">
        <v>5085</v>
      </c>
      <c r="H1853" s="9" t="s">
        <v>5086</v>
      </c>
      <c r="I1853" s="10">
        <v>45534</v>
      </c>
    </row>
    <row r="1854" spans="1:9" x14ac:dyDescent="0.15">
      <c r="A1854" s="9">
        <v>1853</v>
      </c>
      <c r="B1854" s="9" t="s">
        <v>9</v>
      </c>
      <c r="C1854" s="9">
        <v>1912</v>
      </c>
      <c r="D1854" s="10">
        <v>45616</v>
      </c>
      <c r="E1854" s="13" t="str">
        <f>+HYPERLINK("http://trademark.i-assist.jp/data/china/image_1912th/80672373.pdf","80672373")</f>
        <v>80672373</v>
      </c>
      <c r="F1854" s="9" t="s">
        <v>5087</v>
      </c>
      <c r="G1854" s="9" t="s">
        <v>5088</v>
      </c>
      <c r="H1854" s="9" t="s">
        <v>5089</v>
      </c>
      <c r="I1854" s="10">
        <v>45534</v>
      </c>
    </row>
    <row r="1855" spans="1:9" x14ac:dyDescent="0.15">
      <c r="A1855" s="9">
        <v>1854</v>
      </c>
      <c r="B1855" s="9" t="s">
        <v>9</v>
      </c>
      <c r="C1855" s="9">
        <v>1912</v>
      </c>
      <c r="D1855" s="10">
        <v>45616</v>
      </c>
      <c r="E1855" s="13" t="str">
        <f>+HYPERLINK("http://trademark.i-assist.jp/data/china/image_1912th/80672502.pdf","80672502")</f>
        <v>80672502</v>
      </c>
      <c r="F1855" s="9" t="s">
        <v>5090</v>
      </c>
      <c r="G1855" s="9" t="s">
        <v>5091</v>
      </c>
      <c r="H1855" s="9" t="s">
        <v>5092</v>
      </c>
      <c r="I1855" s="10">
        <v>45534</v>
      </c>
    </row>
    <row r="1856" spans="1:9" x14ac:dyDescent="0.15">
      <c r="A1856" s="9">
        <v>1855</v>
      </c>
      <c r="B1856" s="9" t="s">
        <v>9</v>
      </c>
      <c r="C1856" s="9">
        <v>1912</v>
      </c>
      <c r="D1856" s="10">
        <v>45616</v>
      </c>
      <c r="E1856" s="13" t="str">
        <f>+HYPERLINK("http://trademark.i-assist.jp/data/china/image_1912th/80672521.pdf","80672521")</f>
        <v>80672521</v>
      </c>
      <c r="F1856" s="9" t="s">
        <v>5093</v>
      </c>
      <c r="G1856" s="9" t="s">
        <v>4832</v>
      </c>
      <c r="H1856" s="9" t="s">
        <v>5094</v>
      </c>
      <c r="I1856" s="10">
        <v>45534</v>
      </c>
    </row>
    <row r="1857" spans="1:9" x14ac:dyDescent="0.15">
      <c r="A1857" s="9">
        <v>1856</v>
      </c>
      <c r="B1857" s="9" t="s">
        <v>9</v>
      </c>
      <c r="C1857" s="9">
        <v>1912</v>
      </c>
      <c r="D1857" s="10">
        <v>45616</v>
      </c>
      <c r="E1857" s="13" t="str">
        <f>+HYPERLINK("http://trademark.i-assist.jp/data/china/image_1912th/80672963.pdf","80672963")</f>
        <v>80672963</v>
      </c>
      <c r="F1857" s="9" t="s">
        <v>5095</v>
      </c>
      <c r="G1857" s="9" t="s">
        <v>4748</v>
      </c>
      <c r="H1857" s="9" t="s">
        <v>5096</v>
      </c>
      <c r="I1857" s="10">
        <v>45534</v>
      </c>
    </row>
    <row r="1858" spans="1:9" x14ac:dyDescent="0.15">
      <c r="A1858" s="9">
        <v>1857</v>
      </c>
      <c r="B1858" s="9" t="s">
        <v>9</v>
      </c>
      <c r="C1858" s="9">
        <v>1912</v>
      </c>
      <c r="D1858" s="10">
        <v>45616</v>
      </c>
      <c r="E1858" s="13" t="str">
        <f>+HYPERLINK("http://trademark.i-assist.jp/data/china/image_1912th/80673254.pdf","80673254")</f>
        <v>80673254</v>
      </c>
      <c r="F1858" s="9" t="s">
        <v>5097</v>
      </c>
      <c r="G1858" s="9" t="s">
        <v>5098</v>
      </c>
      <c r="H1858" s="9" t="s">
        <v>5099</v>
      </c>
      <c r="I1858" s="10">
        <v>45535</v>
      </c>
    </row>
    <row r="1859" spans="1:9" x14ac:dyDescent="0.15">
      <c r="A1859" s="9">
        <v>1858</v>
      </c>
      <c r="B1859" s="9" t="s">
        <v>9</v>
      </c>
      <c r="C1859" s="9">
        <v>1912</v>
      </c>
      <c r="D1859" s="10">
        <v>45616</v>
      </c>
      <c r="E1859" s="13" t="str">
        <f>+HYPERLINK("http://trademark.i-assist.jp/data/china/image_1912th/80673270.pdf","80673270")</f>
        <v>80673270</v>
      </c>
      <c r="F1859" s="9" t="s">
        <v>5100</v>
      </c>
      <c r="G1859" s="9" t="s">
        <v>5101</v>
      </c>
      <c r="H1859" s="9" t="s">
        <v>5102</v>
      </c>
      <c r="I1859" s="10">
        <v>45535</v>
      </c>
    </row>
    <row r="1860" spans="1:9" x14ac:dyDescent="0.15">
      <c r="A1860" s="9">
        <v>1859</v>
      </c>
      <c r="B1860" s="9" t="s">
        <v>9</v>
      </c>
      <c r="C1860" s="9">
        <v>1912</v>
      </c>
      <c r="D1860" s="10">
        <v>45616</v>
      </c>
      <c r="E1860" s="13" t="str">
        <f>+HYPERLINK("http://trademark.i-assist.jp/data/china/image_1912th/80673300.pdf","80673300")</f>
        <v>80673300</v>
      </c>
      <c r="F1860" s="12" t="s">
        <v>15</v>
      </c>
      <c r="G1860" s="9" t="s">
        <v>5103</v>
      </c>
      <c r="H1860" s="9" t="s">
        <v>5104</v>
      </c>
      <c r="I1860" s="10">
        <v>45535</v>
      </c>
    </row>
    <row r="1861" spans="1:9" x14ac:dyDescent="0.15">
      <c r="A1861" s="9">
        <v>1860</v>
      </c>
      <c r="B1861" s="9" t="s">
        <v>9</v>
      </c>
      <c r="C1861" s="9">
        <v>1912</v>
      </c>
      <c r="D1861" s="10">
        <v>45616</v>
      </c>
      <c r="E1861" s="13" t="str">
        <f>+HYPERLINK("http://trademark.i-assist.jp/data/china/image_1912th/80673439.pdf","80673439")</f>
        <v>80673439</v>
      </c>
      <c r="F1861" s="9" t="s">
        <v>5105</v>
      </c>
      <c r="G1861" s="9" t="s">
        <v>5106</v>
      </c>
      <c r="H1861" s="9" t="s">
        <v>5107</v>
      </c>
      <c r="I1861" s="10">
        <v>45535</v>
      </c>
    </row>
    <row r="1862" spans="1:9" x14ac:dyDescent="0.15">
      <c r="A1862" s="9">
        <v>1861</v>
      </c>
      <c r="B1862" s="9" t="s">
        <v>9</v>
      </c>
      <c r="C1862" s="9">
        <v>1912</v>
      </c>
      <c r="D1862" s="10">
        <v>45616</v>
      </c>
      <c r="E1862" s="13" t="str">
        <f>+HYPERLINK("http://trademark.i-assist.jp/data/china/image_1912th/80673454.pdf","80673454")</f>
        <v>80673454</v>
      </c>
      <c r="F1862" s="9" t="s">
        <v>5108</v>
      </c>
      <c r="G1862" s="9" t="s">
        <v>5109</v>
      </c>
      <c r="H1862" s="9" t="s">
        <v>5110</v>
      </c>
      <c r="I1862" s="10">
        <v>45535</v>
      </c>
    </row>
    <row r="1863" spans="1:9" x14ac:dyDescent="0.15">
      <c r="A1863" s="9">
        <v>1862</v>
      </c>
      <c r="B1863" s="9" t="s">
        <v>9</v>
      </c>
      <c r="C1863" s="9">
        <v>1912</v>
      </c>
      <c r="D1863" s="10">
        <v>45616</v>
      </c>
      <c r="E1863" s="13" t="str">
        <f>+HYPERLINK("http://trademark.i-assist.jp/data/china/image_1912th/80674023.pdf","80674023")</f>
        <v>80674023</v>
      </c>
      <c r="F1863" s="9" t="s">
        <v>5111</v>
      </c>
      <c r="G1863" s="12" t="s">
        <v>4582</v>
      </c>
      <c r="H1863" s="9" t="s">
        <v>5112</v>
      </c>
      <c r="I1863" s="10">
        <v>45535</v>
      </c>
    </row>
    <row r="1864" spans="1:9" x14ac:dyDescent="0.15">
      <c r="A1864" s="9">
        <v>1863</v>
      </c>
      <c r="B1864" s="9" t="s">
        <v>9</v>
      </c>
      <c r="C1864" s="9">
        <v>1912</v>
      </c>
      <c r="D1864" s="10">
        <v>45616</v>
      </c>
      <c r="E1864" s="13" t="str">
        <f>+HYPERLINK("http://trademark.i-assist.jp/data/china/image_1912th/80674025.pdf","80674025")</f>
        <v>80674025</v>
      </c>
      <c r="F1864" s="9" t="s">
        <v>5113</v>
      </c>
      <c r="G1864" s="9" t="s">
        <v>5114</v>
      </c>
      <c r="H1864" s="9" t="s">
        <v>5115</v>
      </c>
      <c r="I1864" s="10">
        <v>45535</v>
      </c>
    </row>
    <row r="1865" spans="1:9" x14ac:dyDescent="0.15">
      <c r="A1865" s="9">
        <v>1864</v>
      </c>
      <c r="B1865" s="9" t="s">
        <v>9</v>
      </c>
      <c r="C1865" s="9">
        <v>1912</v>
      </c>
      <c r="D1865" s="10">
        <v>45616</v>
      </c>
      <c r="E1865" s="13" t="str">
        <f>+HYPERLINK("http://trademark.i-assist.jp/data/china/image_1912th/80674144.pdf","80674144")</f>
        <v>80674144</v>
      </c>
      <c r="F1865" s="9" t="s">
        <v>5116</v>
      </c>
      <c r="G1865" s="9" t="s">
        <v>5117</v>
      </c>
      <c r="H1865" s="9" t="s">
        <v>5118</v>
      </c>
      <c r="I1865" s="10">
        <v>45535</v>
      </c>
    </row>
    <row r="1866" spans="1:9" x14ac:dyDescent="0.15">
      <c r="A1866" s="9">
        <v>1865</v>
      </c>
      <c r="B1866" s="9" t="s">
        <v>9</v>
      </c>
      <c r="C1866" s="9">
        <v>1912</v>
      </c>
      <c r="D1866" s="10">
        <v>45616</v>
      </c>
      <c r="E1866" s="13" t="str">
        <f>+HYPERLINK("http://trademark.i-assist.jp/data/china/image_1912th/80674227.pdf","80674227")</f>
        <v>80674227</v>
      </c>
      <c r="F1866" s="9" t="s">
        <v>5119</v>
      </c>
      <c r="G1866" s="9" t="s">
        <v>5120</v>
      </c>
      <c r="H1866" s="9" t="s">
        <v>5121</v>
      </c>
      <c r="I1866" s="10">
        <v>45535</v>
      </c>
    </row>
    <row r="1867" spans="1:9" x14ac:dyDescent="0.15">
      <c r="A1867" s="9">
        <v>1866</v>
      </c>
      <c r="B1867" s="9" t="s">
        <v>9</v>
      </c>
      <c r="C1867" s="9">
        <v>1912</v>
      </c>
      <c r="D1867" s="10">
        <v>45616</v>
      </c>
      <c r="E1867" s="13" t="str">
        <f>+HYPERLINK("http://trademark.i-assist.jp/data/china/image_1912th/80674357.pdf","80674357")</f>
        <v>80674357</v>
      </c>
      <c r="F1867" s="9" t="s">
        <v>5122</v>
      </c>
      <c r="G1867" s="9" t="s">
        <v>5123</v>
      </c>
      <c r="H1867" s="12" t="s">
        <v>5124</v>
      </c>
      <c r="I1867" s="10">
        <v>45535</v>
      </c>
    </row>
    <row r="1868" spans="1:9" x14ac:dyDescent="0.15">
      <c r="A1868" s="9">
        <v>1867</v>
      </c>
      <c r="B1868" s="9" t="s">
        <v>9</v>
      </c>
      <c r="C1868" s="9">
        <v>1912</v>
      </c>
      <c r="D1868" s="10">
        <v>45616</v>
      </c>
      <c r="E1868" s="13" t="str">
        <f>+HYPERLINK("http://trademark.i-assist.jp/data/china/image_1912th/80674457.pdf","80674457")</f>
        <v>80674457</v>
      </c>
      <c r="F1868" s="12" t="s">
        <v>5125</v>
      </c>
      <c r="G1868" s="12" t="s">
        <v>5126</v>
      </c>
      <c r="H1868" s="9" t="s">
        <v>5127</v>
      </c>
      <c r="I1868" s="10">
        <v>45535</v>
      </c>
    </row>
    <row r="1869" spans="1:9" x14ac:dyDescent="0.15">
      <c r="A1869" s="9">
        <v>1868</v>
      </c>
      <c r="B1869" s="9" t="s">
        <v>9</v>
      </c>
      <c r="C1869" s="9">
        <v>1912</v>
      </c>
      <c r="D1869" s="10">
        <v>45616</v>
      </c>
      <c r="E1869" s="13" t="str">
        <f>+HYPERLINK("http://trademark.i-assist.jp/data/china/image_1912th/80674505.pdf","80674505")</f>
        <v>80674505</v>
      </c>
      <c r="F1869" s="9" t="s">
        <v>5128</v>
      </c>
      <c r="G1869" s="9" t="s">
        <v>5129</v>
      </c>
      <c r="H1869" s="9" t="s">
        <v>5130</v>
      </c>
      <c r="I1869" s="10">
        <v>45535</v>
      </c>
    </row>
    <row r="1870" spans="1:9" x14ac:dyDescent="0.15">
      <c r="A1870" s="9">
        <v>1869</v>
      </c>
      <c r="B1870" s="9" t="s">
        <v>9</v>
      </c>
      <c r="C1870" s="9">
        <v>1912</v>
      </c>
      <c r="D1870" s="10">
        <v>45616</v>
      </c>
      <c r="E1870" s="13" t="str">
        <f>+HYPERLINK("http://trademark.i-assist.jp/data/china/image_1912th/80675054.pdf","80675054")</f>
        <v>80675054</v>
      </c>
      <c r="F1870" s="9" t="s">
        <v>5131</v>
      </c>
      <c r="G1870" s="12" t="s">
        <v>5132</v>
      </c>
      <c r="H1870" s="9" t="s">
        <v>5133</v>
      </c>
      <c r="I1870" s="10">
        <v>45535</v>
      </c>
    </row>
    <row r="1871" spans="1:9" x14ac:dyDescent="0.15">
      <c r="A1871" s="9">
        <v>1870</v>
      </c>
      <c r="B1871" s="9" t="s">
        <v>9</v>
      </c>
      <c r="C1871" s="9">
        <v>1912</v>
      </c>
      <c r="D1871" s="10">
        <v>45616</v>
      </c>
      <c r="E1871" s="13" t="str">
        <f>+HYPERLINK("http://trademark.i-assist.jp/data/china/image_1912th/80675077.pdf","80675077")</f>
        <v>80675077</v>
      </c>
      <c r="F1871" s="9" t="s">
        <v>5134</v>
      </c>
      <c r="G1871" s="9" t="s">
        <v>5135</v>
      </c>
      <c r="H1871" s="12" t="s">
        <v>5136</v>
      </c>
      <c r="I1871" s="10">
        <v>45535</v>
      </c>
    </row>
    <row r="1872" spans="1:9" x14ac:dyDescent="0.15">
      <c r="A1872" s="9">
        <v>1871</v>
      </c>
      <c r="B1872" s="9" t="s">
        <v>9</v>
      </c>
      <c r="C1872" s="9">
        <v>1912</v>
      </c>
      <c r="D1872" s="10">
        <v>45616</v>
      </c>
      <c r="E1872" s="13" t="str">
        <f>+HYPERLINK("http://trademark.i-assist.jp/data/china/image_1912th/80675124.pdf","80675124")</f>
        <v>80675124</v>
      </c>
      <c r="F1872" s="12" t="s">
        <v>5137</v>
      </c>
      <c r="G1872" s="9" t="s">
        <v>2624</v>
      </c>
      <c r="H1872" s="9" t="s">
        <v>5138</v>
      </c>
      <c r="I1872" s="10">
        <v>45535</v>
      </c>
    </row>
    <row r="1873" spans="1:9" x14ac:dyDescent="0.15">
      <c r="A1873" s="9">
        <v>1872</v>
      </c>
      <c r="B1873" s="9" t="s">
        <v>9</v>
      </c>
      <c r="C1873" s="9">
        <v>1912</v>
      </c>
      <c r="D1873" s="10">
        <v>45616</v>
      </c>
      <c r="E1873" s="13" t="str">
        <f>+HYPERLINK("http://trademark.i-assist.jp/data/china/image_1912th/80675192.pdf","80675192")</f>
        <v>80675192</v>
      </c>
      <c r="F1873" s="9" t="s">
        <v>5139</v>
      </c>
      <c r="G1873" s="9" t="s">
        <v>5140</v>
      </c>
      <c r="H1873" s="12" t="s">
        <v>5141</v>
      </c>
      <c r="I1873" s="10">
        <v>45535</v>
      </c>
    </row>
    <row r="1874" spans="1:9" x14ac:dyDescent="0.15">
      <c r="A1874" s="9">
        <v>1873</v>
      </c>
      <c r="B1874" s="9" t="s">
        <v>9</v>
      </c>
      <c r="C1874" s="9">
        <v>1912</v>
      </c>
      <c r="D1874" s="10">
        <v>45616</v>
      </c>
      <c r="E1874" s="13" t="str">
        <f>+HYPERLINK("http://trademark.i-assist.jp/data/china/image_1912th/80675195.pdf","80675195")</f>
        <v>80675195</v>
      </c>
      <c r="F1874" s="9" t="s">
        <v>5142</v>
      </c>
      <c r="G1874" s="9" t="s">
        <v>5143</v>
      </c>
      <c r="H1874" s="9" t="s">
        <v>5144</v>
      </c>
      <c r="I1874" s="10">
        <v>45535</v>
      </c>
    </row>
    <row r="1875" spans="1:9" x14ac:dyDescent="0.15">
      <c r="A1875" s="9">
        <v>1874</v>
      </c>
      <c r="B1875" s="9" t="s">
        <v>9</v>
      </c>
      <c r="C1875" s="9">
        <v>1912</v>
      </c>
      <c r="D1875" s="10">
        <v>45616</v>
      </c>
      <c r="E1875" s="13" t="str">
        <f>+HYPERLINK("http://trademark.i-assist.jp/data/china/image_1912th/80675208.pdf","80675208")</f>
        <v>80675208</v>
      </c>
      <c r="F1875" s="9" t="s">
        <v>5145</v>
      </c>
      <c r="G1875" s="9" t="s">
        <v>5146</v>
      </c>
      <c r="H1875" s="9" t="s">
        <v>5147</v>
      </c>
      <c r="I1875" s="10">
        <v>45535</v>
      </c>
    </row>
    <row r="1876" spans="1:9" x14ac:dyDescent="0.15">
      <c r="A1876" s="9">
        <v>1875</v>
      </c>
      <c r="B1876" s="9" t="s">
        <v>9</v>
      </c>
      <c r="C1876" s="9">
        <v>1912</v>
      </c>
      <c r="D1876" s="10">
        <v>45616</v>
      </c>
      <c r="E1876" s="13" t="str">
        <f>+HYPERLINK("http://trademark.i-assist.jp/data/china/image_1912th/80675635.pdf","80675635")</f>
        <v>80675635</v>
      </c>
      <c r="F1876" s="9" t="s">
        <v>5148</v>
      </c>
      <c r="G1876" s="9" t="s">
        <v>5149</v>
      </c>
      <c r="H1876" s="9" t="s">
        <v>5150</v>
      </c>
      <c r="I1876" s="10">
        <v>45535</v>
      </c>
    </row>
    <row r="1877" spans="1:9" x14ac:dyDescent="0.15">
      <c r="A1877" s="9">
        <v>1876</v>
      </c>
      <c r="B1877" s="9" t="s">
        <v>9</v>
      </c>
      <c r="C1877" s="9">
        <v>1912</v>
      </c>
      <c r="D1877" s="10">
        <v>45616</v>
      </c>
      <c r="E1877" s="13" t="str">
        <f>+HYPERLINK("http://trademark.i-assist.jp/data/china/image_1912th/80675671.pdf","80675671")</f>
        <v>80675671</v>
      </c>
      <c r="F1877" s="9" t="s">
        <v>5151</v>
      </c>
      <c r="G1877" s="9" t="s">
        <v>5152</v>
      </c>
      <c r="H1877" s="9" t="s">
        <v>5153</v>
      </c>
      <c r="I1877" s="10">
        <v>45535</v>
      </c>
    </row>
    <row r="1878" spans="1:9" x14ac:dyDescent="0.15">
      <c r="A1878" s="9">
        <v>1877</v>
      </c>
      <c r="B1878" s="9" t="s">
        <v>9</v>
      </c>
      <c r="C1878" s="9">
        <v>1912</v>
      </c>
      <c r="D1878" s="10">
        <v>45616</v>
      </c>
      <c r="E1878" s="13" t="str">
        <f>+HYPERLINK("http://trademark.i-assist.jp/data/china/image_1912th/80675733.pdf","80675733")</f>
        <v>80675733</v>
      </c>
      <c r="F1878" s="9" t="s">
        <v>5154</v>
      </c>
      <c r="G1878" s="9" t="s">
        <v>5155</v>
      </c>
      <c r="H1878" s="9" t="s">
        <v>5156</v>
      </c>
      <c r="I1878" s="10">
        <v>45535</v>
      </c>
    </row>
    <row r="1879" spans="1:9" x14ac:dyDescent="0.15">
      <c r="A1879" s="9">
        <v>1878</v>
      </c>
      <c r="B1879" s="9" t="s">
        <v>9</v>
      </c>
      <c r="C1879" s="9">
        <v>1912</v>
      </c>
      <c r="D1879" s="10">
        <v>45616</v>
      </c>
      <c r="E1879" s="13" t="str">
        <f>+HYPERLINK("http://trademark.i-assist.jp/data/china/image_1912th/80675736.pdf","80675736")</f>
        <v>80675736</v>
      </c>
      <c r="F1879" s="9" t="s">
        <v>5157</v>
      </c>
      <c r="G1879" s="12" t="s">
        <v>5158</v>
      </c>
      <c r="H1879" s="9" t="s">
        <v>5159</v>
      </c>
      <c r="I1879" s="10">
        <v>45535</v>
      </c>
    </row>
    <row r="1880" spans="1:9" x14ac:dyDescent="0.15">
      <c r="A1880" s="9">
        <v>1879</v>
      </c>
      <c r="B1880" s="9" t="s">
        <v>9</v>
      </c>
      <c r="C1880" s="9">
        <v>1912</v>
      </c>
      <c r="D1880" s="10">
        <v>45616</v>
      </c>
      <c r="E1880" s="13" t="str">
        <f>+HYPERLINK("http://trademark.i-assist.jp/data/china/image_1912th/80676194.pdf","80676194")</f>
        <v>80676194</v>
      </c>
      <c r="F1880" s="12" t="s">
        <v>5160</v>
      </c>
      <c r="G1880" s="9" t="s">
        <v>5161</v>
      </c>
      <c r="H1880" s="9" t="s">
        <v>5162</v>
      </c>
      <c r="I1880" s="10">
        <v>45535</v>
      </c>
    </row>
    <row r="1881" spans="1:9" x14ac:dyDescent="0.15">
      <c r="A1881" s="9">
        <v>1880</v>
      </c>
      <c r="B1881" s="9" t="s">
        <v>9</v>
      </c>
      <c r="C1881" s="9">
        <v>1912</v>
      </c>
      <c r="D1881" s="10">
        <v>45616</v>
      </c>
      <c r="E1881" s="13" t="str">
        <f>+HYPERLINK("http://trademark.i-assist.jp/data/china/image_1912th/80676213.pdf","80676213")</f>
        <v>80676213</v>
      </c>
      <c r="F1881" s="9" t="s">
        <v>5163</v>
      </c>
      <c r="G1881" s="9" t="s">
        <v>2624</v>
      </c>
      <c r="H1881" s="9" t="s">
        <v>5164</v>
      </c>
      <c r="I1881" s="10">
        <v>45535</v>
      </c>
    </row>
    <row r="1882" spans="1:9" x14ac:dyDescent="0.15">
      <c r="A1882" s="9">
        <v>1881</v>
      </c>
      <c r="B1882" s="9" t="s">
        <v>9</v>
      </c>
      <c r="C1882" s="9">
        <v>1912</v>
      </c>
      <c r="D1882" s="10">
        <v>45616</v>
      </c>
      <c r="E1882" s="13" t="str">
        <f>+HYPERLINK("http://trademark.i-assist.jp/data/china/image_1912th/80676305.pdf","80676305")</f>
        <v>80676305</v>
      </c>
      <c r="F1882" s="9" t="s">
        <v>5165</v>
      </c>
      <c r="G1882" s="9" t="s">
        <v>5106</v>
      </c>
      <c r="H1882" s="12" t="s">
        <v>5166</v>
      </c>
      <c r="I1882" s="10">
        <v>45535</v>
      </c>
    </row>
    <row r="1883" spans="1:9" x14ac:dyDescent="0.15">
      <c r="A1883" s="9">
        <v>1882</v>
      </c>
      <c r="B1883" s="9" t="s">
        <v>9</v>
      </c>
      <c r="C1883" s="9">
        <v>1912</v>
      </c>
      <c r="D1883" s="10">
        <v>45616</v>
      </c>
      <c r="E1883" s="13" t="str">
        <f>+HYPERLINK("http://trademark.i-assist.jp/data/china/image_1912th/80676573.pdf","80676573")</f>
        <v>80676573</v>
      </c>
      <c r="F1883" s="9" t="s">
        <v>5167</v>
      </c>
      <c r="G1883" s="9" t="s">
        <v>5168</v>
      </c>
      <c r="H1883" s="9" t="s">
        <v>5169</v>
      </c>
      <c r="I1883" s="10">
        <v>45535</v>
      </c>
    </row>
    <row r="1884" spans="1:9" x14ac:dyDescent="0.15">
      <c r="A1884" s="9">
        <v>1883</v>
      </c>
      <c r="B1884" s="9" t="s">
        <v>9</v>
      </c>
      <c r="C1884" s="9">
        <v>1912</v>
      </c>
      <c r="D1884" s="10">
        <v>45616</v>
      </c>
      <c r="E1884" s="13" t="str">
        <f>+HYPERLINK("http://trademark.i-assist.jp/data/china/image_1912th/80677210.pdf","80677210")</f>
        <v>80677210</v>
      </c>
      <c r="F1884" s="12" t="s">
        <v>5170</v>
      </c>
      <c r="G1884" s="9" t="s">
        <v>5171</v>
      </c>
      <c r="H1884" s="12" t="s">
        <v>5172</v>
      </c>
      <c r="I1884" s="10">
        <v>45535</v>
      </c>
    </row>
    <row r="1885" spans="1:9" x14ac:dyDescent="0.15">
      <c r="A1885" s="9">
        <v>1884</v>
      </c>
      <c r="B1885" s="9" t="s">
        <v>9</v>
      </c>
      <c r="C1885" s="9">
        <v>1912</v>
      </c>
      <c r="D1885" s="10">
        <v>45616</v>
      </c>
      <c r="E1885" s="13" t="str">
        <f>+HYPERLINK("http://trademark.i-assist.jp/data/china/image_1912th/80677421.pdf","80677421")</f>
        <v>80677421</v>
      </c>
      <c r="F1885" s="12" t="s">
        <v>5173</v>
      </c>
      <c r="G1885" s="9" t="s">
        <v>5174</v>
      </c>
      <c r="H1885" s="9" t="s">
        <v>5175</v>
      </c>
      <c r="I1885" s="10">
        <v>45535</v>
      </c>
    </row>
    <row r="1886" spans="1:9" x14ac:dyDescent="0.15">
      <c r="A1886" s="9">
        <v>1885</v>
      </c>
      <c r="B1886" s="9" t="s">
        <v>9</v>
      </c>
      <c r="C1886" s="9">
        <v>1912</v>
      </c>
      <c r="D1886" s="10">
        <v>45616</v>
      </c>
      <c r="E1886" s="13" t="str">
        <f>+HYPERLINK("http://trademark.i-assist.jp/data/china/image_1912th/80677553.pdf","80677553")</f>
        <v>80677553</v>
      </c>
      <c r="F1886" s="9" t="s">
        <v>5176</v>
      </c>
      <c r="G1886" s="9" t="s">
        <v>5106</v>
      </c>
      <c r="H1886" s="9" t="s">
        <v>5177</v>
      </c>
      <c r="I1886" s="10">
        <v>45535</v>
      </c>
    </row>
    <row r="1887" spans="1:9" x14ac:dyDescent="0.15">
      <c r="A1887" s="9">
        <v>1886</v>
      </c>
      <c r="B1887" s="9" t="s">
        <v>9</v>
      </c>
      <c r="C1887" s="9">
        <v>1912</v>
      </c>
      <c r="D1887" s="10">
        <v>45616</v>
      </c>
      <c r="E1887" s="13" t="str">
        <f>+HYPERLINK("http://trademark.i-assist.jp/data/china/image_1912th/80677727.pdf","80677727")</f>
        <v>80677727</v>
      </c>
      <c r="F1887" s="12" t="s">
        <v>15</v>
      </c>
      <c r="G1887" s="9" t="s">
        <v>5178</v>
      </c>
      <c r="H1887" s="9" t="s">
        <v>5179</v>
      </c>
      <c r="I1887" s="10">
        <v>45535</v>
      </c>
    </row>
    <row r="1888" spans="1:9" x14ac:dyDescent="0.15">
      <c r="A1888" s="9">
        <v>1887</v>
      </c>
      <c r="B1888" s="9" t="s">
        <v>9</v>
      </c>
      <c r="C1888" s="9">
        <v>1912</v>
      </c>
      <c r="D1888" s="10">
        <v>45616</v>
      </c>
      <c r="E1888" s="13" t="str">
        <f>+HYPERLINK("http://trademark.i-assist.jp/data/china/image_1912th/80677762.pdf","80677762")</f>
        <v>80677762</v>
      </c>
      <c r="F1888" s="9" t="s">
        <v>5180</v>
      </c>
      <c r="G1888" s="12" t="s">
        <v>5181</v>
      </c>
      <c r="H1888" s="9" t="s">
        <v>5182</v>
      </c>
      <c r="I1888" s="10">
        <v>45535</v>
      </c>
    </row>
    <row r="1889" spans="1:9" x14ac:dyDescent="0.15">
      <c r="A1889" s="9">
        <v>1888</v>
      </c>
      <c r="B1889" s="9" t="s">
        <v>9</v>
      </c>
      <c r="C1889" s="9">
        <v>1912</v>
      </c>
      <c r="D1889" s="10">
        <v>45616</v>
      </c>
      <c r="E1889" s="13" t="str">
        <f>+HYPERLINK("http://trademark.i-assist.jp/data/china/image_1912th/80677818.pdf","80677818")</f>
        <v>80677818</v>
      </c>
      <c r="F1889" s="9" t="s">
        <v>5183</v>
      </c>
      <c r="G1889" s="12" t="s">
        <v>5184</v>
      </c>
      <c r="H1889" s="9" t="s">
        <v>5185</v>
      </c>
      <c r="I1889" s="10">
        <v>45535</v>
      </c>
    </row>
    <row r="1890" spans="1:9" x14ac:dyDescent="0.15">
      <c r="A1890" s="9">
        <v>1889</v>
      </c>
      <c r="B1890" s="9" t="s">
        <v>9</v>
      </c>
      <c r="C1890" s="9">
        <v>1912</v>
      </c>
      <c r="D1890" s="10">
        <v>45616</v>
      </c>
      <c r="E1890" s="13" t="str">
        <f>+HYPERLINK("http://trademark.i-assist.jp/data/china/image_1912th/80678191.pdf","80678191")</f>
        <v>80678191</v>
      </c>
      <c r="F1890" s="9" t="s">
        <v>5186</v>
      </c>
      <c r="G1890" s="12" t="s">
        <v>2517</v>
      </c>
      <c r="H1890" s="9" t="s">
        <v>5187</v>
      </c>
      <c r="I1890" s="10">
        <v>45535</v>
      </c>
    </row>
    <row r="1891" spans="1:9" x14ac:dyDescent="0.15">
      <c r="A1891" s="9">
        <v>1890</v>
      </c>
      <c r="B1891" s="9" t="s">
        <v>9</v>
      </c>
      <c r="C1891" s="9">
        <v>1912</v>
      </c>
      <c r="D1891" s="10">
        <v>45616</v>
      </c>
      <c r="E1891" s="13" t="str">
        <f>+HYPERLINK("http://trademark.i-assist.jp/data/china/image_1912th/80678202.pdf","80678202")</f>
        <v>80678202</v>
      </c>
      <c r="F1891" s="9" t="s">
        <v>5188</v>
      </c>
      <c r="G1891" s="9" t="s">
        <v>5106</v>
      </c>
      <c r="H1891" s="12" t="s">
        <v>5189</v>
      </c>
      <c r="I1891" s="10">
        <v>45535</v>
      </c>
    </row>
    <row r="1892" spans="1:9" x14ac:dyDescent="0.15">
      <c r="A1892" s="9">
        <v>1891</v>
      </c>
      <c r="B1892" s="9" t="s">
        <v>9</v>
      </c>
      <c r="C1892" s="9">
        <v>1912</v>
      </c>
      <c r="D1892" s="10">
        <v>45616</v>
      </c>
      <c r="E1892" s="13" t="str">
        <f>+HYPERLINK("http://trademark.i-assist.jp/data/china/image_1912th/80678407.pdf","80678407")</f>
        <v>80678407</v>
      </c>
      <c r="F1892" s="9" t="s">
        <v>5190</v>
      </c>
      <c r="G1892" s="9" t="s">
        <v>5149</v>
      </c>
      <c r="H1892" s="9" t="s">
        <v>5191</v>
      </c>
      <c r="I1892" s="10">
        <v>45535</v>
      </c>
    </row>
    <row r="1893" spans="1:9" x14ac:dyDescent="0.15">
      <c r="A1893" s="9">
        <v>1892</v>
      </c>
      <c r="B1893" s="9" t="s">
        <v>9</v>
      </c>
      <c r="C1893" s="9">
        <v>1912</v>
      </c>
      <c r="D1893" s="10">
        <v>45616</v>
      </c>
      <c r="E1893" s="13" t="str">
        <f>+HYPERLINK("http://trademark.i-assist.jp/data/china/image_1912th/80679082.pdf","80679082")</f>
        <v>80679082</v>
      </c>
      <c r="F1893" s="9" t="s">
        <v>5192</v>
      </c>
      <c r="G1893" s="9" t="s">
        <v>2624</v>
      </c>
      <c r="H1893" s="9" t="s">
        <v>5193</v>
      </c>
      <c r="I1893" s="10">
        <v>45535</v>
      </c>
    </row>
    <row r="1894" spans="1:9" x14ac:dyDescent="0.15">
      <c r="A1894" s="9">
        <v>1893</v>
      </c>
      <c r="B1894" s="9" t="s">
        <v>9</v>
      </c>
      <c r="C1894" s="9">
        <v>1912</v>
      </c>
      <c r="D1894" s="10">
        <v>45616</v>
      </c>
      <c r="E1894" s="13" t="str">
        <f>+HYPERLINK("http://trademark.i-assist.jp/data/china/image_1912th/80679153.pdf","80679153")</f>
        <v>80679153</v>
      </c>
      <c r="F1894" s="12" t="s">
        <v>5194</v>
      </c>
      <c r="G1894" s="9" t="s">
        <v>5174</v>
      </c>
      <c r="H1894" s="12" t="s">
        <v>5195</v>
      </c>
      <c r="I1894" s="10">
        <v>45535</v>
      </c>
    </row>
    <row r="1895" spans="1:9" x14ac:dyDescent="0.15">
      <c r="A1895" s="9">
        <v>1894</v>
      </c>
      <c r="B1895" s="9" t="s">
        <v>9</v>
      </c>
      <c r="C1895" s="9">
        <v>1912</v>
      </c>
      <c r="D1895" s="10">
        <v>45616</v>
      </c>
      <c r="E1895" s="13" t="str">
        <f>+HYPERLINK("http://trademark.i-assist.jp/data/china/image_1912th/80679369.pdf","80679369")</f>
        <v>80679369</v>
      </c>
      <c r="F1895" s="9" t="s">
        <v>5196</v>
      </c>
      <c r="G1895" s="12" t="s">
        <v>5197</v>
      </c>
      <c r="H1895" s="9" t="s">
        <v>5198</v>
      </c>
      <c r="I1895" s="10">
        <v>45535</v>
      </c>
    </row>
    <row r="1896" spans="1:9" x14ac:dyDescent="0.15">
      <c r="A1896" s="9">
        <v>1895</v>
      </c>
      <c r="B1896" s="9" t="s">
        <v>9</v>
      </c>
      <c r="C1896" s="9">
        <v>1912</v>
      </c>
      <c r="D1896" s="10">
        <v>45616</v>
      </c>
      <c r="E1896" s="13" t="str">
        <f>+HYPERLINK("http://trademark.i-assist.jp/data/china/image_1912th/80679523.pdf","80679523")</f>
        <v>80679523</v>
      </c>
      <c r="F1896" s="12" t="s">
        <v>5199</v>
      </c>
      <c r="G1896" s="9" t="s">
        <v>5200</v>
      </c>
      <c r="H1896" s="9" t="s">
        <v>5201</v>
      </c>
      <c r="I1896" s="10">
        <v>45535</v>
      </c>
    </row>
    <row r="1897" spans="1:9" x14ac:dyDescent="0.15">
      <c r="A1897" s="9">
        <v>1896</v>
      </c>
      <c r="B1897" s="9" t="s">
        <v>9</v>
      </c>
      <c r="C1897" s="9">
        <v>1912</v>
      </c>
      <c r="D1897" s="10">
        <v>45616</v>
      </c>
      <c r="E1897" s="13" t="str">
        <f>+HYPERLINK("http://trademark.i-assist.jp/data/china/image_1912th/80679738.pdf","80679738")</f>
        <v>80679738</v>
      </c>
      <c r="F1897" s="9" t="s">
        <v>5202</v>
      </c>
      <c r="G1897" s="9" t="s">
        <v>5203</v>
      </c>
      <c r="H1897" s="9" t="s">
        <v>5204</v>
      </c>
      <c r="I1897" s="10">
        <v>45535</v>
      </c>
    </row>
    <row r="1898" spans="1:9" x14ac:dyDescent="0.15">
      <c r="A1898" s="9">
        <v>1897</v>
      </c>
      <c r="B1898" s="9" t="s">
        <v>9</v>
      </c>
      <c r="C1898" s="9">
        <v>1912</v>
      </c>
      <c r="D1898" s="10">
        <v>45616</v>
      </c>
      <c r="E1898" s="13" t="str">
        <f>+HYPERLINK("http://trademark.i-assist.jp/data/china/image_1912th/80680183.pdf","80680183")</f>
        <v>80680183</v>
      </c>
      <c r="F1898" s="12" t="s">
        <v>15</v>
      </c>
      <c r="G1898" s="9" t="s">
        <v>5205</v>
      </c>
      <c r="H1898" s="9" t="s">
        <v>5206</v>
      </c>
      <c r="I1898" s="10">
        <v>45536</v>
      </c>
    </row>
    <row r="1899" spans="1:9" x14ac:dyDescent="0.15">
      <c r="A1899" s="9">
        <v>1898</v>
      </c>
      <c r="B1899" s="9" t="s">
        <v>9</v>
      </c>
      <c r="C1899" s="9">
        <v>1912</v>
      </c>
      <c r="D1899" s="10">
        <v>45616</v>
      </c>
      <c r="E1899" s="13" t="str">
        <f>+HYPERLINK("http://trademark.i-assist.jp/data/china/image_1912th/80680495.pdf","80680495")</f>
        <v>80680495</v>
      </c>
      <c r="F1899" s="9" t="s">
        <v>5207</v>
      </c>
      <c r="G1899" s="9" t="s">
        <v>5208</v>
      </c>
      <c r="H1899" s="9" t="s">
        <v>5209</v>
      </c>
      <c r="I1899" s="10">
        <v>45536</v>
      </c>
    </row>
    <row r="1900" spans="1:9" x14ac:dyDescent="0.15">
      <c r="A1900" s="9">
        <v>1899</v>
      </c>
      <c r="B1900" s="9" t="s">
        <v>9</v>
      </c>
      <c r="C1900" s="9">
        <v>1912</v>
      </c>
      <c r="D1900" s="10">
        <v>45616</v>
      </c>
      <c r="E1900" s="13" t="str">
        <f>+HYPERLINK("http://trademark.i-assist.jp/data/china/image_1912th/80680899.pdf","80680899")</f>
        <v>80680899</v>
      </c>
      <c r="F1900" s="9" t="s">
        <v>5210</v>
      </c>
      <c r="G1900" s="12" t="s">
        <v>5211</v>
      </c>
      <c r="H1900" s="9" t="s">
        <v>5212</v>
      </c>
      <c r="I1900" s="10">
        <v>45536</v>
      </c>
    </row>
    <row r="1901" spans="1:9" x14ac:dyDescent="0.15">
      <c r="A1901" s="9">
        <v>1900</v>
      </c>
      <c r="B1901" s="9" t="s">
        <v>9</v>
      </c>
      <c r="C1901" s="9">
        <v>1912</v>
      </c>
      <c r="D1901" s="10">
        <v>45616</v>
      </c>
      <c r="E1901" s="13" t="str">
        <f>+HYPERLINK("http://trademark.i-assist.jp/data/china/image_1912th/80680928.pdf","80680928")</f>
        <v>80680928</v>
      </c>
      <c r="F1901" s="9" t="s">
        <v>5213</v>
      </c>
      <c r="G1901" s="9" t="s">
        <v>5214</v>
      </c>
      <c r="H1901" s="9" t="s">
        <v>5215</v>
      </c>
      <c r="I1901" s="10">
        <v>45536</v>
      </c>
    </row>
    <row r="1902" spans="1:9" x14ac:dyDescent="0.15">
      <c r="A1902" s="9">
        <v>1901</v>
      </c>
      <c r="B1902" s="9" t="s">
        <v>9</v>
      </c>
      <c r="C1902" s="9">
        <v>1912</v>
      </c>
      <c r="D1902" s="10">
        <v>45616</v>
      </c>
      <c r="E1902" s="13" t="str">
        <f>+HYPERLINK("http://trademark.i-assist.jp/data/china/image_1912th/80681268.pdf","80681268")</f>
        <v>80681268</v>
      </c>
      <c r="F1902" s="9" t="s">
        <v>5216</v>
      </c>
      <c r="G1902" s="9" t="s">
        <v>5103</v>
      </c>
      <c r="H1902" s="9" t="s">
        <v>5217</v>
      </c>
      <c r="I1902" s="10">
        <v>45536</v>
      </c>
    </row>
    <row r="1903" spans="1:9" x14ac:dyDescent="0.15">
      <c r="A1903" s="9">
        <v>1902</v>
      </c>
      <c r="B1903" s="9" t="s">
        <v>9</v>
      </c>
      <c r="C1903" s="9">
        <v>1912</v>
      </c>
      <c r="D1903" s="10">
        <v>45616</v>
      </c>
      <c r="E1903" s="13" t="str">
        <f>+HYPERLINK("http://trademark.i-assist.jp/data/china/image_1912th/80681591.pdf","80681591")</f>
        <v>80681591</v>
      </c>
      <c r="F1903" s="12" t="s">
        <v>15</v>
      </c>
      <c r="G1903" s="12" t="s">
        <v>5218</v>
      </c>
      <c r="H1903" s="9" t="s">
        <v>5219</v>
      </c>
      <c r="I1903" s="10">
        <v>45536</v>
      </c>
    </row>
    <row r="1904" spans="1:9" x14ac:dyDescent="0.15">
      <c r="A1904" s="9">
        <v>1903</v>
      </c>
      <c r="B1904" s="9" t="s">
        <v>9</v>
      </c>
      <c r="C1904" s="9">
        <v>1912</v>
      </c>
      <c r="D1904" s="10">
        <v>45616</v>
      </c>
      <c r="E1904" s="13" t="str">
        <f>+HYPERLINK("http://trademark.i-assist.jp/data/china/image_1912th/80681815.pdf","80681815")</f>
        <v>80681815</v>
      </c>
      <c r="F1904" s="9" t="s">
        <v>5220</v>
      </c>
      <c r="G1904" s="9" t="s">
        <v>5208</v>
      </c>
      <c r="H1904" s="9" t="s">
        <v>5221</v>
      </c>
      <c r="I1904" s="10">
        <v>45536</v>
      </c>
    </row>
    <row r="1905" spans="1:9" x14ac:dyDescent="0.15">
      <c r="A1905" s="9">
        <v>1904</v>
      </c>
      <c r="B1905" s="9" t="s">
        <v>9</v>
      </c>
      <c r="C1905" s="9">
        <v>1912</v>
      </c>
      <c r="D1905" s="10">
        <v>45616</v>
      </c>
      <c r="E1905" s="13" t="str">
        <f>+HYPERLINK("http://trademark.i-assist.jp/data/china/image_1912th/80681847.pdf","80681847")</f>
        <v>80681847</v>
      </c>
      <c r="F1905" s="9" t="s">
        <v>5222</v>
      </c>
      <c r="G1905" s="9" t="s">
        <v>5223</v>
      </c>
      <c r="H1905" s="9" t="s">
        <v>5224</v>
      </c>
      <c r="I1905" s="10">
        <v>45536</v>
      </c>
    </row>
    <row r="1906" spans="1:9" x14ac:dyDescent="0.15">
      <c r="A1906" s="9">
        <v>1905</v>
      </c>
      <c r="B1906" s="9" t="s">
        <v>9</v>
      </c>
      <c r="C1906" s="9">
        <v>1912</v>
      </c>
      <c r="D1906" s="10">
        <v>45616</v>
      </c>
      <c r="E1906" s="13" t="str">
        <f>+HYPERLINK("http://trademark.i-assist.jp/data/china/image_1912th/80682094.pdf","80682094")</f>
        <v>80682094</v>
      </c>
      <c r="F1906" s="9" t="s">
        <v>5225</v>
      </c>
      <c r="G1906" s="12" t="s">
        <v>5226</v>
      </c>
      <c r="H1906" s="9" t="s">
        <v>5227</v>
      </c>
      <c r="I1906" s="10">
        <v>45536</v>
      </c>
    </row>
    <row r="1907" spans="1:9" x14ac:dyDescent="0.15">
      <c r="A1907" s="9">
        <v>1906</v>
      </c>
      <c r="B1907" s="9" t="s">
        <v>9</v>
      </c>
      <c r="C1907" s="9">
        <v>1912</v>
      </c>
      <c r="D1907" s="10">
        <v>45616</v>
      </c>
      <c r="E1907" s="13" t="str">
        <f>+HYPERLINK("http://trademark.i-assist.jp/data/china/image_1912th/80682778.pdf","80682778")</f>
        <v>80682778</v>
      </c>
      <c r="F1907" s="9" t="s">
        <v>5228</v>
      </c>
      <c r="G1907" s="9" t="s">
        <v>5229</v>
      </c>
      <c r="H1907" s="9" t="s">
        <v>5230</v>
      </c>
      <c r="I1907" s="10">
        <v>45537</v>
      </c>
    </row>
    <row r="1908" spans="1:9" x14ac:dyDescent="0.15">
      <c r="A1908" s="9">
        <v>1907</v>
      </c>
      <c r="B1908" s="9" t="s">
        <v>9</v>
      </c>
      <c r="C1908" s="9">
        <v>1912</v>
      </c>
      <c r="D1908" s="10">
        <v>45616</v>
      </c>
      <c r="E1908" s="13" t="str">
        <f>+HYPERLINK("http://trademark.i-assist.jp/data/china/image_1912th/80682836.pdf","80682836")</f>
        <v>80682836</v>
      </c>
      <c r="F1908" s="12" t="s">
        <v>5231</v>
      </c>
      <c r="G1908" s="9" t="s">
        <v>5232</v>
      </c>
      <c r="H1908" s="9" t="s">
        <v>5233</v>
      </c>
      <c r="I1908" s="10">
        <v>45537</v>
      </c>
    </row>
    <row r="1909" spans="1:9" x14ac:dyDescent="0.15">
      <c r="A1909" s="9">
        <v>1908</v>
      </c>
      <c r="B1909" s="9" t="s">
        <v>9</v>
      </c>
      <c r="C1909" s="9">
        <v>1912</v>
      </c>
      <c r="D1909" s="10">
        <v>45616</v>
      </c>
      <c r="E1909" s="13" t="str">
        <f>+HYPERLINK("http://trademark.i-assist.jp/data/china/image_1912th/80683064.pdf","80683064")</f>
        <v>80683064</v>
      </c>
      <c r="F1909" s="9" t="s">
        <v>5234</v>
      </c>
      <c r="G1909" s="9" t="s">
        <v>5235</v>
      </c>
      <c r="H1909" s="9" t="s">
        <v>5236</v>
      </c>
      <c r="I1909" s="10">
        <v>45537</v>
      </c>
    </row>
    <row r="1910" spans="1:9" x14ac:dyDescent="0.15">
      <c r="A1910" s="9">
        <v>1909</v>
      </c>
      <c r="B1910" s="9" t="s">
        <v>9</v>
      </c>
      <c r="C1910" s="9">
        <v>1912</v>
      </c>
      <c r="D1910" s="10">
        <v>45616</v>
      </c>
      <c r="E1910" s="13" t="str">
        <f>+HYPERLINK("http://trademark.i-assist.jp/data/china/image_1912th/80683151.pdf","80683151")</f>
        <v>80683151</v>
      </c>
      <c r="F1910" s="9" t="s">
        <v>5237</v>
      </c>
      <c r="G1910" s="9" t="s">
        <v>5238</v>
      </c>
      <c r="H1910" s="9" t="s">
        <v>5239</v>
      </c>
      <c r="I1910" s="10">
        <v>45537</v>
      </c>
    </row>
    <row r="1911" spans="1:9" x14ac:dyDescent="0.15">
      <c r="A1911" s="9">
        <v>1910</v>
      </c>
      <c r="B1911" s="9" t="s">
        <v>9</v>
      </c>
      <c r="C1911" s="9">
        <v>1912</v>
      </c>
      <c r="D1911" s="10">
        <v>45616</v>
      </c>
      <c r="E1911" s="13" t="str">
        <f>+HYPERLINK("http://trademark.i-assist.jp/data/china/image_1912th/80684034.pdf","80684034")</f>
        <v>80684034</v>
      </c>
      <c r="F1911" s="9" t="s">
        <v>5240</v>
      </c>
      <c r="G1911" s="9" t="s">
        <v>5241</v>
      </c>
      <c r="H1911" s="9" t="s">
        <v>5242</v>
      </c>
      <c r="I1911" s="10">
        <v>45537</v>
      </c>
    </row>
    <row r="1912" spans="1:9" x14ac:dyDescent="0.15">
      <c r="A1912" s="9">
        <v>1911</v>
      </c>
      <c r="B1912" s="9" t="s">
        <v>9</v>
      </c>
      <c r="C1912" s="9">
        <v>1912</v>
      </c>
      <c r="D1912" s="10">
        <v>45616</v>
      </c>
      <c r="E1912" s="13" t="str">
        <f>+HYPERLINK("http://trademark.i-assist.jp/data/china/image_1912th/80684063.pdf","80684063")</f>
        <v>80684063</v>
      </c>
      <c r="F1912" s="9" t="s">
        <v>5243</v>
      </c>
      <c r="G1912" s="9" t="s">
        <v>5244</v>
      </c>
      <c r="H1912" s="9" t="s">
        <v>5245</v>
      </c>
      <c r="I1912" s="10">
        <v>45537</v>
      </c>
    </row>
    <row r="1913" spans="1:9" x14ac:dyDescent="0.15">
      <c r="A1913" s="9">
        <v>1912</v>
      </c>
      <c r="B1913" s="9" t="s">
        <v>9</v>
      </c>
      <c r="C1913" s="9">
        <v>1912</v>
      </c>
      <c r="D1913" s="10">
        <v>45616</v>
      </c>
      <c r="E1913" s="13" t="str">
        <f>+HYPERLINK("http://trademark.i-assist.jp/data/china/image_1912th/80684294.pdf","80684294")</f>
        <v>80684294</v>
      </c>
      <c r="F1913" s="9" t="s">
        <v>5246</v>
      </c>
      <c r="G1913" s="12" t="s">
        <v>5247</v>
      </c>
      <c r="H1913" s="9" t="s">
        <v>5248</v>
      </c>
      <c r="I1913" s="10">
        <v>45537</v>
      </c>
    </row>
    <row r="1914" spans="1:9" x14ac:dyDescent="0.15">
      <c r="A1914" s="9">
        <v>1913</v>
      </c>
      <c r="B1914" s="9" t="s">
        <v>9</v>
      </c>
      <c r="C1914" s="9">
        <v>1912</v>
      </c>
      <c r="D1914" s="10">
        <v>45616</v>
      </c>
      <c r="E1914" s="13" t="str">
        <f>+HYPERLINK("http://trademark.i-assist.jp/data/china/image_1912th/80684467.pdf","80684467")</f>
        <v>80684467</v>
      </c>
      <c r="F1914" s="12" t="s">
        <v>5249</v>
      </c>
      <c r="G1914" s="12" t="s">
        <v>5250</v>
      </c>
      <c r="H1914" s="9" t="s">
        <v>5251</v>
      </c>
      <c r="I1914" s="10">
        <v>45537</v>
      </c>
    </row>
    <row r="1915" spans="1:9" x14ac:dyDescent="0.15">
      <c r="A1915" s="9">
        <v>1914</v>
      </c>
      <c r="B1915" s="9" t="s">
        <v>9</v>
      </c>
      <c r="C1915" s="9">
        <v>1912</v>
      </c>
      <c r="D1915" s="10">
        <v>45616</v>
      </c>
      <c r="E1915" s="13" t="str">
        <f>+HYPERLINK("http://trademark.i-assist.jp/data/china/image_1912th/80684975.pdf","80684975")</f>
        <v>80684975</v>
      </c>
      <c r="F1915" s="9" t="s">
        <v>5252</v>
      </c>
      <c r="G1915" s="9" t="s">
        <v>5253</v>
      </c>
      <c r="H1915" s="12" t="s">
        <v>5254</v>
      </c>
      <c r="I1915" s="10">
        <v>45537</v>
      </c>
    </row>
    <row r="1916" spans="1:9" x14ac:dyDescent="0.15">
      <c r="A1916" s="9">
        <v>1915</v>
      </c>
      <c r="B1916" s="9" t="s">
        <v>9</v>
      </c>
      <c r="C1916" s="9">
        <v>1912</v>
      </c>
      <c r="D1916" s="10">
        <v>45616</v>
      </c>
      <c r="E1916" s="13" t="str">
        <f>+HYPERLINK("http://trademark.i-assist.jp/data/china/image_1912th/80685153.pdf","80685153")</f>
        <v>80685153</v>
      </c>
      <c r="F1916" s="9" t="s">
        <v>5255</v>
      </c>
      <c r="G1916" s="12" t="s">
        <v>5256</v>
      </c>
      <c r="H1916" s="9" t="s">
        <v>5257</v>
      </c>
      <c r="I1916" s="10">
        <v>45537</v>
      </c>
    </row>
    <row r="1917" spans="1:9" x14ac:dyDescent="0.15">
      <c r="A1917" s="9">
        <v>1916</v>
      </c>
      <c r="B1917" s="9" t="s">
        <v>9</v>
      </c>
      <c r="C1917" s="9">
        <v>1912</v>
      </c>
      <c r="D1917" s="10">
        <v>45616</v>
      </c>
      <c r="E1917" s="13" t="str">
        <f>+HYPERLINK("http://trademark.i-assist.jp/data/china/image_1912th/80685225.pdf","80685225")</f>
        <v>80685225</v>
      </c>
      <c r="F1917" s="9" t="s">
        <v>5258</v>
      </c>
      <c r="G1917" s="9" t="s">
        <v>5259</v>
      </c>
      <c r="H1917" s="9" t="s">
        <v>5260</v>
      </c>
      <c r="I1917" s="10">
        <v>45537</v>
      </c>
    </row>
    <row r="1918" spans="1:9" x14ac:dyDescent="0.15">
      <c r="A1918" s="9">
        <v>1917</v>
      </c>
      <c r="B1918" s="9" t="s">
        <v>9</v>
      </c>
      <c r="C1918" s="9">
        <v>1912</v>
      </c>
      <c r="D1918" s="10">
        <v>45616</v>
      </c>
      <c r="E1918" s="13" t="str">
        <f>+HYPERLINK("http://trademark.i-assist.jp/data/china/image_1912th/80685389.pdf","80685389")</f>
        <v>80685389</v>
      </c>
      <c r="F1918" s="9" t="s">
        <v>5261</v>
      </c>
      <c r="G1918" s="12" t="s">
        <v>5247</v>
      </c>
      <c r="H1918" s="9" t="s">
        <v>5262</v>
      </c>
      <c r="I1918" s="10">
        <v>45537</v>
      </c>
    </row>
    <row r="1919" spans="1:9" x14ac:dyDescent="0.15">
      <c r="A1919" s="9">
        <v>1918</v>
      </c>
      <c r="B1919" s="9" t="s">
        <v>9</v>
      </c>
      <c r="C1919" s="9">
        <v>1912</v>
      </c>
      <c r="D1919" s="10">
        <v>45616</v>
      </c>
      <c r="E1919" s="13" t="str">
        <f>+HYPERLINK("http://trademark.i-assist.jp/data/china/image_1912th/80685800.pdf","80685800")</f>
        <v>80685800</v>
      </c>
      <c r="F1919" s="9" t="s">
        <v>5263</v>
      </c>
      <c r="G1919" s="9" t="s">
        <v>5229</v>
      </c>
      <c r="H1919" s="9" t="s">
        <v>5264</v>
      </c>
      <c r="I1919" s="10">
        <v>45537</v>
      </c>
    </row>
    <row r="1920" spans="1:9" x14ac:dyDescent="0.15">
      <c r="A1920" s="9">
        <v>1919</v>
      </c>
      <c r="B1920" s="9" t="s">
        <v>9</v>
      </c>
      <c r="C1920" s="9">
        <v>1912</v>
      </c>
      <c r="D1920" s="10">
        <v>45616</v>
      </c>
      <c r="E1920" s="13" t="str">
        <f>+HYPERLINK("http://trademark.i-assist.jp/data/china/image_1912th/80685973.pdf","80685973")</f>
        <v>80685973</v>
      </c>
      <c r="F1920" s="9" t="s">
        <v>5265</v>
      </c>
      <c r="G1920" s="9" t="s">
        <v>1303</v>
      </c>
      <c r="H1920" s="9" t="s">
        <v>5266</v>
      </c>
      <c r="I1920" s="10">
        <v>45537</v>
      </c>
    </row>
    <row r="1921" spans="1:9" x14ac:dyDescent="0.15">
      <c r="A1921" s="9">
        <v>1920</v>
      </c>
      <c r="B1921" s="9" t="s">
        <v>9</v>
      </c>
      <c r="C1921" s="9">
        <v>1912</v>
      </c>
      <c r="D1921" s="10">
        <v>45616</v>
      </c>
      <c r="E1921" s="13" t="str">
        <f>+HYPERLINK("http://trademark.i-assist.jp/data/china/image_1912th/80686139.pdf","80686139")</f>
        <v>80686139</v>
      </c>
      <c r="F1921" s="9" t="s">
        <v>5267</v>
      </c>
      <c r="G1921" s="12" t="s">
        <v>5268</v>
      </c>
      <c r="H1921" s="9" t="s">
        <v>5269</v>
      </c>
      <c r="I1921" s="10">
        <v>45537</v>
      </c>
    </row>
    <row r="1922" spans="1:9" x14ac:dyDescent="0.15">
      <c r="A1922" s="9">
        <v>1921</v>
      </c>
      <c r="B1922" s="9" t="s">
        <v>9</v>
      </c>
      <c r="C1922" s="9">
        <v>1912</v>
      </c>
      <c r="D1922" s="10">
        <v>45616</v>
      </c>
      <c r="E1922" s="13" t="str">
        <f>+HYPERLINK("http://trademark.i-assist.jp/data/china/image_1912th/80687077.pdf","80687077")</f>
        <v>80687077</v>
      </c>
      <c r="F1922" s="9" t="s">
        <v>5270</v>
      </c>
      <c r="G1922" s="9" t="s">
        <v>5271</v>
      </c>
      <c r="H1922" s="9" t="s">
        <v>5272</v>
      </c>
      <c r="I1922" s="10">
        <v>45537</v>
      </c>
    </row>
    <row r="1923" spans="1:9" x14ac:dyDescent="0.15">
      <c r="A1923" s="9">
        <v>1922</v>
      </c>
      <c r="B1923" s="9" t="s">
        <v>9</v>
      </c>
      <c r="C1923" s="9">
        <v>1912</v>
      </c>
      <c r="D1923" s="10">
        <v>45616</v>
      </c>
      <c r="E1923" s="13" t="str">
        <f>+HYPERLINK("http://trademark.i-assist.jp/data/china/image_1912th/80687185.pdf","80687185")</f>
        <v>80687185</v>
      </c>
      <c r="F1923" s="9" t="s">
        <v>5273</v>
      </c>
      <c r="G1923" s="9" t="s">
        <v>5274</v>
      </c>
      <c r="H1923" s="9" t="s">
        <v>5275</v>
      </c>
      <c r="I1923" s="10">
        <v>45537</v>
      </c>
    </row>
    <row r="1924" spans="1:9" x14ac:dyDescent="0.15">
      <c r="A1924" s="9">
        <v>1923</v>
      </c>
      <c r="B1924" s="9" t="s">
        <v>9</v>
      </c>
      <c r="C1924" s="9">
        <v>1912</v>
      </c>
      <c r="D1924" s="10">
        <v>45616</v>
      </c>
      <c r="E1924" s="13" t="str">
        <f>+HYPERLINK("http://trademark.i-assist.jp/data/china/image_1912th/80688474.pdf","80688474")</f>
        <v>80688474</v>
      </c>
      <c r="F1924" s="9" t="s">
        <v>5276</v>
      </c>
      <c r="G1924" s="9" t="s">
        <v>5277</v>
      </c>
      <c r="H1924" s="9" t="s">
        <v>5278</v>
      </c>
      <c r="I1924" s="10">
        <v>45537</v>
      </c>
    </row>
    <row r="1925" spans="1:9" x14ac:dyDescent="0.15">
      <c r="A1925" s="9">
        <v>1924</v>
      </c>
      <c r="B1925" s="9" t="s">
        <v>9</v>
      </c>
      <c r="C1925" s="9">
        <v>1912</v>
      </c>
      <c r="D1925" s="10">
        <v>45616</v>
      </c>
      <c r="E1925" s="13" t="str">
        <f>+HYPERLINK("http://trademark.i-assist.jp/data/china/image_1912th/80688983.pdf","80688983")</f>
        <v>80688983</v>
      </c>
      <c r="F1925" s="9" t="s">
        <v>5279</v>
      </c>
      <c r="G1925" s="9" t="s">
        <v>5280</v>
      </c>
      <c r="H1925" s="9" t="s">
        <v>5281</v>
      </c>
      <c r="I1925" s="10">
        <v>45537</v>
      </c>
    </row>
    <row r="1926" spans="1:9" x14ac:dyDescent="0.15">
      <c r="A1926" s="9">
        <v>1925</v>
      </c>
      <c r="B1926" s="9" t="s">
        <v>9</v>
      </c>
      <c r="C1926" s="9">
        <v>1912</v>
      </c>
      <c r="D1926" s="10">
        <v>45616</v>
      </c>
      <c r="E1926" s="13" t="str">
        <f>+HYPERLINK("http://trademark.i-assist.jp/data/china/image_1912th/80688993.pdf","80688993")</f>
        <v>80688993</v>
      </c>
      <c r="F1926" s="9" t="s">
        <v>5282</v>
      </c>
      <c r="G1926" s="9" t="s">
        <v>5283</v>
      </c>
      <c r="H1926" s="9" t="s">
        <v>5284</v>
      </c>
      <c r="I1926" s="10">
        <v>45537</v>
      </c>
    </row>
    <row r="1927" spans="1:9" x14ac:dyDescent="0.15">
      <c r="A1927" s="9">
        <v>1926</v>
      </c>
      <c r="B1927" s="9" t="s">
        <v>9</v>
      </c>
      <c r="C1927" s="9">
        <v>1912</v>
      </c>
      <c r="D1927" s="10">
        <v>45616</v>
      </c>
      <c r="E1927" s="13" t="str">
        <f>+HYPERLINK("http://trademark.i-assist.jp/data/china/image_1912th/80689347.pdf","80689347")</f>
        <v>80689347</v>
      </c>
      <c r="F1927" s="9" t="s">
        <v>5285</v>
      </c>
      <c r="G1927" s="9" t="s">
        <v>5286</v>
      </c>
      <c r="H1927" s="9" t="s">
        <v>5287</v>
      </c>
      <c r="I1927" s="10">
        <v>45537</v>
      </c>
    </row>
    <row r="1928" spans="1:9" x14ac:dyDescent="0.15">
      <c r="A1928" s="9">
        <v>1927</v>
      </c>
      <c r="B1928" s="9" t="s">
        <v>9</v>
      </c>
      <c r="C1928" s="9">
        <v>1912</v>
      </c>
      <c r="D1928" s="10">
        <v>45616</v>
      </c>
      <c r="E1928" s="13" t="str">
        <f>+HYPERLINK("http://trademark.i-assist.jp/data/china/image_1912th/80690096.pdf","80690096")</f>
        <v>80690096</v>
      </c>
      <c r="F1928" s="12" t="s">
        <v>5288</v>
      </c>
      <c r="G1928" s="9" t="s">
        <v>5289</v>
      </c>
      <c r="H1928" s="9" t="s">
        <v>5290</v>
      </c>
      <c r="I1928" s="10">
        <v>45537</v>
      </c>
    </row>
    <row r="1929" spans="1:9" x14ac:dyDescent="0.15">
      <c r="A1929" s="9">
        <v>1928</v>
      </c>
      <c r="B1929" s="9" t="s">
        <v>9</v>
      </c>
      <c r="C1929" s="9">
        <v>1912</v>
      </c>
      <c r="D1929" s="10">
        <v>45616</v>
      </c>
      <c r="E1929" s="13" t="str">
        <f>+HYPERLINK("http://trademark.i-assist.jp/data/china/image_1912th/80690474.pdf","80690474")</f>
        <v>80690474</v>
      </c>
      <c r="F1929" s="9" t="s">
        <v>5291</v>
      </c>
      <c r="G1929" s="9" t="s">
        <v>5292</v>
      </c>
      <c r="H1929" s="9" t="s">
        <v>5293</v>
      </c>
      <c r="I1929" s="10">
        <v>45537</v>
      </c>
    </row>
    <row r="1930" spans="1:9" x14ac:dyDescent="0.15">
      <c r="A1930" s="9">
        <v>1929</v>
      </c>
      <c r="B1930" s="9" t="s">
        <v>9</v>
      </c>
      <c r="C1930" s="9">
        <v>1912</v>
      </c>
      <c r="D1930" s="10">
        <v>45616</v>
      </c>
      <c r="E1930" s="13" t="str">
        <f>+HYPERLINK("http://trademark.i-assist.jp/data/china/image_1912th/80691874.pdf","80691874")</f>
        <v>80691874</v>
      </c>
      <c r="F1930" s="9" t="s">
        <v>5294</v>
      </c>
      <c r="G1930" s="12" t="s">
        <v>5247</v>
      </c>
      <c r="H1930" s="12" t="s">
        <v>5295</v>
      </c>
      <c r="I1930" s="10">
        <v>45537</v>
      </c>
    </row>
    <row r="1931" spans="1:9" x14ac:dyDescent="0.15">
      <c r="A1931" s="9">
        <v>1930</v>
      </c>
      <c r="B1931" s="9" t="s">
        <v>9</v>
      </c>
      <c r="C1931" s="9">
        <v>1912</v>
      </c>
      <c r="D1931" s="10">
        <v>45616</v>
      </c>
      <c r="E1931" s="13" t="str">
        <f>+HYPERLINK("http://trademark.i-assist.jp/data/china/image_1912th/80692485.pdf","80692485")</f>
        <v>80692485</v>
      </c>
      <c r="F1931" s="12" t="s">
        <v>15</v>
      </c>
      <c r="G1931" s="9" t="s">
        <v>5296</v>
      </c>
      <c r="H1931" s="9" t="s">
        <v>5297</v>
      </c>
      <c r="I1931" s="10">
        <v>45537</v>
      </c>
    </row>
    <row r="1932" spans="1:9" x14ac:dyDescent="0.15">
      <c r="A1932" s="9">
        <v>1931</v>
      </c>
      <c r="B1932" s="9" t="s">
        <v>9</v>
      </c>
      <c r="C1932" s="9">
        <v>1912</v>
      </c>
      <c r="D1932" s="10">
        <v>45616</v>
      </c>
      <c r="E1932" s="13" t="str">
        <f>+HYPERLINK("http://trademark.i-assist.jp/data/china/image_1912th/80692693.pdf","80692693")</f>
        <v>80692693</v>
      </c>
      <c r="F1932" s="9" t="s">
        <v>5298</v>
      </c>
      <c r="G1932" s="12" t="s">
        <v>5299</v>
      </c>
      <c r="H1932" s="9" t="s">
        <v>5300</v>
      </c>
      <c r="I1932" s="10">
        <v>45537</v>
      </c>
    </row>
    <row r="1933" spans="1:9" x14ac:dyDescent="0.15">
      <c r="A1933" s="9">
        <v>1932</v>
      </c>
      <c r="B1933" s="9" t="s">
        <v>9</v>
      </c>
      <c r="C1933" s="9">
        <v>1912</v>
      </c>
      <c r="D1933" s="10">
        <v>45616</v>
      </c>
      <c r="E1933" s="13" t="str">
        <f>+HYPERLINK("http://trademark.i-assist.jp/data/china/image_1912th/80692697.pdf","80692697")</f>
        <v>80692697</v>
      </c>
      <c r="F1933" s="12" t="s">
        <v>5301</v>
      </c>
      <c r="G1933" s="9" t="s">
        <v>5302</v>
      </c>
      <c r="H1933" s="9" t="s">
        <v>5303</v>
      </c>
      <c r="I1933" s="10">
        <v>45537</v>
      </c>
    </row>
    <row r="1934" spans="1:9" x14ac:dyDescent="0.15">
      <c r="A1934" s="9">
        <v>1933</v>
      </c>
      <c r="B1934" s="9" t="s">
        <v>9</v>
      </c>
      <c r="C1934" s="9">
        <v>1912</v>
      </c>
      <c r="D1934" s="10">
        <v>45616</v>
      </c>
      <c r="E1934" s="13" t="str">
        <f>+HYPERLINK("http://trademark.i-assist.jp/data/china/image_1912th/80694680.pdf","80694680")</f>
        <v>80694680</v>
      </c>
      <c r="F1934" s="9" t="s">
        <v>5304</v>
      </c>
      <c r="G1934" s="12" t="s">
        <v>5247</v>
      </c>
      <c r="H1934" s="9" t="s">
        <v>5305</v>
      </c>
      <c r="I1934" s="10">
        <v>45537</v>
      </c>
    </row>
    <row r="1935" spans="1:9" x14ac:dyDescent="0.15">
      <c r="A1935" s="9">
        <v>1934</v>
      </c>
      <c r="B1935" s="9" t="s">
        <v>9</v>
      </c>
      <c r="C1935" s="9">
        <v>1912</v>
      </c>
      <c r="D1935" s="10">
        <v>45616</v>
      </c>
      <c r="E1935" s="13" t="str">
        <f>+HYPERLINK("http://trademark.i-assist.jp/data/china/image_1912th/80696877.pdf","80696877")</f>
        <v>80696877</v>
      </c>
      <c r="F1935" s="9" t="s">
        <v>5306</v>
      </c>
      <c r="G1935" s="12" t="s">
        <v>5247</v>
      </c>
      <c r="H1935" s="9" t="s">
        <v>5307</v>
      </c>
      <c r="I1935" s="10">
        <v>45537</v>
      </c>
    </row>
    <row r="1936" spans="1:9" x14ac:dyDescent="0.15">
      <c r="A1936" s="9">
        <v>1935</v>
      </c>
      <c r="B1936" s="9" t="s">
        <v>9</v>
      </c>
      <c r="C1936" s="9">
        <v>1912</v>
      </c>
      <c r="D1936" s="10">
        <v>45616</v>
      </c>
      <c r="E1936" s="13" t="str">
        <f>+HYPERLINK("http://trademark.i-assist.jp/data/china/image_1912th/80696885.pdf","80696885")</f>
        <v>80696885</v>
      </c>
      <c r="F1936" s="9" t="s">
        <v>5308</v>
      </c>
      <c r="G1936" s="12" t="s">
        <v>5247</v>
      </c>
      <c r="H1936" s="9" t="s">
        <v>5309</v>
      </c>
      <c r="I1936" s="10">
        <v>45537</v>
      </c>
    </row>
    <row r="1937" spans="1:9" x14ac:dyDescent="0.15">
      <c r="A1937" s="9">
        <v>1936</v>
      </c>
      <c r="B1937" s="9" t="s">
        <v>9</v>
      </c>
      <c r="C1937" s="9">
        <v>1912</v>
      </c>
      <c r="D1937" s="10">
        <v>45616</v>
      </c>
      <c r="E1937" s="13" t="str">
        <f>+HYPERLINK("http://trademark.i-assist.jp/data/china/image_1912th/80696935.pdf","80696935")</f>
        <v>80696935</v>
      </c>
      <c r="F1937" s="12" t="s">
        <v>5310</v>
      </c>
      <c r="G1937" s="9" t="s">
        <v>5286</v>
      </c>
      <c r="H1937" s="12" t="s">
        <v>5311</v>
      </c>
      <c r="I1937" s="10">
        <v>45537</v>
      </c>
    </row>
    <row r="1938" spans="1:9" x14ac:dyDescent="0.15">
      <c r="A1938" s="9">
        <v>1937</v>
      </c>
      <c r="B1938" s="9" t="s">
        <v>9</v>
      </c>
      <c r="C1938" s="9">
        <v>1912</v>
      </c>
      <c r="D1938" s="10">
        <v>45616</v>
      </c>
      <c r="E1938" s="13" t="str">
        <f>+HYPERLINK("http://trademark.i-assist.jp/data/china/image_1912th/80697065.pdf","80697065")</f>
        <v>80697065</v>
      </c>
      <c r="F1938" s="9" t="s">
        <v>5312</v>
      </c>
      <c r="G1938" s="12" t="s">
        <v>5313</v>
      </c>
      <c r="H1938" s="9" t="s">
        <v>5314</v>
      </c>
      <c r="I1938" s="10">
        <v>45537</v>
      </c>
    </row>
    <row r="1939" spans="1:9" x14ac:dyDescent="0.15">
      <c r="A1939" s="9">
        <v>1938</v>
      </c>
      <c r="B1939" s="9" t="s">
        <v>9</v>
      </c>
      <c r="C1939" s="9">
        <v>1912</v>
      </c>
      <c r="D1939" s="10">
        <v>45616</v>
      </c>
      <c r="E1939" s="13" t="str">
        <f>+HYPERLINK("http://trademark.i-assist.jp/data/china/image_1912th/80697478.pdf","80697478")</f>
        <v>80697478</v>
      </c>
      <c r="F1939" s="9" t="s">
        <v>5315</v>
      </c>
      <c r="G1939" s="9" t="s">
        <v>1303</v>
      </c>
      <c r="H1939" s="9" t="s">
        <v>5316</v>
      </c>
      <c r="I1939" s="10">
        <v>45537</v>
      </c>
    </row>
    <row r="1940" spans="1:9" x14ac:dyDescent="0.15">
      <c r="A1940" s="9">
        <v>1939</v>
      </c>
      <c r="B1940" s="9" t="s">
        <v>9</v>
      </c>
      <c r="C1940" s="9">
        <v>1912</v>
      </c>
      <c r="D1940" s="10">
        <v>45616</v>
      </c>
      <c r="E1940" s="13" t="str">
        <f>+HYPERLINK("http://trademark.i-assist.jp/data/china/image_1912th/80699437.pdf","80699437")</f>
        <v>80699437</v>
      </c>
      <c r="F1940" s="9" t="s">
        <v>5317</v>
      </c>
      <c r="G1940" s="9" t="s">
        <v>1303</v>
      </c>
      <c r="H1940" s="9" t="s">
        <v>5318</v>
      </c>
      <c r="I1940" s="10">
        <v>45537</v>
      </c>
    </row>
    <row r="1941" spans="1:9" x14ac:dyDescent="0.15">
      <c r="A1941" s="9">
        <v>1940</v>
      </c>
      <c r="B1941" s="9" t="s">
        <v>9</v>
      </c>
      <c r="C1941" s="9">
        <v>1912</v>
      </c>
      <c r="D1941" s="10">
        <v>45616</v>
      </c>
      <c r="E1941" s="13" t="str">
        <f>+HYPERLINK("http://trademark.i-assist.jp/data/china/image_1912th/80699459.pdf","80699459")</f>
        <v>80699459</v>
      </c>
      <c r="F1941" s="9" t="s">
        <v>5319</v>
      </c>
      <c r="G1941" s="9" t="s">
        <v>5320</v>
      </c>
      <c r="H1941" s="9" t="s">
        <v>5321</v>
      </c>
      <c r="I1941" s="10">
        <v>45537</v>
      </c>
    </row>
    <row r="1942" spans="1:9" x14ac:dyDescent="0.15">
      <c r="A1942" s="9">
        <v>1941</v>
      </c>
      <c r="B1942" s="9" t="s">
        <v>9</v>
      </c>
      <c r="C1942" s="9">
        <v>1912</v>
      </c>
      <c r="D1942" s="10">
        <v>45616</v>
      </c>
      <c r="E1942" s="13" t="str">
        <f>+HYPERLINK("http://trademark.i-assist.jp/data/china/image_1912th/80700626.pdf","80700626")</f>
        <v>80700626</v>
      </c>
      <c r="F1942" s="12" t="s">
        <v>5322</v>
      </c>
      <c r="G1942" s="9" t="s">
        <v>1303</v>
      </c>
      <c r="H1942" s="9" t="s">
        <v>5323</v>
      </c>
      <c r="I1942" s="10">
        <v>45537</v>
      </c>
    </row>
    <row r="1943" spans="1:9" x14ac:dyDescent="0.15">
      <c r="A1943" s="9">
        <v>1942</v>
      </c>
      <c r="B1943" s="9" t="s">
        <v>9</v>
      </c>
      <c r="C1943" s="9">
        <v>1912</v>
      </c>
      <c r="D1943" s="10">
        <v>45616</v>
      </c>
      <c r="E1943" s="13" t="str">
        <f>+HYPERLINK("http://trademark.i-assist.jp/data/china/image_1912th/80701107.pdf","80701107")</f>
        <v>80701107</v>
      </c>
      <c r="F1943" s="9" t="s">
        <v>5324</v>
      </c>
      <c r="G1943" s="9" t="s">
        <v>5325</v>
      </c>
      <c r="H1943" s="9" t="s">
        <v>5326</v>
      </c>
      <c r="I1943" s="10">
        <v>45537</v>
      </c>
    </row>
    <row r="1944" spans="1:9" x14ac:dyDescent="0.15">
      <c r="A1944" s="9">
        <v>1943</v>
      </c>
      <c r="B1944" s="9" t="s">
        <v>9</v>
      </c>
      <c r="C1944" s="9">
        <v>1912</v>
      </c>
      <c r="D1944" s="10">
        <v>45616</v>
      </c>
      <c r="E1944" s="13" t="str">
        <f>+HYPERLINK("http://trademark.i-assist.jp/data/china/image_1912th/80702085.pdf","80702085")</f>
        <v>80702085</v>
      </c>
      <c r="F1944" s="9" t="s">
        <v>5327</v>
      </c>
      <c r="G1944" s="9" t="s">
        <v>1303</v>
      </c>
      <c r="H1944" s="9" t="s">
        <v>5328</v>
      </c>
      <c r="I1944" s="10">
        <v>45537</v>
      </c>
    </row>
    <row r="1945" spans="1:9" x14ac:dyDescent="0.15">
      <c r="A1945" s="9">
        <v>1944</v>
      </c>
      <c r="B1945" s="9" t="s">
        <v>9</v>
      </c>
      <c r="C1945" s="9">
        <v>1912</v>
      </c>
      <c r="D1945" s="10">
        <v>45616</v>
      </c>
      <c r="E1945" s="13" t="str">
        <f>+HYPERLINK("http://trademark.i-assist.jp/data/china/image_1912th/80702645.pdf","80702645")</f>
        <v>80702645</v>
      </c>
      <c r="F1945" s="9" t="s">
        <v>5329</v>
      </c>
      <c r="G1945" s="9" t="s">
        <v>5330</v>
      </c>
      <c r="H1945" s="9" t="s">
        <v>5331</v>
      </c>
      <c r="I1945" s="10">
        <v>45537</v>
      </c>
    </row>
    <row r="1946" spans="1:9" x14ac:dyDescent="0.15">
      <c r="A1946" s="9">
        <v>1945</v>
      </c>
      <c r="B1946" s="9" t="s">
        <v>9</v>
      </c>
      <c r="C1946" s="9">
        <v>1912</v>
      </c>
      <c r="D1946" s="10">
        <v>45616</v>
      </c>
      <c r="E1946" s="13" t="str">
        <f>+HYPERLINK("http://trademark.i-assist.jp/data/china/image_1912th/80702963.pdf","80702963")</f>
        <v>80702963</v>
      </c>
      <c r="F1946" s="9" t="s">
        <v>5332</v>
      </c>
      <c r="G1946" s="12" t="s">
        <v>5333</v>
      </c>
      <c r="H1946" s="9" t="s">
        <v>5334</v>
      </c>
      <c r="I1946" s="10">
        <v>45537</v>
      </c>
    </row>
    <row r="1947" spans="1:9" x14ac:dyDescent="0.15">
      <c r="A1947" s="9">
        <v>1946</v>
      </c>
      <c r="B1947" s="9" t="s">
        <v>9</v>
      </c>
      <c r="C1947" s="9">
        <v>1912</v>
      </c>
      <c r="D1947" s="10">
        <v>45616</v>
      </c>
      <c r="E1947" s="13" t="str">
        <f>+HYPERLINK("http://trademark.i-assist.jp/data/china/image_1912th/80703371.pdf","80703371")</f>
        <v>80703371</v>
      </c>
      <c r="F1947" s="12" t="s">
        <v>15</v>
      </c>
      <c r="G1947" s="9" t="s">
        <v>5296</v>
      </c>
      <c r="H1947" s="9" t="s">
        <v>5335</v>
      </c>
      <c r="I1947" s="10">
        <v>45537</v>
      </c>
    </row>
    <row r="1948" spans="1:9" x14ac:dyDescent="0.15">
      <c r="A1948" s="9">
        <v>1947</v>
      </c>
      <c r="B1948" s="9" t="s">
        <v>9</v>
      </c>
      <c r="C1948" s="9">
        <v>1912</v>
      </c>
      <c r="D1948" s="10">
        <v>45616</v>
      </c>
      <c r="E1948" s="13" t="str">
        <f>+HYPERLINK("http://trademark.i-assist.jp/data/china/image_1912th/80703373.pdf","80703373")</f>
        <v>80703373</v>
      </c>
      <c r="F1948" s="9" t="s">
        <v>5336</v>
      </c>
      <c r="G1948" s="9" t="s">
        <v>5337</v>
      </c>
      <c r="H1948" s="9" t="s">
        <v>5338</v>
      </c>
      <c r="I1948" s="10">
        <v>45537</v>
      </c>
    </row>
    <row r="1949" spans="1:9" x14ac:dyDescent="0.15">
      <c r="A1949" s="9">
        <v>1948</v>
      </c>
      <c r="B1949" s="9" t="s">
        <v>9</v>
      </c>
      <c r="C1949" s="9">
        <v>1912</v>
      </c>
      <c r="D1949" s="10">
        <v>45616</v>
      </c>
      <c r="E1949" s="13" t="str">
        <f>+HYPERLINK("http://trademark.i-assist.jp/data/china/image_1912th/80703597.pdf","80703597")</f>
        <v>80703597</v>
      </c>
      <c r="F1949" s="9" t="s">
        <v>5339</v>
      </c>
      <c r="G1949" s="12" t="s">
        <v>5247</v>
      </c>
      <c r="H1949" s="9" t="s">
        <v>5340</v>
      </c>
      <c r="I1949" s="10">
        <v>45537</v>
      </c>
    </row>
    <row r="1950" spans="1:9" x14ac:dyDescent="0.15">
      <c r="A1950" s="9">
        <v>1949</v>
      </c>
      <c r="B1950" s="9" t="s">
        <v>9</v>
      </c>
      <c r="C1950" s="9">
        <v>1912</v>
      </c>
      <c r="D1950" s="10">
        <v>45616</v>
      </c>
      <c r="E1950" s="13" t="str">
        <f>+HYPERLINK("http://trademark.i-assist.jp/data/china/image_1912th/80704457.pdf","80704457")</f>
        <v>80704457</v>
      </c>
      <c r="F1950" s="12" t="s">
        <v>5341</v>
      </c>
      <c r="G1950" s="9" t="s">
        <v>5302</v>
      </c>
      <c r="H1950" s="9" t="s">
        <v>5342</v>
      </c>
      <c r="I1950" s="10">
        <v>45537</v>
      </c>
    </row>
    <row r="1951" spans="1:9" x14ac:dyDescent="0.15">
      <c r="A1951" s="9">
        <v>1950</v>
      </c>
      <c r="B1951" s="9" t="s">
        <v>9</v>
      </c>
      <c r="C1951" s="9">
        <v>1912</v>
      </c>
      <c r="D1951" s="10">
        <v>45616</v>
      </c>
      <c r="E1951" s="13" t="str">
        <f>+HYPERLINK("http://trademark.i-assist.jp/data/china/image_1912th/80705244.pdf","80705244")</f>
        <v>80705244</v>
      </c>
      <c r="F1951" s="9" t="s">
        <v>5343</v>
      </c>
      <c r="G1951" s="12" t="s">
        <v>5247</v>
      </c>
      <c r="H1951" s="9" t="s">
        <v>5344</v>
      </c>
      <c r="I1951" s="10">
        <v>45537</v>
      </c>
    </row>
    <row r="1952" spans="1:9" x14ac:dyDescent="0.15">
      <c r="A1952" s="9">
        <v>1951</v>
      </c>
      <c r="B1952" s="9" t="s">
        <v>9</v>
      </c>
      <c r="C1952" s="9">
        <v>1912</v>
      </c>
      <c r="D1952" s="10">
        <v>45616</v>
      </c>
      <c r="E1952" s="13" t="str">
        <f>+HYPERLINK("http://trademark.i-assist.jp/data/china/image_1912th/80706164.pdf","80706164")</f>
        <v>80706164</v>
      </c>
      <c r="F1952" s="9" t="s">
        <v>5345</v>
      </c>
      <c r="G1952" s="9" t="s">
        <v>5346</v>
      </c>
      <c r="H1952" s="9" t="s">
        <v>5347</v>
      </c>
      <c r="I1952" s="10">
        <v>45537</v>
      </c>
    </row>
    <row r="1953" spans="1:9" x14ac:dyDescent="0.15">
      <c r="A1953" s="9">
        <v>1952</v>
      </c>
      <c r="B1953" s="9" t="s">
        <v>9</v>
      </c>
      <c r="C1953" s="9">
        <v>1912</v>
      </c>
      <c r="D1953" s="10">
        <v>45616</v>
      </c>
      <c r="E1953" s="13" t="str">
        <f>+HYPERLINK("http://trademark.i-assist.jp/data/china/image_1912th/80707929.pdf","80707929")</f>
        <v>80707929</v>
      </c>
      <c r="F1953" s="9" t="s">
        <v>5348</v>
      </c>
      <c r="G1953" s="9" t="s">
        <v>5349</v>
      </c>
      <c r="H1953" s="9" t="s">
        <v>5350</v>
      </c>
      <c r="I1953" s="10">
        <v>45538</v>
      </c>
    </row>
    <row r="1954" spans="1:9" x14ac:dyDescent="0.15">
      <c r="A1954" s="9">
        <v>1953</v>
      </c>
      <c r="B1954" s="9" t="s">
        <v>9</v>
      </c>
      <c r="C1954" s="9">
        <v>1912</v>
      </c>
      <c r="D1954" s="10">
        <v>45616</v>
      </c>
      <c r="E1954" s="13" t="str">
        <f>+HYPERLINK("http://trademark.i-assist.jp/data/china/image_1912th/80708057.pdf","80708057")</f>
        <v>80708057</v>
      </c>
      <c r="F1954" s="9" t="s">
        <v>5351</v>
      </c>
      <c r="G1954" s="12" t="s">
        <v>5352</v>
      </c>
      <c r="H1954" s="9" t="s">
        <v>5353</v>
      </c>
      <c r="I1954" s="10">
        <v>45538</v>
      </c>
    </row>
    <row r="1955" spans="1:9" x14ac:dyDescent="0.15">
      <c r="A1955" s="9">
        <v>1954</v>
      </c>
      <c r="B1955" s="9" t="s">
        <v>9</v>
      </c>
      <c r="C1955" s="9">
        <v>1912</v>
      </c>
      <c r="D1955" s="10">
        <v>45616</v>
      </c>
      <c r="E1955" s="13" t="str">
        <f>+HYPERLINK("http://trademark.i-assist.jp/data/china/image_1912th/80709711.pdf","80709711")</f>
        <v>80709711</v>
      </c>
      <c r="F1955" s="9" t="s">
        <v>5354</v>
      </c>
      <c r="G1955" s="9" t="s">
        <v>5355</v>
      </c>
      <c r="H1955" s="12" t="s">
        <v>5356</v>
      </c>
      <c r="I1955" s="10">
        <v>45538</v>
      </c>
    </row>
    <row r="1956" spans="1:9" x14ac:dyDescent="0.15">
      <c r="A1956" s="9">
        <v>1955</v>
      </c>
      <c r="B1956" s="9" t="s">
        <v>9</v>
      </c>
      <c r="C1956" s="9">
        <v>1912</v>
      </c>
      <c r="D1956" s="10">
        <v>45616</v>
      </c>
      <c r="E1956" s="13" t="str">
        <f>+HYPERLINK("http://trademark.i-assist.jp/data/china/image_1912th/80709928.pdf","80709928")</f>
        <v>80709928</v>
      </c>
      <c r="F1956" s="12" t="s">
        <v>5357</v>
      </c>
      <c r="G1956" s="9" t="s">
        <v>1303</v>
      </c>
      <c r="H1956" s="9" t="s">
        <v>5358</v>
      </c>
      <c r="I1956" s="10">
        <v>45538</v>
      </c>
    </row>
    <row r="1957" spans="1:9" x14ac:dyDescent="0.15">
      <c r="A1957" s="9">
        <v>1956</v>
      </c>
      <c r="B1957" s="9" t="s">
        <v>9</v>
      </c>
      <c r="C1957" s="9">
        <v>1912</v>
      </c>
      <c r="D1957" s="10">
        <v>45616</v>
      </c>
      <c r="E1957" s="13" t="str">
        <f>+HYPERLINK("http://trademark.i-assist.jp/data/china/image_1912th/80710055.pdf","80710055")</f>
        <v>80710055</v>
      </c>
      <c r="F1957" s="9" t="s">
        <v>5359</v>
      </c>
      <c r="G1957" s="12" t="s">
        <v>5360</v>
      </c>
      <c r="H1957" s="9" t="s">
        <v>5361</v>
      </c>
      <c r="I1957" s="10">
        <v>45538</v>
      </c>
    </row>
    <row r="1958" spans="1:9" x14ac:dyDescent="0.15">
      <c r="A1958" s="9">
        <v>1957</v>
      </c>
      <c r="B1958" s="9" t="s">
        <v>9</v>
      </c>
      <c r="C1958" s="9">
        <v>1912</v>
      </c>
      <c r="D1958" s="10">
        <v>45616</v>
      </c>
      <c r="E1958" s="13" t="str">
        <f>+HYPERLINK("http://trademark.i-assist.jp/data/china/image_1912th/80711949.pdf","80711949")</f>
        <v>80711949</v>
      </c>
      <c r="F1958" s="9" t="s">
        <v>5362</v>
      </c>
      <c r="G1958" s="12" t="s">
        <v>78</v>
      </c>
      <c r="H1958" s="9" t="s">
        <v>5363</v>
      </c>
      <c r="I1958" s="10">
        <v>45538</v>
      </c>
    </row>
    <row r="1959" spans="1:9" x14ac:dyDescent="0.15">
      <c r="A1959" s="9">
        <v>1958</v>
      </c>
      <c r="B1959" s="9" t="s">
        <v>9</v>
      </c>
      <c r="C1959" s="9">
        <v>1912</v>
      </c>
      <c r="D1959" s="10">
        <v>45616</v>
      </c>
      <c r="E1959" s="13" t="str">
        <f>+HYPERLINK("http://trademark.i-assist.jp/data/china/image_1912th/80712026.pdf","80712026")</f>
        <v>80712026</v>
      </c>
      <c r="F1959" s="12" t="s">
        <v>5364</v>
      </c>
      <c r="G1959" s="12" t="s">
        <v>5365</v>
      </c>
      <c r="H1959" s="9" t="s">
        <v>5366</v>
      </c>
      <c r="I1959" s="10">
        <v>45538</v>
      </c>
    </row>
    <row r="1960" spans="1:9" x14ac:dyDescent="0.15">
      <c r="A1960" s="9">
        <v>1959</v>
      </c>
      <c r="B1960" s="9" t="s">
        <v>9</v>
      </c>
      <c r="C1960" s="9">
        <v>1912</v>
      </c>
      <c r="D1960" s="10">
        <v>45616</v>
      </c>
      <c r="E1960" s="13" t="str">
        <f>+HYPERLINK("http://trademark.i-assist.jp/data/china/image_1912th/80712030.pdf","80712030")</f>
        <v>80712030</v>
      </c>
      <c r="F1960" s="9" t="s">
        <v>5367</v>
      </c>
      <c r="G1960" s="9" t="s">
        <v>5368</v>
      </c>
      <c r="H1960" s="9" t="s">
        <v>5369</v>
      </c>
      <c r="I1960" s="10">
        <v>45538</v>
      </c>
    </row>
    <row r="1961" spans="1:9" x14ac:dyDescent="0.15">
      <c r="A1961" s="9">
        <v>1960</v>
      </c>
      <c r="B1961" s="9" t="s">
        <v>9</v>
      </c>
      <c r="C1961" s="9">
        <v>1912</v>
      </c>
      <c r="D1961" s="10">
        <v>45616</v>
      </c>
      <c r="E1961" s="13" t="str">
        <f>+HYPERLINK("http://trademark.i-assist.jp/data/china/image_1912th/80712564.pdf","80712564")</f>
        <v>80712564</v>
      </c>
      <c r="F1961" s="9" t="s">
        <v>5370</v>
      </c>
      <c r="G1961" s="9" t="s">
        <v>5371</v>
      </c>
      <c r="H1961" s="9" t="s">
        <v>5372</v>
      </c>
      <c r="I1961" s="10">
        <v>45538</v>
      </c>
    </row>
    <row r="1962" spans="1:9" x14ac:dyDescent="0.15">
      <c r="A1962" s="9">
        <v>1961</v>
      </c>
      <c r="B1962" s="9" t="s">
        <v>9</v>
      </c>
      <c r="C1962" s="9">
        <v>1912</v>
      </c>
      <c r="D1962" s="10">
        <v>45616</v>
      </c>
      <c r="E1962" s="13" t="str">
        <f>+HYPERLINK("http://trademark.i-assist.jp/data/china/image_1912th/80713123.pdf","80713123")</f>
        <v>80713123</v>
      </c>
      <c r="F1962" s="9" t="s">
        <v>5373</v>
      </c>
      <c r="G1962" s="9" t="s">
        <v>5374</v>
      </c>
      <c r="H1962" s="9" t="s">
        <v>5375</v>
      </c>
      <c r="I1962" s="10">
        <v>45538</v>
      </c>
    </row>
    <row r="1963" spans="1:9" x14ac:dyDescent="0.15">
      <c r="A1963" s="9">
        <v>1962</v>
      </c>
      <c r="B1963" s="9" t="s">
        <v>9</v>
      </c>
      <c r="C1963" s="9">
        <v>1912</v>
      </c>
      <c r="D1963" s="10">
        <v>45616</v>
      </c>
      <c r="E1963" s="13" t="str">
        <f>+HYPERLINK("http://trademark.i-assist.jp/data/china/image_1912th/80713353.pdf","80713353")</f>
        <v>80713353</v>
      </c>
      <c r="F1963" s="9" t="s">
        <v>5376</v>
      </c>
      <c r="G1963" s="9" t="s">
        <v>5377</v>
      </c>
      <c r="H1963" s="9" t="s">
        <v>5378</v>
      </c>
      <c r="I1963" s="10">
        <v>45538</v>
      </c>
    </row>
    <row r="1964" spans="1:9" x14ac:dyDescent="0.15">
      <c r="A1964" s="9">
        <v>1963</v>
      </c>
      <c r="B1964" s="9" t="s">
        <v>9</v>
      </c>
      <c r="C1964" s="9">
        <v>1912</v>
      </c>
      <c r="D1964" s="10">
        <v>45616</v>
      </c>
      <c r="E1964" s="13" t="str">
        <f>+HYPERLINK("http://trademark.i-assist.jp/data/china/image_1912th/80714082.pdf","80714082")</f>
        <v>80714082</v>
      </c>
      <c r="F1964" s="9" t="s">
        <v>5379</v>
      </c>
      <c r="G1964" s="12" t="s">
        <v>5380</v>
      </c>
      <c r="H1964" s="9" t="s">
        <v>5381</v>
      </c>
      <c r="I1964" s="10">
        <v>45538</v>
      </c>
    </row>
    <row r="1965" spans="1:9" x14ac:dyDescent="0.15">
      <c r="A1965" s="9">
        <v>1964</v>
      </c>
      <c r="B1965" s="9" t="s">
        <v>9</v>
      </c>
      <c r="C1965" s="9">
        <v>1912</v>
      </c>
      <c r="D1965" s="10">
        <v>45616</v>
      </c>
      <c r="E1965" s="13" t="str">
        <f>+HYPERLINK("http://trademark.i-assist.jp/data/china/image_1912th/80714597.pdf","80714597")</f>
        <v>80714597</v>
      </c>
      <c r="F1965" s="9" t="s">
        <v>5382</v>
      </c>
      <c r="G1965" s="9" t="s">
        <v>5383</v>
      </c>
      <c r="H1965" s="9" t="s">
        <v>5384</v>
      </c>
      <c r="I1965" s="10">
        <v>45538</v>
      </c>
    </row>
    <row r="1966" spans="1:9" x14ac:dyDescent="0.15">
      <c r="A1966" s="9">
        <v>1965</v>
      </c>
      <c r="B1966" s="9" t="s">
        <v>9</v>
      </c>
      <c r="C1966" s="9">
        <v>1912</v>
      </c>
      <c r="D1966" s="10">
        <v>45616</v>
      </c>
      <c r="E1966" s="13" t="str">
        <f>+HYPERLINK("http://trademark.i-assist.jp/data/china/image_1912th/80714708.pdf","80714708")</f>
        <v>80714708</v>
      </c>
      <c r="F1966" s="9" t="s">
        <v>5385</v>
      </c>
      <c r="G1966" s="12" t="s">
        <v>5386</v>
      </c>
      <c r="H1966" s="9" t="s">
        <v>5387</v>
      </c>
      <c r="I1966" s="10">
        <v>45538</v>
      </c>
    </row>
    <row r="1967" spans="1:9" x14ac:dyDescent="0.15">
      <c r="A1967" s="9">
        <v>1966</v>
      </c>
      <c r="B1967" s="9" t="s">
        <v>9</v>
      </c>
      <c r="C1967" s="9">
        <v>1912</v>
      </c>
      <c r="D1967" s="10">
        <v>45616</v>
      </c>
      <c r="E1967" s="13" t="str">
        <f>+HYPERLINK("http://trademark.i-assist.jp/data/china/image_1912th/80715023.pdf","80715023")</f>
        <v>80715023</v>
      </c>
      <c r="F1967" s="9" t="s">
        <v>5388</v>
      </c>
      <c r="G1967" s="12" t="s">
        <v>5389</v>
      </c>
      <c r="H1967" s="9" t="s">
        <v>5390</v>
      </c>
      <c r="I1967" s="10">
        <v>45538</v>
      </c>
    </row>
    <row r="1968" spans="1:9" x14ac:dyDescent="0.15">
      <c r="A1968" s="9">
        <v>1967</v>
      </c>
      <c r="B1968" s="9" t="s">
        <v>9</v>
      </c>
      <c r="C1968" s="9">
        <v>1912</v>
      </c>
      <c r="D1968" s="10">
        <v>45616</v>
      </c>
      <c r="E1968" s="13" t="str">
        <f>+HYPERLINK("http://trademark.i-assist.jp/data/china/image_1912th/80715150.pdf","80715150")</f>
        <v>80715150</v>
      </c>
      <c r="F1968" s="9" t="s">
        <v>5373</v>
      </c>
      <c r="G1968" s="9" t="s">
        <v>5374</v>
      </c>
      <c r="H1968" s="9" t="s">
        <v>5391</v>
      </c>
      <c r="I1968" s="10">
        <v>45538</v>
      </c>
    </row>
    <row r="1969" spans="1:9" x14ac:dyDescent="0.15">
      <c r="A1969" s="9">
        <v>1968</v>
      </c>
      <c r="B1969" s="9" t="s">
        <v>9</v>
      </c>
      <c r="C1969" s="9">
        <v>1912</v>
      </c>
      <c r="D1969" s="10">
        <v>45616</v>
      </c>
      <c r="E1969" s="13" t="str">
        <f>+HYPERLINK("http://trademark.i-assist.jp/data/china/image_1912th/80717778.pdf","80717778")</f>
        <v>80717778</v>
      </c>
      <c r="F1969" s="9" t="s">
        <v>5392</v>
      </c>
      <c r="G1969" s="9" t="s">
        <v>5393</v>
      </c>
      <c r="H1969" s="9" t="s">
        <v>5394</v>
      </c>
      <c r="I1969" s="10">
        <v>45538</v>
      </c>
    </row>
    <row r="1970" spans="1:9" x14ac:dyDescent="0.15">
      <c r="A1970" s="9">
        <v>1969</v>
      </c>
      <c r="B1970" s="9" t="s">
        <v>9</v>
      </c>
      <c r="C1970" s="9">
        <v>1912</v>
      </c>
      <c r="D1970" s="10">
        <v>45616</v>
      </c>
      <c r="E1970" s="13" t="str">
        <f>+HYPERLINK("http://trademark.i-assist.jp/data/china/image_1912th/80718338.pdf","80718338")</f>
        <v>80718338</v>
      </c>
      <c r="F1970" s="9" t="s">
        <v>5395</v>
      </c>
      <c r="G1970" s="12" t="s">
        <v>5396</v>
      </c>
      <c r="H1970" s="12" t="s">
        <v>5397</v>
      </c>
      <c r="I1970" s="10">
        <v>45538</v>
      </c>
    </row>
    <row r="1971" spans="1:9" x14ac:dyDescent="0.15">
      <c r="A1971" s="9">
        <v>1970</v>
      </c>
      <c r="B1971" s="9" t="s">
        <v>9</v>
      </c>
      <c r="C1971" s="9">
        <v>1912</v>
      </c>
      <c r="D1971" s="10">
        <v>45616</v>
      </c>
      <c r="E1971" s="13" t="str">
        <f>+HYPERLINK("http://trademark.i-assist.jp/data/china/image_1912th/80718502.pdf","80718502")</f>
        <v>80718502</v>
      </c>
      <c r="F1971" s="9" t="s">
        <v>5398</v>
      </c>
      <c r="G1971" s="12" t="s">
        <v>5399</v>
      </c>
      <c r="H1971" s="9" t="s">
        <v>5400</v>
      </c>
      <c r="I1971" s="10">
        <v>45538</v>
      </c>
    </row>
    <row r="1972" spans="1:9" x14ac:dyDescent="0.15">
      <c r="A1972" s="9">
        <v>1971</v>
      </c>
      <c r="B1972" s="9" t="s">
        <v>9</v>
      </c>
      <c r="C1972" s="9">
        <v>1912</v>
      </c>
      <c r="D1972" s="10">
        <v>45616</v>
      </c>
      <c r="E1972" s="13" t="str">
        <f>+HYPERLINK("http://trademark.i-assist.jp/data/china/image_1912th/80718775.pdf","80718775")</f>
        <v>80718775</v>
      </c>
      <c r="F1972" s="9" t="s">
        <v>5401</v>
      </c>
      <c r="G1972" s="12" t="s">
        <v>5402</v>
      </c>
      <c r="H1972" s="9" t="s">
        <v>5403</v>
      </c>
      <c r="I1972" s="10">
        <v>45538</v>
      </c>
    </row>
    <row r="1973" spans="1:9" x14ac:dyDescent="0.15">
      <c r="A1973" s="9">
        <v>1972</v>
      </c>
      <c r="B1973" s="9" t="s">
        <v>9</v>
      </c>
      <c r="C1973" s="9">
        <v>1912</v>
      </c>
      <c r="D1973" s="10">
        <v>45616</v>
      </c>
      <c r="E1973" s="13" t="str">
        <f>+HYPERLINK("http://trademark.i-assist.jp/data/china/image_1912th/80718809.pdf","80718809")</f>
        <v>80718809</v>
      </c>
      <c r="F1973" s="9" t="s">
        <v>5404</v>
      </c>
      <c r="G1973" s="9" t="s">
        <v>5405</v>
      </c>
      <c r="H1973" s="9" t="s">
        <v>5406</v>
      </c>
      <c r="I1973" s="10">
        <v>45538</v>
      </c>
    </row>
    <row r="1974" spans="1:9" x14ac:dyDescent="0.15">
      <c r="A1974" s="9">
        <v>1973</v>
      </c>
      <c r="B1974" s="9" t="s">
        <v>9</v>
      </c>
      <c r="C1974" s="9">
        <v>1912</v>
      </c>
      <c r="D1974" s="10">
        <v>45616</v>
      </c>
      <c r="E1974" s="13" t="str">
        <f>+HYPERLINK("http://trademark.i-assist.jp/data/china/image_1912th/80718913.pdf","80718913")</f>
        <v>80718913</v>
      </c>
      <c r="F1974" s="12" t="s">
        <v>5407</v>
      </c>
      <c r="G1974" s="12" t="s">
        <v>5408</v>
      </c>
      <c r="H1974" s="9" t="s">
        <v>5409</v>
      </c>
      <c r="I1974" s="10">
        <v>45538</v>
      </c>
    </row>
    <row r="1975" spans="1:9" x14ac:dyDescent="0.15">
      <c r="A1975" s="9">
        <v>1974</v>
      </c>
      <c r="B1975" s="9" t="s">
        <v>9</v>
      </c>
      <c r="C1975" s="9">
        <v>1912</v>
      </c>
      <c r="D1975" s="10">
        <v>45616</v>
      </c>
      <c r="E1975" s="13" t="str">
        <f>+HYPERLINK("http://trademark.i-assist.jp/data/china/image_1912th/80719329.pdf","80719329")</f>
        <v>80719329</v>
      </c>
      <c r="F1975" s="12" t="s">
        <v>5410</v>
      </c>
      <c r="G1975" s="9" t="s">
        <v>5411</v>
      </c>
      <c r="H1975" s="9" t="s">
        <v>5412</v>
      </c>
      <c r="I1975" s="10">
        <v>45538</v>
      </c>
    </row>
    <row r="1976" spans="1:9" x14ac:dyDescent="0.15">
      <c r="A1976" s="9">
        <v>1975</v>
      </c>
      <c r="B1976" s="9" t="s">
        <v>9</v>
      </c>
      <c r="C1976" s="9">
        <v>1912</v>
      </c>
      <c r="D1976" s="10">
        <v>45616</v>
      </c>
      <c r="E1976" s="13" t="str">
        <f>+HYPERLINK("http://trademark.i-assist.jp/data/china/image_1912th/80720106.pdf","80720106")</f>
        <v>80720106</v>
      </c>
      <c r="F1976" s="9" t="s">
        <v>5413</v>
      </c>
      <c r="G1976" s="9" t="s">
        <v>5414</v>
      </c>
      <c r="H1976" s="9" t="s">
        <v>5415</v>
      </c>
      <c r="I1976" s="10">
        <v>45538</v>
      </c>
    </row>
    <row r="1977" spans="1:9" x14ac:dyDescent="0.15">
      <c r="A1977" s="9">
        <v>1976</v>
      </c>
      <c r="B1977" s="9" t="s">
        <v>9</v>
      </c>
      <c r="C1977" s="9">
        <v>1912</v>
      </c>
      <c r="D1977" s="10">
        <v>45616</v>
      </c>
      <c r="E1977" s="13" t="str">
        <f>+HYPERLINK("http://trademark.i-assist.jp/data/china/image_1912th/80721764.pdf","80721764")</f>
        <v>80721764</v>
      </c>
      <c r="F1977" s="9" t="s">
        <v>5416</v>
      </c>
      <c r="G1977" s="9" t="s">
        <v>5417</v>
      </c>
      <c r="H1977" s="9" t="s">
        <v>5418</v>
      </c>
      <c r="I1977" s="10">
        <v>45538</v>
      </c>
    </row>
    <row r="1978" spans="1:9" x14ac:dyDescent="0.15">
      <c r="A1978" s="9">
        <v>1977</v>
      </c>
      <c r="B1978" s="9" t="s">
        <v>9</v>
      </c>
      <c r="C1978" s="9">
        <v>1912</v>
      </c>
      <c r="D1978" s="10">
        <v>45616</v>
      </c>
      <c r="E1978" s="13" t="str">
        <f>+HYPERLINK("http://trademark.i-assist.jp/data/china/image_1912th/80722855.pdf","80722855")</f>
        <v>80722855</v>
      </c>
      <c r="F1978" s="9" t="s">
        <v>5419</v>
      </c>
      <c r="G1978" s="12" t="s">
        <v>5420</v>
      </c>
      <c r="H1978" s="12" t="s">
        <v>5421</v>
      </c>
      <c r="I1978" s="10">
        <v>45538</v>
      </c>
    </row>
    <row r="1979" spans="1:9" x14ac:dyDescent="0.15">
      <c r="A1979" s="9">
        <v>1978</v>
      </c>
      <c r="B1979" s="9" t="s">
        <v>9</v>
      </c>
      <c r="C1979" s="9">
        <v>1912</v>
      </c>
      <c r="D1979" s="10">
        <v>45616</v>
      </c>
      <c r="E1979" s="13" t="str">
        <f>+HYPERLINK("http://trademark.i-assist.jp/data/china/image_1912th/80723600.pdf","80723600")</f>
        <v>80723600</v>
      </c>
      <c r="F1979" s="9" t="s">
        <v>5422</v>
      </c>
      <c r="G1979" s="9" t="s">
        <v>5423</v>
      </c>
      <c r="H1979" s="9" t="s">
        <v>5424</v>
      </c>
      <c r="I1979" s="10">
        <v>45538</v>
      </c>
    </row>
    <row r="1980" spans="1:9" x14ac:dyDescent="0.15">
      <c r="A1980" s="9">
        <v>1979</v>
      </c>
      <c r="B1980" s="9" t="s">
        <v>9</v>
      </c>
      <c r="C1980" s="9">
        <v>1912</v>
      </c>
      <c r="D1980" s="10">
        <v>45616</v>
      </c>
      <c r="E1980" s="13" t="str">
        <f>+HYPERLINK("http://trademark.i-assist.jp/data/china/image_1912th/80723928.pdf","80723928")</f>
        <v>80723928</v>
      </c>
      <c r="F1980" s="9" t="s">
        <v>5425</v>
      </c>
      <c r="G1980" s="12" t="s">
        <v>5426</v>
      </c>
      <c r="H1980" s="9" t="s">
        <v>5427</v>
      </c>
      <c r="I1980" s="10">
        <v>45538</v>
      </c>
    </row>
    <row r="1981" spans="1:9" x14ac:dyDescent="0.15">
      <c r="A1981" s="9">
        <v>1980</v>
      </c>
      <c r="B1981" s="9" t="s">
        <v>9</v>
      </c>
      <c r="C1981" s="9">
        <v>1912</v>
      </c>
      <c r="D1981" s="10">
        <v>45616</v>
      </c>
      <c r="E1981" s="13" t="str">
        <f>+HYPERLINK("http://trademark.i-assist.jp/data/china/image_1912th/80724437.pdf","80724437")</f>
        <v>80724437</v>
      </c>
      <c r="F1981" s="12" t="s">
        <v>5428</v>
      </c>
      <c r="G1981" s="9" t="s">
        <v>5429</v>
      </c>
      <c r="H1981" s="9" t="s">
        <v>5430</v>
      </c>
      <c r="I1981" s="10">
        <v>45538</v>
      </c>
    </row>
    <row r="1982" spans="1:9" x14ac:dyDescent="0.15">
      <c r="A1982" s="9">
        <v>1981</v>
      </c>
      <c r="B1982" s="9" t="s">
        <v>9</v>
      </c>
      <c r="C1982" s="9">
        <v>1912</v>
      </c>
      <c r="D1982" s="10">
        <v>45616</v>
      </c>
      <c r="E1982" s="13" t="str">
        <f>+HYPERLINK("http://trademark.i-assist.jp/data/china/image_1912th/80725338.pdf","80725338")</f>
        <v>80725338</v>
      </c>
      <c r="F1982" s="12" t="s">
        <v>5431</v>
      </c>
      <c r="G1982" s="9" t="s">
        <v>83</v>
      </c>
      <c r="H1982" s="9" t="s">
        <v>5432</v>
      </c>
      <c r="I1982" s="10">
        <v>45538</v>
      </c>
    </row>
    <row r="1983" spans="1:9" x14ac:dyDescent="0.15">
      <c r="A1983" s="9">
        <v>1982</v>
      </c>
      <c r="B1983" s="9" t="s">
        <v>9</v>
      </c>
      <c r="C1983" s="9">
        <v>1912</v>
      </c>
      <c r="D1983" s="10">
        <v>45616</v>
      </c>
      <c r="E1983" s="13" t="str">
        <f>+HYPERLINK("http://trademark.i-assist.jp/data/china/image_1912th/80725364.pdf","80725364")</f>
        <v>80725364</v>
      </c>
      <c r="F1983" s="9" t="s">
        <v>5433</v>
      </c>
      <c r="G1983" s="9" t="s">
        <v>83</v>
      </c>
      <c r="H1983" s="9" t="s">
        <v>5434</v>
      </c>
      <c r="I1983" s="10">
        <v>45538</v>
      </c>
    </row>
    <row r="1984" spans="1:9" x14ac:dyDescent="0.15">
      <c r="A1984" s="9">
        <v>1983</v>
      </c>
      <c r="B1984" s="9" t="s">
        <v>9</v>
      </c>
      <c r="C1984" s="9">
        <v>1912</v>
      </c>
      <c r="D1984" s="10">
        <v>45616</v>
      </c>
      <c r="E1984" s="13" t="str">
        <f>+HYPERLINK("http://trademark.i-assist.jp/data/china/image_1912th/80725394.pdf","80725394")</f>
        <v>80725394</v>
      </c>
      <c r="F1984" s="9" t="s">
        <v>5435</v>
      </c>
      <c r="G1984" s="9" t="s">
        <v>5436</v>
      </c>
      <c r="H1984" s="9" t="s">
        <v>5437</v>
      </c>
      <c r="I1984" s="10">
        <v>45538</v>
      </c>
    </row>
    <row r="1985" spans="1:9" x14ac:dyDescent="0.15">
      <c r="A1985" s="9">
        <v>1984</v>
      </c>
      <c r="B1985" s="9" t="s">
        <v>9</v>
      </c>
      <c r="C1985" s="9">
        <v>1912</v>
      </c>
      <c r="D1985" s="10">
        <v>45616</v>
      </c>
      <c r="E1985" s="13" t="str">
        <f>+HYPERLINK("http://trademark.i-assist.jp/data/china/image_1912th/80725942.pdf","80725942")</f>
        <v>80725942</v>
      </c>
      <c r="F1985" s="9" t="s">
        <v>5438</v>
      </c>
      <c r="G1985" s="9" t="s">
        <v>5439</v>
      </c>
      <c r="H1985" s="9" t="s">
        <v>5440</v>
      </c>
      <c r="I1985" s="10">
        <v>45538</v>
      </c>
    </row>
    <row r="1986" spans="1:9" x14ac:dyDescent="0.15">
      <c r="A1986" s="9">
        <v>1985</v>
      </c>
      <c r="B1986" s="9" t="s">
        <v>9</v>
      </c>
      <c r="C1986" s="9">
        <v>1912</v>
      </c>
      <c r="D1986" s="10">
        <v>45616</v>
      </c>
      <c r="E1986" s="13" t="str">
        <f>+HYPERLINK("http://trademark.i-assist.jp/data/china/image_1912th/80728265.pdf","80728265")</f>
        <v>80728265</v>
      </c>
      <c r="F1986" s="9" t="s">
        <v>5441</v>
      </c>
      <c r="G1986" s="9" t="s">
        <v>83</v>
      </c>
      <c r="H1986" s="9" t="s">
        <v>5442</v>
      </c>
      <c r="I1986" s="10">
        <v>45538</v>
      </c>
    </row>
    <row r="1987" spans="1:9" x14ac:dyDescent="0.15">
      <c r="A1987" s="9">
        <v>1986</v>
      </c>
      <c r="B1987" s="9" t="s">
        <v>9</v>
      </c>
      <c r="C1987" s="9">
        <v>1912</v>
      </c>
      <c r="D1987" s="10">
        <v>45616</v>
      </c>
      <c r="E1987" s="13" t="str">
        <f>+HYPERLINK("http://trademark.i-assist.jp/data/china/image_1912th/80728391.pdf","80728391")</f>
        <v>80728391</v>
      </c>
      <c r="F1987" s="12" t="s">
        <v>5443</v>
      </c>
      <c r="G1987" s="12" t="s">
        <v>5444</v>
      </c>
      <c r="H1987" s="9" t="s">
        <v>5445</v>
      </c>
      <c r="I1987" s="10">
        <v>45538</v>
      </c>
    </row>
    <row r="1988" spans="1:9" x14ac:dyDescent="0.15">
      <c r="A1988" s="9">
        <v>1987</v>
      </c>
      <c r="B1988" s="9" t="s">
        <v>9</v>
      </c>
      <c r="C1988" s="9">
        <v>1912</v>
      </c>
      <c r="D1988" s="10">
        <v>45616</v>
      </c>
      <c r="E1988" s="13" t="str">
        <f>+HYPERLINK("http://trademark.i-assist.jp/data/china/image_1912th/80729227.pdf","80729227")</f>
        <v>80729227</v>
      </c>
      <c r="F1988" s="9" t="s">
        <v>5446</v>
      </c>
      <c r="G1988" s="9" t="s">
        <v>5447</v>
      </c>
      <c r="H1988" s="9" t="s">
        <v>5448</v>
      </c>
      <c r="I1988" s="10">
        <v>45538</v>
      </c>
    </row>
    <row r="1989" spans="1:9" x14ac:dyDescent="0.15">
      <c r="A1989" s="9">
        <v>1988</v>
      </c>
      <c r="B1989" s="9" t="s">
        <v>9</v>
      </c>
      <c r="C1989" s="9">
        <v>1912</v>
      </c>
      <c r="D1989" s="10">
        <v>45616</v>
      </c>
      <c r="E1989" s="13" t="str">
        <f>+HYPERLINK("http://trademark.i-assist.jp/data/china/image_1912th/80729339.pdf","80729339")</f>
        <v>80729339</v>
      </c>
      <c r="F1989" s="9" t="s">
        <v>5449</v>
      </c>
      <c r="G1989" s="9" t="s">
        <v>5450</v>
      </c>
      <c r="H1989" s="9" t="s">
        <v>5451</v>
      </c>
      <c r="I1989" s="10">
        <v>45538</v>
      </c>
    </row>
    <row r="1990" spans="1:9" x14ac:dyDescent="0.15">
      <c r="A1990" s="9">
        <v>1989</v>
      </c>
      <c r="B1990" s="9" t="s">
        <v>9</v>
      </c>
      <c r="C1990" s="9">
        <v>1912</v>
      </c>
      <c r="D1990" s="10">
        <v>45616</v>
      </c>
      <c r="E1990" s="13" t="str">
        <f>+HYPERLINK("http://trademark.i-assist.jp/data/china/image_1912th/80729360.pdf","80729360")</f>
        <v>80729360</v>
      </c>
      <c r="F1990" s="12" t="s">
        <v>5452</v>
      </c>
      <c r="G1990" s="12" t="s">
        <v>5453</v>
      </c>
      <c r="H1990" s="12" t="s">
        <v>5454</v>
      </c>
      <c r="I1990" s="10">
        <v>45538</v>
      </c>
    </row>
    <row r="1991" spans="1:9" x14ac:dyDescent="0.15">
      <c r="A1991" s="9">
        <v>1990</v>
      </c>
      <c r="B1991" s="9" t="s">
        <v>9</v>
      </c>
      <c r="C1991" s="9">
        <v>1912</v>
      </c>
      <c r="D1991" s="10">
        <v>45616</v>
      </c>
      <c r="E1991" s="13" t="str">
        <f>+HYPERLINK("http://trademark.i-assist.jp/data/china/image_1912th/80729516.pdf","80729516")</f>
        <v>80729516</v>
      </c>
      <c r="F1991" s="9" t="s">
        <v>5455</v>
      </c>
      <c r="G1991" s="12" t="s">
        <v>5399</v>
      </c>
      <c r="H1991" s="9" t="s">
        <v>5456</v>
      </c>
      <c r="I1991" s="10">
        <v>45538</v>
      </c>
    </row>
    <row r="1992" spans="1:9" x14ac:dyDescent="0.15">
      <c r="A1992" s="9">
        <v>1991</v>
      </c>
      <c r="B1992" s="9" t="s">
        <v>9</v>
      </c>
      <c r="C1992" s="9">
        <v>1912</v>
      </c>
      <c r="D1992" s="10">
        <v>45616</v>
      </c>
      <c r="E1992" s="13" t="str">
        <f>+HYPERLINK("http://trademark.i-assist.jp/data/china/image_1912th/80730094.pdf","80730094")</f>
        <v>80730094</v>
      </c>
      <c r="F1992" s="12" t="s">
        <v>5457</v>
      </c>
      <c r="G1992" s="12" t="s">
        <v>1118</v>
      </c>
      <c r="H1992" s="9" t="s">
        <v>5458</v>
      </c>
      <c r="I1992" s="10">
        <v>45539</v>
      </c>
    </row>
    <row r="1993" spans="1:9" x14ac:dyDescent="0.15">
      <c r="A1993" s="9">
        <v>1992</v>
      </c>
      <c r="B1993" s="9" t="s">
        <v>9</v>
      </c>
      <c r="C1993" s="9">
        <v>1912</v>
      </c>
      <c r="D1993" s="10">
        <v>45616</v>
      </c>
      <c r="E1993" s="13" t="str">
        <f>+HYPERLINK("http://trademark.i-assist.jp/data/china/image_1912th/80730955.pdf","80730955")</f>
        <v>80730955</v>
      </c>
      <c r="F1993" s="9" t="s">
        <v>5459</v>
      </c>
      <c r="G1993" s="12" t="s">
        <v>5460</v>
      </c>
      <c r="H1993" s="9" t="s">
        <v>5461</v>
      </c>
      <c r="I1993" s="10">
        <v>45539</v>
      </c>
    </row>
    <row r="1994" spans="1:9" x14ac:dyDescent="0.15">
      <c r="A1994" s="9">
        <v>1993</v>
      </c>
      <c r="B1994" s="9" t="s">
        <v>9</v>
      </c>
      <c r="C1994" s="9">
        <v>1912</v>
      </c>
      <c r="D1994" s="10">
        <v>45616</v>
      </c>
      <c r="E1994" s="13" t="str">
        <f>+HYPERLINK("http://trademark.i-assist.jp/data/china/image_1912th/80731629.pdf","80731629")</f>
        <v>80731629</v>
      </c>
      <c r="F1994" s="9" t="s">
        <v>5462</v>
      </c>
      <c r="G1994" s="12" t="s">
        <v>5463</v>
      </c>
      <c r="H1994" s="9" t="s">
        <v>5464</v>
      </c>
      <c r="I1994" s="10">
        <v>45539</v>
      </c>
    </row>
    <row r="1995" spans="1:9" x14ac:dyDescent="0.15">
      <c r="A1995" s="9">
        <v>1994</v>
      </c>
      <c r="B1995" s="9" t="s">
        <v>9</v>
      </c>
      <c r="C1995" s="9">
        <v>1912</v>
      </c>
      <c r="D1995" s="10">
        <v>45616</v>
      </c>
      <c r="E1995" s="13" t="str">
        <f>+HYPERLINK("http://trademark.i-assist.jp/data/china/image_1912th/80731910.pdf","80731910")</f>
        <v>80731910</v>
      </c>
      <c r="F1995" s="9" t="s">
        <v>5465</v>
      </c>
      <c r="G1995" s="9" t="s">
        <v>3745</v>
      </c>
      <c r="H1995" s="9" t="s">
        <v>5466</v>
      </c>
      <c r="I1995" s="10">
        <v>45539</v>
      </c>
    </row>
    <row r="1996" spans="1:9" x14ac:dyDescent="0.15">
      <c r="A1996" s="9">
        <v>1995</v>
      </c>
      <c r="B1996" s="9" t="s">
        <v>9</v>
      </c>
      <c r="C1996" s="9">
        <v>1912</v>
      </c>
      <c r="D1996" s="10">
        <v>45616</v>
      </c>
      <c r="E1996" s="13" t="str">
        <f>+HYPERLINK("http://trademark.i-assist.jp/data/china/image_1912th/80732053.pdf","80732053")</f>
        <v>80732053</v>
      </c>
      <c r="F1996" s="12" t="s">
        <v>5467</v>
      </c>
      <c r="G1996" s="12" t="s">
        <v>5468</v>
      </c>
      <c r="H1996" s="9" t="s">
        <v>5469</v>
      </c>
      <c r="I1996" s="10">
        <v>45539</v>
      </c>
    </row>
    <row r="1997" spans="1:9" x14ac:dyDescent="0.15">
      <c r="A1997" s="9">
        <v>1996</v>
      </c>
      <c r="B1997" s="9" t="s">
        <v>9</v>
      </c>
      <c r="C1997" s="9">
        <v>1912</v>
      </c>
      <c r="D1997" s="10">
        <v>45616</v>
      </c>
      <c r="E1997" s="13" t="str">
        <f>+HYPERLINK("http://trademark.i-assist.jp/data/china/image_1912th/80732064.pdf","80732064")</f>
        <v>80732064</v>
      </c>
      <c r="F1997" s="9" t="s">
        <v>5470</v>
      </c>
      <c r="G1997" s="9" t="s">
        <v>5471</v>
      </c>
      <c r="H1997" s="9" t="s">
        <v>5472</v>
      </c>
      <c r="I1997" s="10">
        <v>45539</v>
      </c>
    </row>
    <row r="1998" spans="1:9" x14ac:dyDescent="0.15">
      <c r="A1998" s="9">
        <v>1997</v>
      </c>
      <c r="B1998" s="9" t="s">
        <v>9</v>
      </c>
      <c r="C1998" s="9">
        <v>1912</v>
      </c>
      <c r="D1998" s="10">
        <v>45616</v>
      </c>
      <c r="E1998" s="13" t="str">
        <f>+HYPERLINK("http://trademark.i-assist.jp/data/china/image_1912th/80732424.pdf","80732424")</f>
        <v>80732424</v>
      </c>
      <c r="F1998" s="9" t="s">
        <v>5473</v>
      </c>
      <c r="G1998" s="9" t="s">
        <v>5474</v>
      </c>
      <c r="H1998" s="9" t="s">
        <v>5475</v>
      </c>
      <c r="I1998" s="10">
        <v>45539</v>
      </c>
    </row>
    <row r="1999" spans="1:9" x14ac:dyDescent="0.15">
      <c r="A1999" s="9">
        <v>1998</v>
      </c>
      <c r="B1999" s="9" t="s">
        <v>9</v>
      </c>
      <c r="C1999" s="9">
        <v>1912</v>
      </c>
      <c r="D1999" s="10">
        <v>45616</v>
      </c>
      <c r="E1999" s="13" t="str">
        <f>+HYPERLINK("http://trademark.i-assist.jp/data/china/image_1912th/80732784.pdf","80732784")</f>
        <v>80732784</v>
      </c>
      <c r="F1999" s="9" t="s">
        <v>5476</v>
      </c>
      <c r="G1999" s="9" t="s">
        <v>5471</v>
      </c>
      <c r="H1999" s="9" t="s">
        <v>5477</v>
      </c>
      <c r="I1999" s="10">
        <v>45539</v>
      </c>
    </row>
    <row r="2000" spans="1:9" x14ac:dyDescent="0.15">
      <c r="A2000" s="9">
        <v>1999</v>
      </c>
      <c r="B2000" s="9" t="s">
        <v>9</v>
      </c>
      <c r="C2000" s="9">
        <v>1912</v>
      </c>
      <c r="D2000" s="10">
        <v>45616</v>
      </c>
      <c r="E2000" s="13" t="str">
        <f>+HYPERLINK("http://trademark.i-assist.jp/data/china/image_1912th/80732926.pdf","80732926")</f>
        <v>80732926</v>
      </c>
      <c r="F2000" s="9" t="s">
        <v>5478</v>
      </c>
      <c r="G2000" s="12" t="s">
        <v>5479</v>
      </c>
      <c r="H2000" s="9" t="s">
        <v>5480</v>
      </c>
      <c r="I2000" s="10">
        <v>45539</v>
      </c>
    </row>
    <row r="2001" spans="1:9" x14ac:dyDescent="0.15">
      <c r="A2001" s="9">
        <v>2000</v>
      </c>
      <c r="B2001" s="9" t="s">
        <v>9</v>
      </c>
      <c r="C2001" s="9">
        <v>1912</v>
      </c>
      <c r="D2001" s="10">
        <v>45616</v>
      </c>
      <c r="E2001" s="13" t="str">
        <f>+HYPERLINK("http://trademark.i-assist.jp/data/china/image_1912th/80733909.pdf","80733909")</f>
        <v>80733909</v>
      </c>
      <c r="F2001" s="9" t="s">
        <v>5481</v>
      </c>
      <c r="G2001" s="9" t="s">
        <v>5109</v>
      </c>
      <c r="H2001" s="9" t="s">
        <v>5482</v>
      </c>
      <c r="I2001" s="10">
        <v>45539</v>
      </c>
    </row>
    <row r="2002" spans="1:9" x14ac:dyDescent="0.15">
      <c r="A2002" s="9">
        <v>2001</v>
      </c>
      <c r="B2002" s="9" t="s">
        <v>9</v>
      </c>
      <c r="C2002" s="9">
        <v>1912</v>
      </c>
      <c r="D2002" s="10">
        <v>45616</v>
      </c>
      <c r="E2002" s="13" t="str">
        <f>+HYPERLINK("http://trademark.i-assist.jp/data/china/image_1912th/80734118.pdf","80734118")</f>
        <v>80734118</v>
      </c>
      <c r="F2002" s="9" t="s">
        <v>5483</v>
      </c>
      <c r="G2002" s="9" t="s">
        <v>5484</v>
      </c>
      <c r="H2002" s="12" t="s">
        <v>5485</v>
      </c>
      <c r="I2002" s="10">
        <v>45539</v>
      </c>
    </row>
    <row r="2003" spans="1:9" x14ac:dyDescent="0.15">
      <c r="A2003" s="9">
        <v>2002</v>
      </c>
      <c r="B2003" s="9" t="s">
        <v>9</v>
      </c>
      <c r="C2003" s="9">
        <v>1912</v>
      </c>
      <c r="D2003" s="10">
        <v>45616</v>
      </c>
      <c r="E2003" s="13" t="str">
        <f>+HYPERLINK("http://trademark.i-assist.jp/data/china/image_1912th/80734207.pdf","80734207")</f>
        <v>80734207</v>
      </c>
      <c r="F2003" s="12" t="s">
        <v>15</v>
      </c>
      <c r="G2003" s="9" t="s">
        <v>5486</v>
      </c>
      <c r="H2003" s="9" t="s">
        <v>5487</v>
      </c>
      <c r="I2003" s="10">
        <v>45539</v>
      </c>
    </row>
    <row r="2004" spans="1:9" x14ac:dyDescent="0.15">
      <c r="A2004" s="9">
        <v>2003</v>
      </c>
      <c r="B2004" s="9" t="s">
        <v>9</v>
      </c>
      <c r="C2004" s="9">
        <v>1912</v>
      </c>
      <c r="D2004" s="10">
        <v>45616</v>
      </c>
      <c r="E2004" s="13" t="str">
        <f>+HYPERLINK("http://trademark.i-assist.jp/data/china/image_1912th/80735305.pdf","80735305")</f>
        <v>80735305</v>
      </c>
      <c r="F2004" s="9" t="s">
        <v>5488</v>
      </c>
      <c r="G2004" s="12" t="s">
        <v>5489</v>
      </c>
      <c r="H2004" s="9" t="s">
        <v>5490</v>
      </c>
      <c r="I2004" s="10">
        <v>45539</v>
      </c>
    </row>
    <row r="2005" spans="1:9" x14ac:dyDescent="0.15">
      <c r="A2005" s="9">
        <v>2004</v>
      </c>
      <c r="B2005" s="9" t="s">
        <v>9</v>
      </c>
      <c r="C2005" s="9">
        <v>1912</v>
      </c>
      <c r="D2005" s="10">
        <v>45616</v>
      </c>
      <c r="E2005" s="13" t="str">
        <f>+HYPERLINK("http://trademark.i-assist.jp/data/china/image_1912th/80735434.pdf","80735434")</f>
        <v>80735434</v>
      </c>
      <c r="F2005" s="9" t="s">
        <v>5491</v>
      </c>
      <c r="G2005" s="9" t="s">
        <v>5492</v>
      </c>
      <c r="H2005" s="9" t="s">
        <v>5493</v>
      </c>
      <c r="I2005" s="10">
        <v>45539</v>
      </c>
    </row>
    <row r="2006" spans="1:9" x14ac:dyDescent="0.15">
      <c r="A2006" s="9">
        <v>2005</v>
      </c>
      <c r="B2006" s="9" t="s">
        <v>9</v>
      </c>
      <c r="C2006" s="9">
        <v>1912</v>
      </c>
      <c r="D2006" s="10">
        <v>45616</v>
      </c>
      <c r="E2006" s="13" t="str">
        <f>+HYPERLINK("http://trademark.i-assist.jp/data/china/image_1912th/80735575.pdf","80735575")</f>
        <v>80735575</v>
      </c>
      <c r="F2006" s="9" t="s">
        <v>5494</v>
      </c>
      <c r="G2006" s="12" t="s">
        <v>5495</v>
      </c>
      <c r="H2006" s="9" t="s">
        <v>5496</v>
      </c>
      <c r="I2006" s="10">
        <v>45539</v>
      </c>
    </row>
    <row r="2007" spans="1:9" x14ac:dyDescent="0.15">
      <c r="A2007" s="9">
        <v>2006</v>
      </c>
      <c r="B2007" s="9" t="s">
        <v>9</v>
      </c>
      <c r="C2007" s="9">
        <v>1912</v>
      </c>
      <c r="D2007" s="10">
        <v>45616</v>
      </c>
      <c r="E2007" s="13" t="str">
        <f>+HYPERLINK("http://trademark.i-assist.jp/data/china/image_1912th/80737512.pdf","80737512")</f>
        <v>80737512</v>
      </c>
      <c r="F2007" s="9" t="s">
        <v>5497</v>
      </c>
      <c r="G2007" s="9" t="s">
        <v>5498</v>
      </c>
      <c r="H2007" s="9" t="s">
        <v>5499</v>
      </c>
      <c r="I2007" s="10">
        <v>45539</v>
      </c>
    </row>
    <row r="2008" spans="1:9" x14ac:dyDescent="0.15">
      <c r="A2008" s="9">
        <v>2007</v>
      </c>
      <c r="B2008" s="9" t="s">
        <v>9</v>
      </c>
      <c r="C2008" s="9">
        <v>1912</v>
      </c>
      <c r="D2008" s="10">
        <v>45616</v>
      </c>
      <c r="E2008" s="13" t="str">
        <f>+HYPERLINK("http://trademark.i-assist.jp/data/china/image_1912th/80738704.pdf","80738704")</f>
        <v>80738704</v>
      </c>
      <c r="F2008" s="9" t="s">
        <v>5500</v>
      </c>
      <c r="G2008" s="9" t="s">
        <v>5501</v>
      </c>
      <c r="H2008" s="9" t="s">
        <v>5502</v>
      </c>
      <c r="I2008" s="10">
        <v>45539</v>
      </c>
    </row>
    <row r="2009" spans="1:9" x14ac:dyDescent="0.15">
      <c r="A2009" s="9">
        <v>2008</v>
      </c>
      <c r="B2009" s="9" t="s">
        <v>9</v>
      </c>
      <c r="C2009" s="9">
        <v>1912</v>
      </c>
      <c r="D2009" s="10">
        <v>45616</v>
      </c>
      <c r="E2009" s="13" t="str">
        <f>+HYPERLINK("http://trademark.i-assist.jp/data/china/image_1912th/80738709.pdf","80738709")</f>
        <v>80738709</v>
      </c>
      <c r="F2009" s="12" t="s">
        <v>5503</v>
      </c>
      <c r="G2009" s="9" t="s">
        <v>5501</v>
      </c>
      <c r="H2009" s="9" t="s">
        <v>5504</v>
      </c>
      <c r="I2009" s="10">
        <v>45539</v>
      </c>
    </row>
    <row r="2010" spans="1:9" x14ac:dyDescent="0.15">
      <c r="A2010" s="9">
        <v>2009</v>
      </c>
      <c r="B2010" s="9" t="s">
        <v>9</v>
      </c>
      <c r="C2010" s="9">
        <v>1912</v>
      </c>
      <c r="D2010" s="10">
        <v>45616</v>
      </c>
      <c r="E2010" s="13" t="str">
        <f>+HYPERLINK("http://trademark.i-assist.jp/data/china/image_1912th/80738879.pdf","80738879")</f>
        <v>80738879</v>
      </c>
      <c r="F2010" s="9" t="s">
        <v>5505</v>
      </c>
      <c r="G2010" s="9" t="s">
        <v>5506</v>
      </c>
      <c r="H2010" s="9" t="s">
        <v>5507</v>
      </c>
      <c r="I2010" s="10">
        <v>45539</v>
      </c>
    </row>
    <row r="2011" spans="1:9" x14ac:dyDescent="0.15">
      <c r="A2011" s="9">
        <v>2010</v>
      </c>
      <c r="B2011" s="9" t="s">
        <v>9</v>
      </c>
      <c r="C2011" s="9">
        <v>1912</v>
      </c>
      <c r="D2011" s="10">
        <v>45616</v>
      </c>
      <c r="E2011" s="13" t="str">
        <f>+HYPERLINK("http://trademark.i-assist.jp/data/china/image_1912th/80740687.pdf","80740687")</f>
        <v>80740687</v>
      </c>
      <c r="F2011" s="9" t="s">
        <v>5508</v>
      </c>
      <c r="G2011" s="9" t="s">
        <v>5509</v>
      </c>
      <c r="H2011" s="9" t="s">
        <v>5510</v>
      </c>
      <c r="I2011" s="10">
        <v>45539</v>
      </c>
    </row>
    <row r="2012" spans="1:9" x14ac:dyDescent="0.15">
      <c r="A2012" s="9">
        <v>2011</v>
      </c>
      <c r="B2012" s="9" t="s">
        <v>9</v>
      </c>
      <c r="C2012" s="9">
        <v>1912</v>
      </c>
      <c r="D2012" s="10">
        <v>45616</v>
      </c>
      <c r="E2012" s="13" t="str">
        <f>+HYPERLINK("http://trademark.i-assist.jp/data/china/image_1912th/80741757.pdf","80741757")</f>
        <v>80741757</v>
      </c>
      <c r="F2012" s="9" t="s">
        <v>5511</v>
      </c>
      <c r="G2012" s="12" t="s">
        <v>5512</v>
      </c>
      <c r="H2012" s="9" t="s">
        <v>5513</v>
      </c>
      <c r="I2012" s="10">
        <v>45539</v>
      </c>
    </row>
    <row r="2013" spans="1:9" x14ac:dyDescent="0.15">
      <c r="A2013" s="9">
        <v>2012</v>
      </c>
      <c r="B2013" s="9" t="s">
        <v>9</v>
      </c>
      <c r="C2013" s="9">
        <v>1912</v>
      </c>
      <c r="D2013" s="10">
        <v>45616</v>
      </c>
      <c r="E2013" s="13" t="str">
        <f>+HYPERLINK("http://trademark.i-assist.jp/data/china/image_1912th/80742764.pdf","80742764")</f>
        <v>80742764</v>
      </c>
      <c r="F2013" s="9" t="s">
        <v>5514</v>
      </c>
      <c r="G2013" s="9" t="s">
        <v>5492</v>
      </c>
      <c r="H2013" s="12" t="s">
        <v>5515</v>
      </c>
      <c r="I2013" s="10">
        <v>45539</v>
      </c>
    </row>
    <row r="2014" spans="1:9" x14ac:dyDescent="0.15">
      <c r="A2014" s="9">
        <v>2013</v>
      </c>
      <c r="B2014" s="9" t="s">
        <v>9</v>
      </c>
      <c r="C2014" s="9">
        <v>1912</v>
      </c>
      <c r="D2014" s="10">
        <v>45616</v>
      </c>
      <c r="E2014" s="13" t="str">
        <f>+HYPERLINK("http://trademark.i-assist.jp/data/china/image_1912th/80742795.pdf","80742795")</f>
        <v>80742795</v>
      </c>
      <c r="F2014" s="9" t="s">
        <v>5516</v>
      </c>
      <c r="G2014" s="9" t="s">
        <v>5517</v>
      </c>
      <c r="H2014" s="9" t="s">
        <v>5518</v>
      </c>
      <c r="I2014" s="10">
        <v>45539</v>
      </c>
    </row>
    <row r="2015" spans="1:9" x14ac:dyDescent="0.15">
      <c r="A2015" s="9">
        <v>2014</v>
      </c>
      <c r="B2015" s="9" t="s">
        <v>9</v>
      </c>
      <c r="C2015" s="9">
        <v>1912</v>
      </c>
      <c r="D2015" s="10">
        <v>45616</v>
      </c>
      <c r="E2015" s="13" t="str">
        <f>+HYPERLINK("http://trademark.i-assist.jp/data/china/image_1912th/80743095.pdf","80743095")</f>
        <v>80743095</v>
      </c>
      <c r="F2015" s="9" t="s">
        <v>5519</v>
      </c>
      <c r="G2015" s="9" t="s">
        <v>5520</v>
      </c>
      <c r="H2015" s="12" t="s">
        <v>5521</v>
      </c>
      <c r="I2015" s="10">
        <v>45539</v>
      </c>
    </row>
    <row r="2016" spans="1:9" x14ac:dyDescent="0.15">
      <c r="A2016" s="9">
        <v>2015</v>
      </c>
      <c r="B2016" s="9" t="s">
        <v>9</v>
      </c>
      <c r="C2016" s="9">
        <v>1912</v>
      </c>
      <c r="D2016" s="10">
        <v>45616</v>
      </c>
      <c r="E2016" s="13" t="str">
        <f>+HYPERLINK("http://trademark.i-assist.jp/data/china/image_1912th/80744838.pdf","80744838")</f>
        <v>80744838</v>
      </c>
      <c r="F2016" s="9" t="s">
        <v>5522</v>
      </c>
      <c r="G2016" s="12" t="s">
        <v>5523</v>
      </c>
      <c r="H2016" s="12" t="s">
        <v>5524</v>
      </c>
      <c r="I2016" s="10">
        <v>45539</v>
      </c>
    </row>
    <row r="2017" spans="1:9" x14ac:dyDescent="0.15">
      <c r="A2017" s="9">
        <v>2016</v>
      </c>
      <c r="B2017" s="9" t="s">
        <v>9</v>
      </c>
      <c r="C2017" s="9">
        <v>1912</v>
      </c>
      <c r="D2017" s="10">
        <v>45616</v>
      </c>
      <c r="E2017" s="13" t="str">
        <f>+HYPERLINK("http://trademark.i-assist.jp/data/china/image_1912th/80745806.pdf","80745806")</f>
        <v>80745806</v>
      </c>
      <c r="F2017" s="9" t="s">
        <v>5525</v>
      </c>
      <c r="G2017" s="9" t="s">
        <v>5526</v>
      </c>
      <c r="H2017" s="9" t="s">
        <v>5527</v>
      </c>
      <c r="I2017" s="10">
        <v>45539</v>
      </c>
    </row>
    <row r="2018" spans="1:9" x14ac:dyDescent="0.15">
      <c r="A2018" s="9">
        <v>2017</v>
      </c>
      <c r="B2018" s="9" t="s">
        <v>9</v>
      </c>
      <c r="C2018" s="9">
        <v>1912</v>
      </c>
      <c r="D2018" s="10">
        <v>45616</v>
      </c>
      <c r="E2018" s="13" t="str">
        <f>+HYPERLINK("http://trademark.i-assist.jp/data/china/image_1912th/80746144.pdf","80746144")</f>
        <v>80746144</v>
      </c>
      <c r="F2018" s="9" t="s">
        <v>5528</v>
      </c>
      <c r="G2018" s="9" t="s">
        <v>5529</v>
      </c>
      <c r="H2018" s="9" t="s">
        <v>5530</v>
      </c>
      <c r="I2018" s="10">
        <v>45539</v>
      </c>
    </row>
    <row r="2019" spans="1:9" x14ac:dyDescent="0.15">
      <c r="A2019" s="9">
        <v>2018</v>
      </c>
      <c r="B2019" s="9" t="s">
        <v>9</v>
      </c>
      <c r="C2019" s="9">
        <v>1912</v>
      </c>
      <c r="D2019" s="10">
        <v>45616</v>
      </c>
      <c r="E2019" s="13" t="str">
        <f>+HYPERLINK("http://trademark.i-assist.jp/data/china/image_1912th/80748180.pdf","80748180")</f>
        <v>80748180</v>
      </c>
      <c r="F2019" s="9" t="s">
        <v>5531</v>
      </c>
      <c r="G2019" s="9" t="s">
        <v>5532</v>
      </c>
      <c r="H2019" s="9" t="s">
        <v>5533</v>
      </c>
      <c r="I2019" s="10">
        <v>45539</v>
      </c>
    </row>
    <row r="2020" spans="1:9" x14ac:dyDescent="0.15">
      <c r="A2020" s="9">
        <v>2019</v>
      </c>
      <c r="B2020" s="9" t="s">
        <v>9</v>
      </c>
      <c r="C2020" s="9">
        <v>1912</v>
      </c>
      <c r="D2020" s="10">
        <v>45616</v>
      </c>
      <c r="E2020" s="13" t="str">
        <f>+HYPERLINK("http://trademark.i-assist.jp/data/china/image_1912th/80750522.pdf","80750522")</f>
        <v>80750522</v>
      </c>
      <c r="F2020" s="9" t="s">
        <v>5534</v>
      </c>
      <c r="G2020" s="9" t="s">
        <v>5535</v>
      </c>
      <c r="H2020" s="9" t="s">
        <v>5536</v>
      </c>
      <c r="I2020" s="10">
        <v>45539</v>
      </c>
    </row>
    <row r="2021" spans="1:9" x14ac:dyDescent="0.15">
      <c r="A2021" s="9">
        <v>2020</v>
      </c>
      <c r="B2021" s="9" t="s">
        <v>9</v>
      </c>
      <c r="C2021" s="9">
        <v>1912</v>
      </c>
      <c r="D2021" s="10">
        <v>45616</v>
      </c>
      <c r="E2021" s="13" t="str">
        <f>+HYPERLINK("http://trademark.i-assist.jp/data/china/image_1912th/80750714.pdf","80750714")</f>
        <v>80750714</v>
      </c>
      <c r="F2021" s="12" t="s">
        <v>5537</v>
      </c>
      <c r="G2021" s="12" t="s">
        <v>5460</v>
      </c>
      <c r="H2021" s="9" t="s">
        <v>5538</v>
      </c>
      <c r="I2021" s="10">
        <v>45539</v>
      </c>
    </row>
    <row r="2022" spans="1:9" x14ac:dyDescent="0.15">
      <c r="A2022" s="9">
        <v>2021</v>
      </c>
      <c r="B2022" s="9" t="s">
        <v>9</v>
      </c>
      <c r="C2022" s="9">
        <v>1912</v>
      </c>
      <c r="D2022" s="10">
        <v>45616</v>
      </c>
      <c r="E2022" s="13" t="str">
        <f>+HYPERLINK("http://trademark.i-assist.jp/data/china/image_1912th/80752281.pdf","80752281")</f>
        <v>80752281</v>
      </c>
      <c r="F2022" s="9" t="s">
        <v>5539</v>
      </c>
      <c r="G2022" s="9" t="s">
        <v>4730</v>
      </c>
      <c r="H2022" s="9" t="s">
        <v>5540</v>
      </c>
      <c r="I2022" s="10">
        <v>45539</v>
      </c>
    </row>
    <row r="2023" spans="1:9" x14ac:dyDescent="0.15">
      <c r="A2023" s="9">
        <v>2022</v>
      </c>
      <c r="B2023" s="9" t="s">
        <v>9</v>
      </c>
      <c r="C2023" s="9">
        <v>1912</v>
      </c>
      <c r="D2023" s="10">
        <v>45616</v>
      </c>
      <c r="E2023" s="13" t="str">
        <f>+HYPERLINK("http://trademark.i-assist.jp/data/china/image_1912th/80754060.pdf","80754060")</f>
        <v>80754060</v>
      </c>
      <c r="F2023" s="9" t="s">
        <v>5541</v>
      </c>
      <c r="G2023" s="12" t="s">
        <v>5542</v>
      </c>
      <c r="H2023" s="9" t="s">
        <v>5543</v>
      </c>
      <c r="I2023" s="10">
        <v>45540</v>
      </c>
    </row>
    <row r="2024" spans="1:9" x14ac:dyDescent="0.15">
      <c r="A2024" s="9">
        <v>2023</v>
      </c>
      <c r="B2024" s="9" t="s">
        <v>9</v>
      </c>
      <c r="C2024" s="9">
        <v>1912</v>
      </c>
      <c r="D2024" s="10">
        <v>45616</v>
      </c>
      <c r="E2024" s="13" t="str">
        <f>+HYPERLINK("http://trademark.i-assist.jp/data/china/image_1912th/80754182.pdf","80754182")</f>
        <v>80754182</v>
      </c>
      <c r="F2024" s="12" t="s">
        <v>15</v>
      </c>
      <c r="G2024" s="9" t="s">
        <v>5544</v>
      </c>
      <c r="H2024" s="9" t="s">
        <v>5545</v>
      </c>
      <c r="I2024" s="10">
        <v>45540</v>
      </c>
    </row>
    <row r="2025" spans="1:9" x14ac:dyDescent="0.15">
      <c r="A2025" s="9">
        <v>2024</v>
      </c>
      <c r="B2025" s="9" t="s">
        <v>9</v>
      </c>
      <c r="C2025" s="9">
        <v>1912</v>
      </c>
      <c r="D2025" s="10">
        <v>45616</v>
      </c>
      <c r="E2025" s="13" t="str">
        <f>+HYPERLINK("http://trademark.i-assist.jp/data/china/image_1912th/80754413.pdf","80754413")</f>
        <v>80754413</v>
      </c>
      <c r="F2025" s="9" t="s">
        <v>5546</v>
      </c>
      <c r="G2025" s="12" t="s">
        <v>5547</v>
      </c>
      <c r="H2025" s="9" t="s">
        <v>5548</v>
      </c>
      <c r="I2025" s="10">
        <v>45540</v>
      </c>
    </row>
    <row r="2026" spans="1:9" x14ac:dyDescent="0.15">
      <c r="A2026" s="9">
        <v>2025</v>
      </c>
      <c r="B2026" s="9" t="s">
        <v>9</v>
      </c>
      <c r="C2026" s="9">
        <v>1912</v>
      </c>
      <c r="D2026" s="10">
        <v>45616</v>
      </c>
      <c r="E2026" s="13" t="str">
        <f>+HYPERLINK("http://trademark.i-assist.jp/data/china/image_1912th/80754990.pdf","80754990")</f>
        <v>80754990</v>
      </c>
      <c r="F2026" s="12" t="s">
        <v>15</v>
      </c>
      <c r="G2026" s="9" t="s">
        <v>5549</v>
      </c>
      <c r="H2026" s="9" t="s">
        <v>5550</v>
      </c>
      <c r="I2026" s="10">
        <v>45540</v>
      </c>
    </row>
    <row r="2027" spans="1:9" x14ac:dyDescent="0.15">
      <c r="A2027" s="9">
        <v>2026</v>
      </c>
      <c r="B2027" s="9" t="s">
        <v>9</v>
      </c>
      <c r="C2027" s="9">
        <v>1912</v>
      </c>
      <c r="D2027" s="10">
        <v>45616</v>
      </c>
      <c r="E2027" s="13" t="str">
        <f>+HYPERLINK("http://trademark.i-assist.jp/data/china/image_1912th/80757013.pdf","80757013")</f>
        <v>80757013</v>
      </c>
      <c r="F2027" s="12" t="s">
        <v>5551</v>
      </c>
      <c r="G2027" s="9" t="s">
        <v>5552</v>
      </c>
      <c r="H2027" s="9" t="s">
        <v>5553</v>
      </c>
      <c r="I2027" s="10">
        <v>45540</v>
      </c>
    </row>
    <row r="2028" spans="1:9" x14ac:dyDescent="0.15">
      <c r="A2028" s="9">
        <v>2027</v>
      </c>
      <c r="B2028" s="9" t="s">
        <v>9</v>
      </c>
      <c r="C2028" s="9">
        <v>1912</v>
      </c>
      <c r="D2028" s="10">
        <v>45616</v>
      </c>
      <c r="E2028" s="13" t="str">
        <f>+HYPERLINK("http://trademark.i-assist.jp/data/china/image_1912th/80759110.pdf","80759110")</f>
        <v>80759110</v>
      </c>
      <c r="F2028" s="9" t="s">
        <v>5554</v>
      </c>
      <c r="G2028" s="12" t="s">
        <v>5555</v>
      </c>
      <c r="H2028" s="12" t="s">
        <v>5556</v>
      </c>
      <c r="I2028" s="10">
        <v>45540</v>
      </c>
    </row>
    <row r="2029" spans="1:9" x14ac:dyDescent="0.15">
      <c r="A2029" s="9">
        <v>2028</v>
      </c>
      <c r="B2029" s="9" t="s">
        <v>9</v>
      </c>
      <c r="C2029" s="9">
        <v>1912</v>
      </c>
      <c r="D2029" s="10">
        <v>45616</v>
      </c>
      <c r="E2029" s="13" t="str">
        <f>+HYPERLINK("http://trademark.i-assist.jp/data/china/image_1912th/80763246.pdf","80763246")</f>
        <v>80763246</v>
      </c>
      <c r="F2029" s="9" t="s">
        <v>5557</v>
      </c>
      <c r="G2029" s="9" t="s">
        <v>5558</v>
      </c>
      <c r="H2029" s="9" t="s">
        <v>5559</v>
      </c>
      <c r="I2029" s="10">
        <v>45540</v>
      </c>
    </row>
    <row r="2030" spans="1:9" x14ac:dyDescent="0.15">
      <c r="A2030" s="9">
        <v>2029</v>
      </c>
      <c r="B2030" s="9" t="s">
        <v>9</v>
      </c>
      <c r="C2030" s="9">
        <v>1912</v>
      </c>
      <c r="D2030" s="10">
        <v>45616</v>
      </c>
      <c r="E2030" s="13" t="str">
        <f>+HYPERLINK("http://trademark.i-assist.jp/data/china/image_1912th/80764697.pdf","80764697")</f>
        <v>80764697</v>
      </c>
      <c r="F2030" s="9" t="s">
        <v>5560</v>
      </c>
      <c r="G2030" s="9" t="s">
        <v>5561</v>
      </c>
      <c r="H2030" s="9" t="s">
        <v>5562</v>
      </c>
      <c r="I2030" s="10">
        <v>45540</v>
      </c>
    </row>
    <row r="2031" spans="1:9" x14ac:dyDescent="0.15">
      <c r="A2031" s="9">
        <v>2030</v>
      </c>
      <c r="B2031" s="9" t="s">
        <v>9</v>
      </c>
      <c r="C2031" s="9">
        <v>1912</v>
      </c>
      <c r="D2031" s="10">
        <v>45616</v>
      </c>
      <c r="E2031" s="13" t="str">
        <f>+HYPERLINK("http://trademark.i-assist.jp/data/china/image_1912th/80764706.pdf","80764706")</f>
        <v>80764706</v>
      </c>
      <c r="F2031" s="12" t="s">
        <v>5563</v>
      </c>
      <c r="G2031" s="9" t="s">
        <v>5564</v>
      </c>
      <c r="H2031" s="9" t="s">
        <v>5565</v>
      </c>
      <c r="I2031" s="10">
        <v>45540</v>
      </c>
    </row>
    <row r="2032" spans="1:9" x14ac:dyDescent="0.15">
      <c r="A2032" s="9">
        <v>2031</v>
      </c>
      <c r="B2032" s="9" t="s">
        <v>9</v>
      </c>
      <c r="C2032" s="9">
        <v>1912</v>
      </c>
      <c r="D2032" s="10">
        <v>45616</v>
      </c>
      <c r="E2032" s="13" t="str">
        <f>+HYPERLINK("http://trademark.i-assist.jp/data/china/image_1912th/80767397.pdf","80767397")</f>
        <v>80767397</v>
      </c>
      <c r="F2032" s="9" t="s">
        <v>5566</v>
      </c>
      <c r="G2032" s="12" t="s">
        <v>56</v>
      </c>
      <c r="H2032" s="9" t="s">
        <v>5567</v>
      </c>
      <c r="I2032" s="10">
        <v>45540</v>
      </c>
    </row>
    <row r="2033" spans="1:9" x14ac:dyDescent="0.15">
      <c r="A2033" s="9">
        <v>2032</v>
      </c>
      <c r="B2033" s="9" t="s">
        <v>9</v>
      </c>
      <c r="C2033" s="9">
        <v>1912</v>
      </c>
      <c r="D2033" s="10">
        <v>45616</v>
      </c>
      <c r="E2033" s="13" t="str">
        <f>+HYPERLINK("http://trademark.i-assist.jp/data/china/image_1912th/80769922.pdf","80769922")</f>
        <v>80769922</v>
      </c>
      <c r="F2033" s="9" t="s">
        <v>5568</v>
      </c>
      <c r="G2033" s="9" t="s">
        <v>5569</v>
      </c>
      <c r="H2033" s="9" t="s">
        <v>5570</v>
      </c>
      <c r="I2033" s="10">
        <v>45540</v>
      </c>
    </row>
    <row r="2034" spans="1:9" x14ac:dyDescent="0.15">
      <c r="A2034" s="9">
        <v>2033</v>
      </c>
      <c r="B2034" s="9" t="s">
        <v>9</v>
      </c>
      <c r="C2034" s="9">
        <v>1912</v>
      </c>
      <c r="D2034" s="10">
        <v>45616</v>
      </c>
      <c r="E2034" s="13" t="str">
        <f>+HYPERLINK("http://trademark.i-assist.jp/data/china/image_1912th/80770255.pdf","80770255")</f>
        <v>80770255</v>
      </c>
      <c r="F2034" s="12" t="s">
        <v>5571</v>
      </c>
      <c r="G2034" s="9" t="s">
        <v>5572</v>
      </c>
      <c r="H2034" s="12" t="s">
        <v>5573</v>
      </c>
      <c r="I2034" s="10">
        <v>45540</v>
      </c>
    </row>
    <row r="2035" spans="1:9" x14ac:dyDescent="0.15">
      <c r="A2035" s="9">
        <v>2034</v>
      </c>
      <c r="B2035" s="9" t="s">
        <v>9</v>
      </c>
      <c r="C2035" s="9">
        <v>1912</v>
      </c>
      <c r="D2035" s="10">
        <v>45616</v>
      </c>
      <c r="E2035" s="13" t="str">
        <f>+HYPERLINK("http://trademark.i-assist.jp/data/china/image_1912th/80770268.pdf","80770268")</f>
        <v>80770268</v>
      </c>
      <c r="F2035" s="9" t="s">
        <v>5574</v>
      </c>
      <c r="G2035" s="12" t="s">
        <v>5575</v>
      </c>
      <c r="H2035" s="9" t="s">
        <v>5576</v>
      </c>
      <c r="I2035" s="10">
        <v>45540</v>
      </c>
    </row>
    <row r="2036" spans="1:9" x14ac:dyDescent="0.15">
      <c r="A2036" s="9">
        <v>2035</v>
      </c>
      <c r="B2036" s="9" t="s">
        <v>9</v>
      </c>
      <c r="C2036" s="9">
        <v>1912</v>
      </c>
      <c r="D2036" s="10">
        <v>45616</v>
      </c>
      <c r="E2036" s="13" t="str">
        <f>+HYPERLINK("http://trademark.i-assist.jp/data/china/image_1912th/80770660.pdf","80770660")</f>
        <v>80770660</v>
      </c>
      <c r="F2036" s="12" t="s">
        <v>5577</v>
      </c>
      <c r="G2036" s="9" t="s">
        <v>5578</v>
      </c>
      <c r="H2036" s="9" t="s">
        <v>5579</v>
      </c>
      <c r="I2036" s="10">
        <v>45540</v>
      </c>
    </row>
    <row r="2037" spans="1:9" x14ac:dyDescent="0.15">
      <c r="A2037" s="9">
        <v>2036</v>
      </c>
      <c r="B2037" s="9" t="s">
        <v>9</v>
      </c>
      <c r="C2037" s="9">
        <v>1912</v>
      </c>
      <c r="D2037" s="10">
        <v>45616</v>
      </c>
      <c r="E2037" s="13" t="str">
        <f>+HYPERLINK("http://trademark.i-assist.jp/data/china/image_1912th/80773213.pdf","80773213")</f>
        <v>80773213</v>
      </c>
      <c r="F2037" s="9" t="s">
        <v>5580</v>
      </c>
      <c r="G2037" s="9" t="s">
        <v>5581</v>
      </c>
      <c r="H2037" s="9" t="s">
        <v>5582</v>
      </c>
      <c r="I2037" s="10">
        <v>45540</v>
      </c>
    </row>
    <row r="2038" spans="1:9" x14ac:dyDescent="0.15">
      <c r="A2038" s="9">
        <v>2037</v>
      </c>
      <c r="B2038" s="9" t="s">
        <v>9</v>
      </c>
      <c r="C2038" s="9">
        <v>1912</v>
      </c>
      <c r="D2038" s="10">
        <v>45616</v>
      </c>
      <c r="E2038" s="13" t="str">
        <f>+HYPERLINK("http://trademark.i-assist.jp/data/china/image_1912th/80774039.pdf","80774039")</f>
        <v>80774039</v>
      </c>
      <c r="F2038" s="9" t="s">
        <v>5583</v>
      </c>
      <c r="G2038" s="9" t="s">
        <v>5558</v>
      </c>
      <c r="H2038" s="9" t="s">
        <v>5584</v>
      </c>
      <c r="I2038" s="10">
        <v>45540</v>
      </c>
    </row>
    <row r="2039" spans="1:9" x14ac:dyDescent="0.15">
      <c r="A2039" s="9">
        <v>2038</v>
      </c>
      <c r="B2039" s="9" t="s">
        <v>9</v>
      </c>
      <c r="C2039" s="9">
        <v>1912</v>
      </c>
      <c r="D2039" s="10">
        <v>45616</v>
      </c>
      <c r="E2039" s="13" t="str">
        <f>+HYPERLINK("http://trademark.i-assist.jp/data/china/image_1912th/80775715.pdf","80775715")</f>
        <v>80775715</v>
      </c>
      <c r="F2039" s="9" t="s">
        <v>5585</v>
      </c>
      <c r="G2039" s="9" t="s">
        <v>5586</v>
      </c>
      <c r="H2039" s="9" t="s">
        <v>5587</v>
      </c>
      <c r="I2039" s="10">
        <v>45540</v>
      </c>
    </row>
    <row r="2040" spans="1:9" x14ac:dyDescent="0.15">
      <c r="A2040" s="9">
        <v>2039</v>
      </c>
      <c r="B2040" s="9" t="s">
        <v>9</v>
      </c>
      <c r="C2040" s="9">
        <v>1912</v>
      </c>
      <c r="D2040" s="10">
        <v>45616</v>
      </c>
      <c r="E2040" s="13" t="str">
        <f>+HYPERLINK("http://trademark.i-assist.jp/data/china/image_1912th/80777949.pdf","80777949")</f>
        <v>80777949</v>
      </c>
      <c r="F2040" s="9" t="s">
        <v>5588</v>
      </c>
      <c r="G2040" s="9" t="s">
        <v>5589</v>
      </c>
      <c r="H2040" s="9" t="s">
        <v>5590</v>
      </c>
      <c r="I2040" s="10">
        <v>45540</v>
      </c>
    </row>
    <row r="2041" spans="1:9" x14ac:dyDescent="0.15">
      <c r="A2041" s="9">
        <v>2040</v>
      </c>
      <c r="B2041" s="9" t="s">
        <v>9</v>
      </c>
      <c r="C2041" s="9">
        <v>1912</v>
      </c>
      <c r="D2041" s="10">
        <v>45616</v>
      </c>
      <c r="E2041" s="13" t="str">
        <f>+HYPERLINK("http://trademark.i-assist.jp/data/china/image_1912th/80778423.pdf","80778423")</f>
        <v>80778423</v>
      </c>
      <c r="F2041" s="9" t="s">
        <v>5591</v>
      </c>
      <c r="G2041" s="9" t="s">
        <v>5592</v>
      </c>
      <c r="H2041" s="9" t="s">
        <v>5593</v>
      </c>
      <c r="I2041" s="10">
        <v>45541</v>
      </c>
    </row>
    <row r="2042" spans="1:9" x14ac:dyDescent="0.15">
      <c r="A2042" s="9">
        <v>2041</v>
      </c>
      <c r="B2042" s="9" t="s">
        <v>9</v>
      </c>
      <c r="C2042" s="9">
        <v>1912</v>
      </c>
      <c r="D2042" s="10">
        <v>45616</v>
      </c>
      <c r="E2042" s="13" t="str">
        <f>+HYPERLINK("http://trademark.i-assist.jp/data/china/image_1912th/80778673.pdf","80778673")</f>
        <v>80778673</v>
      </c>
      <c r="F2042" s="9" t="s">
        <v>5594</v>
      </c>
      <c r="G2042" s="12" t="s">
        <v>5595</v>
      </c>
      <c r="H2042" s="9" t="s">
        <v>5596</v>
      </c>
      <c r="I2042" s="10">
        <v>45541</v>
      </c>
    </row>
    <row r="2043" spans="1:9" x14ac:dyDescent="0.15">
      <c r="A2043" s="9">
        <v>2042</v>
      </c>
      <c r="B2043" s="9" t="s">
        <v>9</v>
      </c>
      <c r="C2043" s="9">
        <v>1912</v>
      </c>
      <c r="D2043" s="10">
        <v>45616</v>
      </c>
      <c r="E2043" s="13" t="str">
        <f>+HYPERLINK("http://trademark.i-assist.jp/data/china/image_1912th/80779128.pdf","80779128")</f>
        <v>80779128</v>
      </c>
      <c r="F2043" s="12" t="s">
        <v>5597</v>
      </c>
      <c r="G2043" s="9" t="s">
        <v>5598</v>
      </c>
      <c r="H2043" s="9" t="s">
        <v>5599</v>
      </c>
      <c r="I2043" s="10">
        <v>45541</v>
      </c>
    </row>
    <row r="2044" spans="1:9" x14ac:dyDescent="0.15">
      <c r="A2044" s="9">
        <v>2043</v>
      </c>
      <c r="B2044" s="9" t="s">
        <v>9</v>
      </c>
      <c r="C2044" s="9">
        <v>1912</v>
      </c>
      <c r="D2044" s="10">
        <v>45616</v>
      </c>
      <c r="E2044" s="13" t="str">
        <f>+HYPERLINK("http://trademark.i-assist.jp/data/china/image_1912th/80779327.pdf","80779327")</f>
        <v>80779327</v>
      </c>
      <c r="F2044" s="9" t="s">
        <v>5600</v>
      </c>
      <c r="G2044" s="9" t="s">
        <v>5601</v>
      </c>
      <c r="H2044" s="9" t="s">
        <v>5602</v>
      </c>
      <c r="I2044" s="10">
        <v>45541</v>
      </c>
    </row>
    <row r="2045" spans="1:9" x14ac:dyDescent="0.15">
      <c r="A2045" s="9">
        <v>2044</v>
      </c>
      <c r="B2045" s="9" t="s">
        <v>9</v>
      </c>
      <c r="C2045" s="9">
        <v>1912</v>
      </c>
      <c r="D2045" s="10">
        <v>45616</v>
      </c>
      <c r="E2045" s="13" t="str">
        <f>+HYPERLINK("http://trademark.i-assist.jp/data/china/image_1912th/80779577.pdf","80779577")</f>
        <v>80779577</v>
      </c>
      <c r="F2045" s="12" t="s">
        <v>5603</v>
      </c>
      <c r="G2045" s="9" t="s">
        <v>5604</v>
      </c>
      <c r="H2045" s="9" t="s">
        <v>5605</v>
      </c>
      <c r="I2045" s="10">
        <v>45541</v>
      </c>
    </row>
    <row r="2046" spans="1:9" x14ac:dyDescent="0.15">
      <c r="A2046" s="9">
        <v>2045</v>
      </c>
      <c r="B2046" s="9" t="s">
        <v>9</v>
      </c>
      <c r="C2046" s="9">
        <v>1912</v>
      </c>
      <c r="D2046" s="10">
        <v>45616</v>
      </c>
      <c r="E2046" s="13" t="str">
        <f>+HYPERLINK("http://trademark.i-assist.jp/data/china/image_1912th/80779583.pdf","80779583")</f>
        <v>80779583</v>
      </c>
      <c r="F2046" s="12" t="s">
        <v>5606</v>
      </c>
      <c r="G2046" s="9" t="s">
        <v>5604</v>
      </c>
      <c r="H2046" s="9" t="s">
        <v>5607</v>
      </c>
      <c r="I2046" s="10">
        <v>45541</v>
      </c>
    </row>
    <row r="2047" spans="1:9" x14ac:dyDescent="0.15">
      <c r="A2047" s="9">
        <v>2046</v>
      </c>
      <c r="B2047" s="9" t="s">
        <v>9</v>
      </c>
      <c r="C2047" s="9">
        <v>1912</v>
      </c>
      <c r="D2047" s="10">
        <v>45616</v>
      </c>
      <c r="E2047" s="13" t="str">
        <f>+HYPERLINK("http://trademark.i-assist.jp/data/china/image_1912th/80779925.pdf","80779925")</f>
        <v>80779925</v>
      </c>
      <c r="F2047" s="9" t="s">
        <v>5608</v>
      </c>
      <c r="G2047" s="9" t="s">
        <v>5592</v>
      </c>
      <c r="H2047" s="9" t="s">
        <v>5609</v>
      </c>
      <c r="I2047" s="10">
        <v>45541</v>
      </c>
    </row>
    <row r="2048" spans="1:9" x14ac:dyDescent="0.15">
      <c r="A2048" s="9">
        <v>2047</v>
      </c>
      <c r="B2048" s="9" t="s">
        <v>9</v>
      </c>
      <c r="C2048" s="9">
        <v>1912</v>
      </c>
      <c r="D2048" s="10">
        <v>45616</v>
      </c>
      <c r="E2048" s="13" t="str">
        <f>+HYPERLINK("http://trademark.i-assist.jp/data/china/image_1912th/80779973.pdf","80779973")</f>
        <v>80779973</v>
      </c>
      <c r="F2048" s="9" t="s">
        <v>5610</v>
      </c>
      <c r="G2048" s="9" t="s">
        <v>5611</v>
      </c>
      <c r="H2048" s="9" t="s">
        <v>5612</v>
      </c>
      <c r="I2048" s="10">
        <v>45541</v>
      </c>
    </row>
    <row r="2049" spans="1:9" x14ac:dyDescent="0.15">
      <c r="A2049" s="9">
        <v>2048</v>
      </c>
      <c r="B2049" s="9" t="s">
        <v>9</v>
      </c>
      <c r="C2049" s="9">
        <v>1912</v>
      </c>
      <c r="D2049" s="10">
        <v>45616</v>
      </c>
      <c r="E2049" s="13" t="str">
        <f>+HYPERLINK("http://trademark.i-assist.jp/data/china/image_1912th/80780828.pdf","80780828")</f>
        <v>80780828</v>
      </c>
      <c r="F2049" s="12" t="s">
        <v>5613</v>
      </c>
      <c r="G2049" s="9" t="s">
        <v>5614</v>
      </c>
      <c r="H2049" s="9" t="s">
        <v>5615</v>
      </c>
      <c r="I2049" s="10">
        <v>45541</v>
      </c>
    </row>
    <row r="2050" spans="1:9" x14ac:dyDescent="0.15">
      <c r="A2050" s="9">
        <v>2049</v>
      </c>
      <c r="B2050" s="9" t="s">
        <v>9</v>
      </c>
      <c r="C2050" s="9">
        <v>1912</v>
      </c>
      <c r="D2050" s="10">
        <v>45616</v>
      </c>
      <c r="E2050" s="13" t="str">
        <f>+HYPERLINK("http://trademark.i-assist.jp/data/china/image_1912th/80782137.pdf","80782137")</f>
        <v>80782137</v>
      </c>
      <c r="F2050" s="9" t="s">
        <v>5616</v>
      </c>
      <c r="G2050" s="9" t="s">
        <v>5617</v>
      </c>
      <c r="H2050" s="9" t="s">
        <v>5618</v>
      </c>
      <c r="I2050" s="10">
        <v>45541</v>
      </c>
    </row>
    <row r="2051" spans="1:9" x14ac:dyDescent="0.15">
      <c r="A2051" s="9">
        <v>2050</v>
      </c>
      <c r="B2051" s="9" t="s">
        <v>9</v>
      </c>
      <c r="C2051" s="9">
        <v>1912</v>
      </c>
      <c r="D2051" s="10">
        <v>45616</v>
      </c>
      <c r="E2051" s="13" t="str">
        <f>+HYPERLINK("http://trademark.i-assist.jp/data/china/image_1912th/80782170.pdf","80782170")</f>
        <v>80782170</v>
      </c>
      <c r="F2051" s="9" t="s">
        <v>5619</v>
      </c>
      <c r="G2051" s="9" t="s">
        <v>5620</v>
      </c>
      <c r="H2051" s="9" t="s">
        <v>5621</v>
      </c>
      <c r="I2051" s="10">
        <v>45541</v>
      </c>
    </row>
    <row r="2052" spans="1:9" x14ac:dyDescent="0.15">
      <c r="A2052" s="9">
        <v>2051</v>
      </c>
      <c r="B2052" s="9" t="s">
        <v>9</v>
      </c>
      <c r="C2052" s="9">
        <v>1912</v>
      </c>
      <c r="D2052" s="10">
        <v>45616</v>
      </c>
      <c r="E2052" s="13" t="str">
        <f>+HYPERLINK("http://trademark.i-assist.jp/data/china/image_1912th/80782363.pdf","80782363")</f>
        <v>80782363</v>
      </c>
      <c r="F2052" s="9" t="s">
        <v>5622</v>
      </c>
      <c r="G2052" s="9" t="s">
        <v>5623</v>
      </c>
      <c r="H2052" s="9" t="s">
        <v>5624</v>
      </c>
      <c r="I2052" s="10">
        <v>45541</v>
      </c>
    </row>
    <row r="2053" spans="1:9" x14ac:dyDescent="0.15">
      <c r="A2053" s="9">
        <v>2052</v>
      </c>
      <c r="B2053" s="9" t="s">
        <v>9</v>
      </c>
      <c r="C2053" s="9">
        <v>1912</v>
      </c>
      <c r="D2053" s="10">
        <v>45616</v>
      </c>
      <c r="E2053" s="13" t="str">
        <f>+HYPERLINK("http://trademark.i-assist.jp/data/china/image_1912th/80784177.pdf","80784177")</f>
        <v>80784177</v>
      </c>
      <c r="F2053" s="9" t="s">
        <v>5625</v>
      </c>
      <c r="G2053" s="9" t="s">
        <v>5626</v>
      </c>
      <c r="H2053" s="9" t="s">
        <v>5627</v>
      </c>
      <c r="I2053" s="10">
        <v>45541</v>
      </c>
    </row>
    <row r="2054" spans="1:9" x14ac:dyDescent="0.15">
      <c r="A2054" s="9">
        <v>2053</v>
      </c>
      <c r="B2054" s="9" t="s">
        <v>9</v>
      </c>
      <c r="C2054" s="9">
        <v>1912</v>
      </c>
      <c r="D2054" s="10">
        <v>45616</v>
      </c>
      <c r="E2054" s="13" t="str">
        <f>+HYPERLINK("http://trademark.i-assist.jp/data/china/image_1912th/80785364.pdf","80785364")</f>
        <v>80785364</v>
      </c>
      <c r="F2054" s="9" t="s">
        <v>5628</v>
      </c>
      <c r="G2054" s="12" t="s">
        <v>5629</v>
      </c>
      <c r="H2054" s="9" t="s">
        <v>5630</v>
      </c>
      <c r="I2054" s="10">
        <v>45541</v>
      </c>
    </row>
    <row r="2055" spans="1:9" x14ac:dyDescent="0.15">
      <c r="A2055" s="9">
        <v>2054</v>
      </c>
      <c r="B2055" s="9" t="s">
        <v>9</v>
      </c>
      <c r="C2055" s="9">
        <v>1912</v>
      </c>
      <c r="D2055" s="10">
        <v>45616</v>
      </c>
      <c r="E2055" s="13" t="str">
        <f>+HYPERLINK("http://trademark.i-assist.jp/data/china/image_1912th/80786286.pdf","80786286")</f>
        <v>80786286</v>
      </c>
      <c r="F2055" s="9" t="s">
        <v>5631</v>
      </c>
      <c r="G2055" s="9" t="s">
        <v>5592</v>
      </c>
      <c r="H2055" s="9" t="s">
        <v>5632</v>
      </c>
      <c r="I2055" s="10">
        <v>45541</v>
      </c>
    </row>
    <row r="2056" spans="1:9" x14ac:dyDescent="0.15">
      <c r="A2056" s="9">
        <v>2055</v>
      </c>
      <c r="B2056" s="9" t="s">
        <v>9</v>
      </c>
      <c r="C2056" s="9">
        <v>1912</v>
      </c>
      <c r="D2056" s="10">
        <v>45616</v>
      </c>
      <c r="E2056" s="13" t="str">
        <f>+HYPERLINK("http://trademark.i-assist.jp/data/china/image_1912th/80787058.pdf","80787058")</f>
        <v>80787058</v>
      </c>
      <c r="F2056" s="9" t="s">
        <v>5633</v>
      </c>
      <c r="G2056" s="9" t="s">
        <v>5634</v>
      </c>
      <c r="H2056" s="9" t="s">
        <v>5635</v>
      </c>
      <c r="I2056" s="10">
        <v>45541</v>
      </c>
    </row>
    <row r="2057" spans="1:9" x14ac:dyDescent="0.15">
      <c r="A2057" s="9">
        <v>2056</v>
      </c>
      <c r="B2057" s="9" t="s">
        <v>9</v>
      </c>
      <c r="C2057" s="9">
        <v>1912</v>
      </c>
      <c r="D2057" s="10">
        <v>45616</v>
      </c>
      <c r="E2057" s="13" t="str">
        <f>+HYPERLINK("http://trademark.i-assist.jp/data/china/image_1912th/80787195.pdf","80787195")</f>
        <v>80787195</v>
      </c>
      <c r="F2057" s="9" t="s">
        <v>5636</v>
      </c>
      <c r="G2057" s="9" t="s">
        <v>5637</v>
      </c>
      <c r="H2057" s="12" t="s">
        <v>5638</v>
      </c>
      <c r="I2057" s="10">
        <v>45541</v>
      </c>
    </row>
    <row r="2058" spans="1:9" x14ac:dyDescent="0.15">
      <c r="A2058" s="9">
        <v>2057</v>
      </c>
      <c r="B2058" s="9" t="s">
        <v>9</v>
      </c>
      <c r="C2058" s="9">
        <v>1912</v>
      </c>
      <c r="D2058" s="10">
        <v>45616</v>
      </c>
      <c r="E2058" s="13" t="str">
        <f>+HYPERLINK("http://trademark.i-assist.jp/data/china/image_1912th/80787874.pdf","80787874")</f>
        <v>80787874</v>
      </c>
      <c r="F2058" s="9" t="s">
        <v>5639</v>
      </c>
      <c r="G2058" s="9" t="s">
        <v>5640</v>
      </c>
      <c r="H2058" s="9" t="s">
        <v>5641</v>
      </c>
      <c r="I2058" s="10">
        <v>45541</v>
      </c>
    </row>
    <row r="2059" spans="1:9" x14ac:dyDescent="0.15">
      <c r="A2059" s="9">
        <v>2058</v>
      </c>
      <c r="B2059" s="9" t="s">
        <v>9</v>
      </c>
      <c r="C2059" s="9">
        <v>1912</v>
      </c>
      <c r="D2059" s="10">
        <v>45616</v>
      </c>
      <c r="E2059" s="13" t="str">
        <f>+HYPERLINK("http://trademark.i-assist.jp/data/china/image_1912th/80788408.pdf","80788408")</f>
        <v>80788408</v>
      </c>
      <c r="F2059" s="9" t="s">
        <v>5642</v>
      </c>
      <c r="G2059" s="12" t="s">
        <v>5643</v>
      </c>
      <c r="H2059" s="9" t="s">
        <v>5644</v>
      </c>
      <c r="I2059" s="10">
        <v>45541</v>
      </c>
    </row>
    <row r="2060" spans="1:9" x14ac:dyDescent="0.15">
      <c r="A2060" s="9">
        <v>2059</v>
      </c>
      <c r="B2060" s="9" t="s">
        <v>9</v>
      </c>
      <c r="C2060" s="9">
        <v>1912</v>
      </c>
      <c r="D2060" s="10">
        <v>45616</v>
      </c>
      <c r="E2060" s="13" t="str">
        <f>+HYPERLINK("http://trademark.i-assist.jp/data/china/image_1912th/80789377.pdf","80789377")</f>
        <v>80789377</v>
      </c>
      <c r="F2060" s="9" t="s">
        <v>5645</v>
      </c>
      <c r="G2060" s="12" t="s">
        <v>5646</v>
      </c>
      <c r="H2060" s="9" t="s">
        <v>5647</v>
      </c>
      <c r="I2060" s="10">
        <v>45541</v>
      </c>
    </row>
    <row r="2061" spans="1:9" x14ac:dyDescent="0.15">
      <c r="A2061" s="9">
        <v>2060</v>
      </c>
      <c r="B2061" s="9" t="s">
        <v>9</v>
      </c>
      <c r="C2061" s="9">
        <v>1912</v>
      </c>
      <c r="D2061" s="10">
        <v>45616</v>
      </c>
      <c r="E2061" s="13" t="str">
        <f>+HYPERLINK("http://trademark.i-assist.jp/data/china/image_1912th/80789540.pdf","80789540")</f>
        <v>80789540</v>
      </c>
      <c r="F2061" s="9" t="s">
        <v>5648</v>
      </c>
      <c r="G2061" s="9" t="s">
        <v>5604</v>
      </c>
      <c r="H2061" s="12" t="s">
        <v>5649</v>
      </c>
      <c r="I2061" s="10">
        <v>45541</v>
      </c>
    </row>
    <row r="2062" spans="1:9" x14ac:dyDescent="0.15">
      <c r="A2062" s="9">
        <v>2061</v>
      </c>
      <c r="B2062" s="9" t="s">
        <v>9</v>
      </c>
      <c r="C2062" s="9">
        <v>1912</v>
      </c>
      <c r="D2062" s="10">
        <v>45616</v>
      </c>
      <c r="E2062" s="13" t="str">
        <f>+HYPERLINK("http://trademark.i-assist.jp/data/china/image_1912th/80789567.pdf","80789567")</f>
        <v>80789567</v>
      </c>
      <c r="F2062" s="12" t="s">
        <v>5650</v>
      </c>
      <c r="G2062" s="9" t="s">
        <v>5604</v>
      </c>
      <c r="H2062" s="9" t="s">
        <v>5651</v>
      </c>
      <c r="I2062" s="10">
        <v>45541</v>
      </c>
    </row>
    <row r="2063" spans="1:9" x14ac:dyDescent="0.15">
      <c r="A2063" s="9">
        <v>2062</v>
      </c>
      <c r="B2063" s="9" t="s">
        <v>9</v>
      </c>
      <c r="C2063" s="9">
        <v>1912</v>
      </c>
      <c r="D2063" s="10">
        <v>45616</v>
      </c>
      <c r="E2063" s="13" t="str">
        <f>+HYPERLINK("http://trademark.i-assist.jp/data/china/image_1912th/80791190.pdf","80791190")</f>
        <v>80791190</v>
      </c>
      <c r="F2063" s="9" t="s">
        <v>5652</v>
      </c>
      <c r="G2063" s="9" t="s">
        <v>5653</v>
      </c>
      <c r="H2063" s="9" t="s">
        <v>5654</v>
      </c>
      <c r="I2063" s="10">
        <v>45541</v>
      </c>
    </row>
    <row r="2064" spans="1:9" x14ac:dyDescent="0.15">
      <c r="A2064" s="9">
        <v>2063</v>
      </c>
      <c r="B2064" s="9" t="s">
        <v>9</v>
      </c>
      <c r="C2064" s="9">
        <v>1912</v>
      </c>
      <c r="D2064" s="10">
        <v>45616</v>
      </c>
      <c r="E2064" s="13" t="str">
        <f>+HYPERLINK("http://trademark.i-assist.jp/data/china/image_1912th/80793145.pdf","80793145")</f>
        <v>80793145</v>
      </c>
      <c r="F2064" s="9" t="s">
        <v>5655</v>
      </c>
      <c r="G2064" s="12" t="s">
        <v>5643</v>
      </c>
      <c r="H2064" s="9" t="s">
        <v>5656</v>
      </c>
      <c r="I2064" s="10">
        <v>45541</v>
      </c>
    </row>
    <row r="2065" spans="1:9" x14ac:dyDescent="0.15">
      <c r="A2065" s="9">
        <v>2064</v>
      </c>
      <c r="B2065" s="9" t="s">
        <v>9</v>
      </c>
      <c r="C2065" s="9">
        <v>1912</v>
      </c>
      <c r="D2065" s="10">
        <v>45616</v>
      </c>
      <c r="E2065" s="13" t="str">
        <f>+HYPERLINK("http://trademark.i-assist.jp/data/china/image_1912th/80793773.pdf","80793773")</f>
        <v>80793773</v>
      </c>
      <c r="F2065" s="9" t="s">
        <v>5657</v>
      </c>
      <c r="G2065" s="9" t="s">
        <v>5592</v>
      </c>
      <c r="H2065" s="9" t="s">
        <v>5658</v>
      </c>
      <c r="I2065" s="10">
        <v>45541</v>
      </c>
    </row>
    <row r="2066" spans="1:9" x14ac:dyDescent="0.15">
      <c r="A2066" s="9">
        <v>2065</v>
      </c>
      <c r="B2066" s="9" t="s">
        <v>9</v>
      </c>
      <c r="C2066" s="9">
        <v>1912</v>
      </c>
      <c r="D2066" s="10">
        <v>45616</v>
      </c>
      <c r="E2066" s="13" t="str">
        <f>+HYPERLINK("http://trademark.i-assist.jp/data/china/image_1912th/80794299.pdf","80794299")</f>
        <v>80794299</v>
      </c>
      <c r="F2066" s="9" t="s">
        <v>5659</v>
      </c>
      <c r="G2066" s="9" t="s">
        <v>5660</v>
      </c>
      <c r="H2066" s="9" t="s">
        <v>5661</v>
      </c>
      <c r="I2066" s="10">
        <v>45541</v>
      </c>
    </row>
    <row r="2067" spans="1:9" x14ac:dyDescent="0.15">
      <c r="A2067" s="9">
        <v>2066</v>
      </c>
      <c r="B2067" s="9" t="s">
        <v>9</v>
      </c>
      <c r="C2067" s="9">
        <v>1912</v>
      </c>
      <c r="D2067" s="10">
        <v>45616</v>
      </c>
      <c r="E2067" s="13" t="str">
        <f>+HYPERLINK("http://trademark.i-assist.jp/data/china/image_1912th/80794465.pdf","80794465")</f>
        <v>80794465</v>
      </c>
      <c r="F2067" s="9" t="s">
        <v>5662</v>
      </c>
      <c r="G2067" s="9" t="s">
        <v>5592</v>
      </c>
      <c r="H2067" s="9" t="s">
        <v>5663</v>
      </c>
      <c r="I2067" s="10">
        <v>45541</v>
      </c>
    </row>
    <row r="2068" spans="1:9" x14ac:dyDescent="0.15">
      <c r="A2068" s="9">
        <v>2067</v>
      </c>
      <c r="B2068" s="9" t="s">
        <v>9</v>
      </c>
      <c r="C2068" s="9">
        <v>1912</v>
      </c>
      <c r="D2068" s="10">
        <v>45616</v>
      </c>
      <c r="E2068" s="13" t="str">
        <f>+HYPERLINK("http://trademark.i-assist.jp/data/china/image_1912th/80794477.pdf","80794477")</f>
        <v>80794477</v>
      </c>
      <c r="F2068" s="9" t="s">
        <v>5664</v>
      </c>
      <c r="G2068" s="9" t="s">
        <v>5592</v>
      </c>
      <c r="H2068" s="9" t="s">
        <v>5665</v>
      </c>
      <c r="I2068" s="10">
        <v>45541</v>
      </c>
    </row>
    <row r="2069" spans="1:9" x14ac:dyDescent="0.15">
      <c r="A2069" s="9">
        <v>2068</v>
      </c>
      <c r="B2069" s="9" t="s">
        <v>9</v>
      </c>
      <c r="C2069" s="9">
        <v>1912</v>
      </c>
      <c r="D2069" s="10">
        <v>45616</v>
      </c>
      <c r="E2069" s="13" t="str">
        <f>+HYPERLINK("http://trademark.i-assist.jp/data/china/image_1912th/80796398.pdf","80796398")</f>
        <v>80796398</v>
      </c>
      <c r="F2069" s="9" t="s">
        <v>5666</v>
      </c>
      <c r="G2069" s="9" t="s">
        <v>5634</v>
      </c>
      <c r="H2069" s="9" t="s">
        <v>5667</v>
      </c>
      <c r="I2069" s="10">
        <v>45541</v>
      </c>
    </row>
    <row r="2070" spans="1:9" x14ac:dyDescent="0.15">
      <c r="A2070" s="9">
        <v>2069</v>
      </c>
      <c r="B2070" s="9" t="s">
        <v>9</v>
      </c>
      <c r="C2070" s="9">
        <v>1912</v>
      </c>
      <c r="D2070" s="10">
        <v>45616</v>
      </c>
      <c r="E2070" s="13" t="str">
        <f>+HYPERLINK("http://trademark.i-assist.jp/data/china/image_1912th/80799141.pdf","80799141")</f>
        <v>80799141</v>
      </c>
      <c r="F2070" s="9" t="s">
        <v>5668</v>
      </c>
      <c r="G2070" s="12" t="s">
        <v>5669</v>
      </c>
      <c r="H2070" s="9" t="s">
        <v>5670</v>
      </c>
      <c r="I2070" s="10">
        <v>45541</v>
      </c>
    </row>
    <row r="2071" spans="1:9" x14ac:dyDescent="0.15">
      <c r="A2071" s="9">
        <v>2070</v>
      </c>
      <c r="B2071" s="9" t="s">
        <v>9</v>
      </c>
      <c r="C2071" s="9">
        <v>1912</v>
      </c>
      <c r="D2071" s="10">
        <v>45616</v>
      </c>
      <c r="E2071" s="13" t="str">
        <f>+HYPERLINK("http://trademark.i-assist.jp/data/china/image_1912th/80799889.pdf","80799889")</f>
        <v>80799889</v>
      </c>
      <c r="F2071" s="9" t="s">
        <v>5671</v>
      </c>
      <c r="G2071" s="9" t="s">
        <v>5672</v>
      </c>
      <c r="H2071" s="9" t="s">
        <v>5673</v>
      </c>
      <c r="I2071" s="10">
        <v>45541</v>
      </c>
    </row>
    <row r="2072" spans="1:9" x14ac:dyDescent="0.15">
      <c r="A2072" s="9">
        <v>2071</v>
      </c>
      <c r="B2072" s="9" t="s">
        <v>9</v>
      </c>
      <c r="C2072" s="9">
        <v>1912</v>
      </c>
      <c r="D2072" s="10">
        <v>45616</v>
      </c>
      <c r="E2072" s="13" t="str">
        <f>+HYPERLINK("http://trademark.i-assist.jp/data/china/image_1912th/80800115.pdf","80800115")</f>
        <v>80800115</v>
      </c>
      <c r="F2072" s="9" t="s">
        <v>5674</v>
      </c>
      <c r="G2072" s="12" t="s">
        <v>5675</v>
      </c>
      <c r="H2072" s="9" t="s">
        <v>5676</v>
      </c>
      <c r="I2072" s="10">
        <v>45541</v>
      </c>
    </row>
    <row r="2073" spans="1:9" x14ac:dyDescent="0.15">
      <c r="A2073" s="9">
        <v>2072</v>
      </c>
      <c r="B2073" s="9" t="s">
        <v>9</v>
      </c>
      <c r="C2073" s="9">
        <v>1912</v>
      </c>
      <c r="D2073" s="10">
        <v>45616</v>
      </c>
      <c r="E2073" s="13" t="str">
        <f>+HYPERLINK("http://trademark.i-assist.jp/data/china/image_1912th/80801049.pdf","80801049")</f>
        <v>80801049</v>
      </c>
      <c r="F2073" s="9" t="s">
        <v>5677</v>
      </c>
      <c r="G2073" s="9" t="s">
        <v>5678</v>
      </c>
      <c r="H2073" s="9" t="s">
        <v>5679</v>
      </c>
      <c r="I2073" s="10">
        <v>45541</v>
      </c>
    </row>
    <row r="2074" spans="1:9" x14ac:dyDescent="0.15">
      <c r="A2074" s="9">
        <v>2073</v>
      </c>
      <c r="B2074" s="9" t="s">
        <v>9</v>
      </c>
      <c r="C2074" s="9">
        <v>1912</v>
      </c>
      <c r="D2074" s="10">
        <v>45616</v>
      </c>
      <c r="E2074" s="13" t="str">
        <f>+HYPERLINK("http://trademark.i-assist.jp/data/china/image_1912th/80804631.pdf","80804631")</f>
        <v>80804631</v>
      </c>
      <c r="F2074" s="9" t="s">
        <v>5680</v>
      </c>
      <c r="G2074" s="9" t="s">
        <v>5681</v>
      </c>
      <c r="H2074" s="9" t="s">
        <v>5682</v>
      </c>
      <c r="I2074" s="10">
        <v>45542</v>
      </c>
    </row>
    <row r="2075" spans="1:9" x14ac:dyDescent="0.15">
      <c r="A2075" s="9">
        <v>2074</v>
      </c>
      <c r="B2075" s="9" t="s">
        <v>9</v>
      </c>
      <c r="C2075" s="9">
        <v>1912</v>
      </c>
      <c r="D2075" s="10">
        <v>45616</v>
      </c>
      <c r="E2075" s="13" t="str">
        <f>+HYPERLINK("http://trademark.i-assist.jp/data/china/image_1912th/80806887.pdf","80806887")</f>
        <v>80806887</v>
      </c>
      <c r="F2075" s="12" t="s">
        <v>15</v>
      </c>
      <c r="G2075" s="12" t="s">
        <v>5683</v>
      </c>
      <c r="H2075" s="9" t="s">
        <v>5684</v>
      </c>
      <c r="I2075" s="10">
        <v>45543</v>
      </c>
    </row>
    <row r="2076" spans="1:9" x14ac:dyDescent="0.15">
      <c r="A2076" s="9">
        <v>2075</v>
      </c>
      <c r="B2076" s="9" t="s">
        <v>9</v>
      </c>
      <c r="C2076" s="9">
        <v>1912</v>
      </c>
      <c r="D2076" s="10">
        <v>45616</v>
      </c>
      <c r="E2076" s="13" t="str">
        <f>+HYPERLINK("http://trademark.i-assist.jp/data/china/image_1912th/80811169.pdf","80811169")</f>
        <v>80811169</v>
      </c>
      <c r="F2076" s="9" t="s">
        <v>5685</v>
      </c>
      <c r="G2076" s="9" t="s">
        <v>5626</v>
      </c>
      <c r="H2076" s="9" t="s">
        <v>5686</v>
      </c>
      <c r="I2076" s="10">
        <v>45544</v>
      </c>
    </row>
    <row r="2077" spans="1:9" x14ac:dyDescent="0.15">
      <c r="A2077" s="9">
        <v>2076</v>
      </c>
      <c r="B2077" s="9" t="s">
        <v>9</v>
      </c>
      <c r="C2077" s="9">
        <v>1912</v>
      </c>
      <c r="D2077" s="10">
        <v>45616</v>
      </c>
      <c r="E2077" s="13" t="str">
        <f>+HYPERLINK("http://trademark.i-assist.jp/data/china/image_1912th/80825568.pdf","80825568")</f>
        <v>80825568</v>
      </c>
      <c r="F2077" s="12" t="s">
        <v>5687</v>
      </c>
      <c r="G2077" s="12" t="s">
        <v>5688</v>
      </c>
      <c r="H2077" s="9" t="s">
        <v>5689</v>
      </c>
      <c r="I2077" s="10">
        <v>45544</v>
      </c>
    </row>
    <row r="2078" spans="1:9" x14ac:dyDescent="0.15">
      <c r="A2078" s="9">
        <v>2077</v>
      </c>
      <c r="B2078" s="9" t="s">
        <v>9</v>
      </c>
      <c r="C2078" s="9">
        <v>1912</v>
      </c>
      <c r="D2078" s="10">
        <v>45616</v>
      </c>
      <c r="E2078" s="13" t="str">
        <f>+HYPERLINK("http://trademark.i-assist.jp/data/china/image_1912th/80826895.pdf","80826895")</f>
        <v>80826895</v>
      </c>
      <c r="F2078" s="9" t="s">
        <v>5690</v>
      </c>
      <c r="G2078" s="9" t="s">
        <v>5626</v>
      </c>
      <c r="H2078" s="9" t="s">
        <v>5691</v>
      </c>
      <c r="I2078" s="10">
        <v>45544</v>
      </c>
    </row>
    <row r="2079" spans="1:9" x14ac:dyDescent="0.15">
      <c r="A2079" s="9">
        <v>2078</v>
      </c>
      <c r="B2079" s="9" t="s">
        <v>9</v>
      </c>
      <c r="C2079" s="9">
        <v>1912</v>
      </c>
      <c r="D2079" s="10">
        <v>45616</v>
      </c>
      <c r="E2079" s="13" t="str">
        <f>+HYPERLINK("http://trademark.i-assist.jp/data/china/image_1912th/80829168.pdf","80829168")</f>
        <v>80829168</v>
      </c>
      <c r="F2079" s="9" t="s">
        <v>5692</v>
      </c>
      <c r="G2079" s="9" t="s">
        <v>5509</v>
      </c>
      <c r="H2079" s="9" t="s">
        <v>5693</v>
      </c>
      <c r="I2079" s="10">
        <v>45544</v>
      </c>
    </row>
    <row r="2080" spans="1:9" x14ac:dyDescent="0.15">
      <c r="A2080" s="9">
        <v>2079</v>
      </c>
      <c r="B2080" s="9" t="s">
        <v>9</v>
      </c>
      <c r="C2080" s="9">
        <v>1912</v>
      </c>
      <c r="D2080" s="10">
        <v>45616</v>
      </c>
      <c r="E2080" s="13" t="str">
        <f>+HYPERLINK("http://trademark.i-assist.jp/data/china/image_1912th/80830443.pdf","80830443")</f>
        <v>80830443</v>
      </c>
      <c r="F2080" s="9" t="s">
        <v>5694</v>
      </c>
      <c r="G2080" s="9" t="s">
        <v>5695</v>
      </c>
      <c r="H2080" s="9" t="s">
        <v>5696</v>
      </c>
      <c r="I2080" s="10">
        <v>45544</v>
      </c>
    </row>
    <row r="2081" spans="1:9" x14ac:dyDescent="0.15">
      <c r="A2081" s="9">
        <v>2080</v>
      </c>
      <c r="B2081" s="9" t="s">
        <v>9</v>
      </c>
      <c r="C2081" s="9">
        <v>1912</v>
      </c>
      <c r="D2081" s="10">
        <v>45616</v>
      </c>
      <c r="E2081" s="13" t="str">
        <f>+HYPERLINK("http://trademark.i-assist.jp/data/china/image_1912th/80831032.pdf","80831032")</f>
        <v>80831032</v>
      </c>
      <c r="F2081" s="12" t="s">
        <v>5697</v>
      </c>
      <c r="G2081" s="12" t="s">
        <v>5698</v>
      </c>
      <c r="H2081" s="9" t="s">
        <v>5699</v>
      </c>
      <c r="I2081" s="10">
        <v>45544</v>
      </c>
    </row>
    <row r="2082" spans="1:9" x14ac:dyDescent="0.15">
      <c r="A2082" s="9">
        <v>2081</v>
      </c>
      <c r="B2082" s="9" t="s">
        <v>9</v>
      </c>
      <c r="C2082" s="9">
        <v>1912</v>
      </c>
      <c r="D2082" s="10">
        <v>45616</v>
      </c>
      <c r="E2082" s="13" t="str">
        <f>+HYPERLINK("http://trademark.i-assist.jp/data/china/image_1912th/80831693.pdf","80831693")</f>
        <v>80831693</v>
      </c>
      <c r="F2082" s="9" t="s">
        <v>5700</v>
      </c>
      <c r="G2082" s="12" t="s">
        <v>5701</v>
      </c>
      <c r="H2082" s="9" t="s">
        <v>5702</v>
      </c>
      <c r="I2082" s="10">
        <v>45544</v>
      </c>
    </row>
    <row r="2083" spans="1:9" x14ac:dyDescent="0.15">
      <c r="A2083" s="9">
        <v>2082</v>
      </c>
      <c r="B2083" s="9" t="s">
        <v>9</v>
      </c>
      <c r="C2083" s="9">
        <v>1912</v>
      </c>
      <c r="D2083" s="10">
        <v>45616</v>
      </c>
      <c r="E2083" s="13" t="str">
        <f>+HYPERLINK("http://trademark.i-assist.jp/data/china/image_1912th/80901643.pdf","80901643")</f>
        <v>80901643</v>
      </c>
      <c r="F2083" s="9" t="s">
        <v>5703</v>
      </c>
      <c r="G2083" s="12" t="s">
        <v>364</v>
      </c>
      <c r="H2083" s="9" t="s">
        <v>5704</v>
      </c>
      <c r="I2083" s="10">
        <v>45548</v>
      </c>
    </row>
    <row r="2084" spans="1:9" x14ac:dyDescent="0.15">
      <c r="A2084" s="9">
        <v>2083</v>
      </c>
      <c r="B2084" s="9" t="s">
        <v>9</v>
      </c>
      <c r="C2084" s="9">
        <v>1912</v>
      </c>
      <c r="D2084" s="10">
        <v>45616</v>
      </c>
      <c r="E2084" s="13" t="str">
        <f>+HYPERLINK("http://trademark.i-assist.jp/data/china/image_1912th/80906184.pdf","80906184")</f>
        <v>80906184</v>
      </c>
      <c r="F2084" s="9" t="s">
        <v>5705</v>
      </c>
      <c r="G2084" s="12" t="s">
        <v>364</v>
      </c>
      <c r="H2084" s="9" t="s">
        <v>5706</v>
      </c>
      <c r="I2084" s="10">
        <v>45548</v>
      </c>
    </row>
    <row r="2085" spans="1:9" x14ac:dyDescent="0.15">
      <c r="A2085" s="9">
        <v>2084</v>
      </c>
      <c r="B2085" s="9" t="s">
        <v>9</v>
      </c>
      <c r="C2085" s="9">
        <v>1912</v>
      </c>
      <c r="D2085" s="10">
        <v>45616</v>
      </c>
      <c r="E2085" s="13" t="str">
        <f>+HYPERLINK("http://trademark.i-assist.jp/data/china/image_1912th/80906204.pdf","80906204")</f>
        <v>80906204</v>
      </c>
      <c r="F2085" s="9" t="s">
        <v>5707</v>
      </c>
      <c r="G2085" s="12" t="s">
        <v>364</v>
      </c>
      <c r="H2085" s="9" t="s">
        <v>5708</v>
      </c>
      <c r="I2085" s="10">
        <v>45548</v>
      </c>
    </row>
    <row r="2086" spans="1:9" x14ac:dyDescent="0.15">
      <c r="A2086" s="9">
        <v>2085</v>
      </c>
      <c r="B2086" s="9" t="s">
        <v>9</v>
      </c>
      <c r="C2086" s="9">
        <v>1912</v>
      </c>
      <c r="D2086" s="10">
        <v>45616</v>
      </c>
      <c r="E2086" s="13" t="str">
        <f>+HYPERLINK("http://trademark.i-assist.jp/data/china/image_1912th/80907871.pdf","80907871")</f>
        <v>80907871</v>
      </c>
      <c r="F2086" s="9" t="s">
        <v>5709</v>
      </c>
      <c r="G2086" s="12" t="s">
        <v>364</v>
      </c>
      <c r="H2086" s="9" t="s">
        <v>5710</v>
      </c>
      <c r="I2086" s="10">
        <v>45548</v>
      </c>
    </row>
    <row r="2087" spans="1:9" x14ac:dyDescent="0.15">
      <c r="A2087" s="9">
        <v>2086</v>
      </c>
      <c r="B2087" s="9" t="s">
        <v>9</v>
      </c>
      <c r="C2087" s="9">
        <v>1912</v>
      </c>
      <c r="D2087" s="10">
        <v>45616</v>
      </c>
      <c r="E2087" s="13" t="str">
        <f>+HYPERLINK("http://trademark.i-assist.jp/data/china/image_1912th/80907880.pdf","80907880")</f>
        <v>80907880</v>
      </c>
      <c r="F2087" s="9" t="s">
        <v>5711</v>
      </c>
      <c r="G2087" s="12" t="s">
        <v>364</v>
      </c>
      <c r="H2087" s="9" t="s">
        <v>5712</v>
      </c>
      <c r="I2087" s="10">
        <v>45548</v>
      </c>
    </row>
    <row r="2088" spans="1:9" x14ac:dyDescent="0.15">
      <c r="A2088" s="9">
        <v>2087</v>
      </c>
      <c r="B2088" s="9" t="s">
        <v>9</v>
      </c>
      <c r="C2088" s="9">
        <v>1912</v>
      </c>
      <c r="D2088" s="10">
        <v>45616</v>
      </c>
      <c r="E2088" s="13" t="str">
        <f>+HYPERLINK("http://trademark.i-assist.jp/data/china/image_1912th/80908911.pdf","80908911")</f>
        <v>80908911</v>
      </c>
      <c r="F2088" s="9" t="s">
        <v>5713</v>
      </c>
      <c r="G2088" s="12" t="s">
        <v>364</v>
      </c>
      <c r="H2088" s="9" t="s">
        <v>5714</v>
      </c>
      <c r="I2088" s="10">
        <v>45548</v>
      </c>
    </row>
    <row r="2089" spans="1:9" x14ac:dyDescent="0.15">
      <c r="A2089" s="9">
        <v>2088</v>
      </c>
      <c r="B2089" s="9" t="s">
        <v>9</v>
      </c>
      <c r="C2089" s="9">
        <v>1912</v>
      </c>
      <c r="D2089" s="10">
        <v>45616</v>
      </c>
      <c r="E2089" s="13" t="str">
        <f>+HYPERLINK("http://trademark.i-assist.jp/data/china/image_1912th/80912522.pdf","80912522")</f>
        <v>80912522</v>
      </c>
      <c r="F2089" s="9" t="s">
        <v>5715</v>
      </c>
      <c r="G2089" s="12" t="s">
        <v>364</v>
      </c>
      <c r="H2089" s="9" t="s">
        <v>5716</v>
      </c>
      <c r="I2089" s="10">
        <v>45548</v>
      </c>
    </row>
    <row r="2090" spans="1:9" x14ac:dyDescent="0.15">
      <c r="A2090" s="9">
        <v>2089</v>
      </c>
      <c r="B2090" s="9" t="s">
        <v>9</v>
      </c>
      <c r="C2090" s="9">
        <v>1912</v>
      </c>
      <c r="D2090" s="10">
        <v>45616</v>
      </c>
      <c r="E2090" s="13" t="str">
        <f>+HYPERLINK("http://trademark.i-assist.jp/data/china/image_1912th/80913525.pdf","80913525")</f>
        <v>80913525</v>
      </c>
      <c r="F2090" s="9" t="s">
        <v>5717</v>
      </c>
      <c r="G2090" s="12" t="s">
        <v>364</v>
      </c>
      <c r="H2090" s="9" t="s">
        <v>5718</v>
      </c>
      <c r="I2090" s="10">
        <v>45548</v>
      </c>
    </row>
    <row r="2091" spans="1:9" x14ac:dyDescent="0.15">
      <c r="A2091" s="9">
        <v>2090</v>
      </c>
      <c r="B2091" s="9" t="s">
        <v>9</v>
      </c>
      <c r="C2091" s="9">
        <v>1912</v>
      </c>
      <c r="D2091" s="10">
        <v>45616</v>
      </c>
      <c r="E2091" s="13" t="str">
        <f>+HYPERLINK("http://trademark.i-assist.jp/data/china/image_1912th/80916791.pdf","80916791")</f>
        <v>80916791</v>
      </c>
      <c r="F2091" s="9" t="s">
        <v>5719</v>
      </c>
      <c r="G2091" s="12" t="s">
        <v>364</v>
      </c>
      <c r="H2091" s="9" t="s">
        <v>5720</v>
      </c>
      <c r="I2091" s="10">
        <v>45548</v>
      </c>
    </row>
    <row r="2092" spans="1:9" x14ac:dyDescent="0.15">
      <c r="A2092" s="9">
        <v>2091</v>
      </c>
      <c r="B2092" s="9" t="s">
        <v>9</v>
      </c>
      <c r="C2092" s="9">
        <v>1912</v>
      </c>
      <c r="D2092" s="10">
        <v>45616</v>
      </c>
      <c r="E2092" s="13" t="str">
        <f>+HYPERLINK("http://trademark.i-assist.jp/data/china/image_1912th/80918154.pdf","80918154")</f>
        <v>80918154</v>
      </c>
      <c r="F2092" s="9" t="s">
        <v>5721</v>
      </c>
      <c r="G2092" s="12" t="s">
        <v>364</v>
      </c>
      <c r="H2092" s="9" t="s">
        <v>5722</v>
      </c>
      <c r="I2092" s="10">
        <v>45548</v>
      </c>
    </row>
    <row r="2093" spans="1:9" x14ac:dyDescent="0.15">
      <c r="A2093" s="9">
        <v>2092</v>
      </c>
      <c r="B2093" s="9" t="s">
        <v>9</v>
      </c>
      <c r="C2093" s="9">
        <v>1912</v>
      </c>
      <c r="D2093" s="10">
        <v>45616</v>
      </c>
      <c r="E2093" s="13" t="str">
        <f>+HYPERLINK("http://trademark.i-assist.jp/data/china/image_1912th/80918171.pdf","80918171")</f>
        <v>80918171</v>
      </c>
      <c r="F2093" s="9" t="s">
        <v>5723</v>
      </c>
      <c r="G2093" s="12" t="s">
        <v>364</v>
      </c>
      <c r="H2093" s="9" t="s">
        <v>5724</v>
      </c>
      <c r="I2093" s="10">
        <v>45548</v>
      </c>
    </row>
    <row r="2094" spans="1:9" x14ac:dyDescent="0.15">
      <c r="A2094" s="9">
        <v>2093</v>
      </c>
      <c r="B2094" s="9" t="s">
        <v>9</v>
      </c>
      <c r="C2094" s="9">
        <v>1912</v>
      </c>
      <c r="D2094" s="10">
        <v>45616</v>
      </c>
      <c r="E2094" s="13" t="str">
        <f>+HYPERLINK("http://trademark.i-assist.jp/data/china/image_1912th/80918181.pdf","80918181")</f>
        <v>80918181</v>
      </c>
      <c r="F2094" s="9" t="s">
        <v>5725</v>
      </c>
      <c r="G2094" s="12" t="s">
        <v>364</v>
      </c>
      <c r="H2094" s="9" t="s">
        <v>5726</v>
      </c>
      <c r="I2094" s="10">
        <v>45548</v>
      </c>
    </row>
    <row r="2095" spans="1:9" x14ac:dyDescent="0.15">
      <c r="A2095" s="9">
        <v>2094</v>
      </c>
      <c r="B2095" s="9" t="s">
        <v>9</v>
      </c>
      <c r="C2095" s="9">
        <v>1912</v>
      </c>
      <c r="D2095" s="10">
        <v>45616</v>
      </c>
      <c r="E2095" s="13" t="str">
        <f>+HYPERLINK("http://trademark.i-assist.jp/data/china/image_1912th/80918216.pdf","80918216")</f>
        <v>80918216</v>
      </c>
      <c r="F2095" s="9" t="s">
        <v>5727</v>
      </c>
      <c r="G2095" s="12" t="s">
        <v>364</v>
      </c>
      <c r="H2095" s="9" t="s">
        <v>5728</v>
      </c>
      <c r="I2095" s="10">
        <v>45548</v>
      </c>
    </row>
    <row r="2096" spans="1:9" x14ac:dyDescent="0.15">
      <c r="A2096" s="9">
        <v>2095</v>
      </c>
      <c r="B2096" s="9" t="s">
        <v>9</v>
      </c>
      <c r="C2096" s="9">
        <v>1912</v>
      </c>
      <c r="D2096" s="10">
        <v>45616</v>
      </c>
      <c r="E2096" s="13" t="str">
        <f>+HYPERLINK("http://trademark.i-assist.jp/data/china/image_1912th/80919217.pdf","80919217")</f>
        <v>80919217</v>
      </c>
      <c r="F2096" s="9" t="s">
        <v>5729</v>
      </c>
      <c r="G2096" s="12" t="s">
        <v>364</v>
      </c>
      <c r="H2096" s="9" t="s">
        <v>5730</v>
      </c>
      <c r="I2096" s="10">
        <v>45548</v>
      </c>
    </row>
    <row r="2097" spans="1:9" x14ac:dyDescent="0.15">
      <c r="A2097" s="9">
        <v>2096</v>
      </c>
      <c r="B2097" s="9" t="s">
        <v>9</v>
      </c>
      <c r="C2097" s="9">
        <v>1912</v>
      </c>
      <c r="D2097" s="10">
        <v>45616</v>
      </c>
      <c r="E2097" s="13" t="str">
        <f>+HYPERLINK("http://trademark.i-assist.jp/data/china/image_1912th/80920110.pdf","80920110")</f>
        <v>80920110</v>
      </c>
      <c r="F2097" s="9" t="s">
        <v>5731</v>
      </c>
      <c r="G2097" s="12" t="s">
        <v>364</v>
      </c>
      <c r="H2097" s="9" t="s">
        <v>5732</v>
      </c>
      <c r="I2097" s="10">
        <v>45548</v>
      </c>
    </row>
    <row r="2098" spans="1:9" x14ac:dyDescent="0.15">
      <c r="A2098" s="9">
        <v>2097</v>
      </c>
      <c r="B2098" s="9" t="s">
        <v>9</v>
      </c>
      <c r="C2098" s="9">
        <v>1912</v>
      </c>
      <c r="D2098" s="10">
        <v>45616</v>
      </c>
      <c r="E2098" s="13" t="str">
        <f>+HYPERLINK("http://trademark.i-assist.jp/data/china/image_1912th/80922039.pdf","80922039")</f>
        <v>80922039</v>
      </c>
      <c r="F2098" s="9" t="s">
        <v>5733</v>
      </c>
      <c r="G2098" s="12" t="s">
        <v>364</v>
      </c>
      <c r="H2098" s="9" t="s">
        <v>5734</v>
      </c>
      <c r="I2098" s="10">
        <v>45548</v>
      </c>
    </row>
    <row r="2099" spans="1:9" x14ac:dyDescent="0.15">
      <c r="A2099" s="9">
        <v>2098</v>
      </c>
      <c r="B2099" s="9" t="s">
        <v>9</v>
      </c>
      <c r="C2099" s="9">
        <v>1912</v>
      </c>
      <c r="D2099" s="10">
        <v>45616</v>
      </c>
      <c r="E2099" s="13" t="str">
        <f>+HYPERLINK("http://trademark.i-assist.jp/data/china/image_1912th/80930910.pdf","80930910")</f>
        <v>80930910</v>
      </c>
      <c r="F2099" s="9" t="s">
        <v>5735</v>
      </c>
      <c r="G2099" s="12" t="s">
        <v>364</v>
      </c>
      <c r="H2099" s="9" t="s">
        <v>5736</v>
      </c>
      <c r="I2099" s="10">
        <v>45549</v>
      </c>
    </row>
    <row r="2100" spans="1:9" x14ac:dyDescent="0.15">
      <c r="A2100" s="9">
        <v>2099</v>
      </c>
      <c r="B2100" s="9" t="s">
        <v>9</v>
      </c>
      <c r="C2100" s="9">
        <v>1912</v>
      </c>
      <c r="D2100" s="10">
        <v>45616</v>
      </c>
      <c r="E2100" s="13" t="str">
        <f>+HYPERLINK("http://trademark.i-assist.jp/data/china/image_1912th/81011998.pdf","81011998")</f>
        <v>81011998</v>
      </c>
      <c r="F2100" s="9" t="s">
        <v>5737</v>
      </c>
      <c r="G2100" s="9" t="s">
        <v>5738</v>
      </c>
      <c r="H2100" s="9" t="s">
        <v>5739</v>
      </c>
      <c r="I2100" s="10">
        <v>45555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1912th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2025-03-14T08:22:28Z</dcterms:modified>
</cp:coreProperties>
</file>