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IA-99\Desktop\"/>
    </mc:Choice>
  </mc:AlternateContent>
  <xr:revisionPtr revIDLastSave="0" documentId="13_ncr:1_{FA9CC4CF-4821-431C-8DF6-251F9B7C51AF}" xr6:coauthVersionLast="47" xr6:coauthVersionMax="47" xr10:uidLastSave="{00000000-0000-0000-0000-000000000000}"/>
  <bookViews>
    <workbookView xWindow="6315" yWindow="1905" windowWidth="21600" windowHeight="11295" xr2:uid="{00000000-000D-0000-FFFF-FFFF00000000}"/>
  </bookViews>
  <sheets>
    <sheet name="1910th" sheetId="2" r:id="rId1"/>
  </sheets>
  <definedNames>
    <definedName name="_xlnm._FilterDatabase" localSheetId="0" hidden="1">'1910th'!$A$1:$J$1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495" i="2" l="1"/>
  <c r="E3494" i="2"/>
  <c r="E3493" i="2"/>
  <c r="E3492" i="2"/>
  <c r="E3491" i="2"/>
  <c r="E3490" i="2"/>
  <c r="E3489" i="2"/>
  <c r="E3488" i="2"/>
  <c r="E3487" i="2"/>
  <c r="E3486" i="2"/>
  <c r="E3485" i="2"/>
  <c r="E3484" i="2"/>
  <c r="E3483" i="2"/>
  <c r="E3482" i="2"/>
  <c r="E3481" i="2"/>
  <c r="E3480" i="2"/>
  <c r="E3479" i="2"/>
  <c r="E3478" i="2"/>
  <c r="E3477" i="2"/>
  <c r="E3476" i="2"/>
  <c r="E3475" i="2"/>
  <c r="E3474" i="2"/>
  <c r="E3473" i="2"/>
  <c r="E3472" i="2"/>
  <c r="E3471" i="2"/>
  <c r="E3470" i="2"/>
  <c r="E3469" i="2"/>
  <c r="E3468" i="2"/>
  <c r="E3467" i="2"/>
  <c r="E3466" i="2"/>
  <c r="E3465" i="2"/>
  <c r="E3464" i="2"/>
  <c r="E3463" i="2"/>
  <c r="E3462" i="2"/>
  <c r="E3461" i="2"/>
  <c r="E3460" i="2"/>
  <c r="E3459" i="2"/>
  <c r="E3458" i="2"/>
  <c r="E3457" i="2"/>
  <c r="E3456" i="2"/>
  <c r="E3455" i="2"/>
  <c r="E3454" i="2"/>
  <c r="E3453" i="2"/>
  <c r="E3452" i="2"/>
  <c r="E3451" i="2"/>
  <c r="E3450" i="2"/>
  <c r="E3449" i="2"/>
  <c r="E3448" i="2"/>
  <c r="E3447" i="2"/>
  <c r="E3446" i="2"/>
  <c r="E3445" i="2"/>
  <c r="E3444" i="2"/>
  <c r="E3443" i="2"/>
  <c r="E3442" i="2"/>
  <c r="E3441" i="2"/>
  <c r="E3440" i="2"/>
  <c r="E3439" i="2"/>
  <c r="E3438" i="2"/>
  <c r="E3437" i="2"/>
  <c r="E3436" i="2"/>
  <c r="E3435" i="2"/>
  <c r="E3434" i="2"/>
  <c r="E3433" i="2"/>
  <c r="E3432" i="2"/>
  <c r="E3431" i="2"/>
  <c r="E3430" i="2"/>
  <c r="E3429" i="2"/>
  <c r="E3428" i="2"/>
  <c r="E3427" i="2"/>
  <c r="E3426" i="2"/>
  <c r="E3425" i="2"/>
  <c r="E3424" i="2"/>
  <c r="E3423" i="2"/>
  <c r="E3422" i="2"/>
  <c r="E3421" i="2"/>
  <c r="E3420" i="2"/>
  <c r="E3419" i="2"/>
  <c r="E3418" i="2"/>
  <c r="E3417" i="2"/>
  <c r="E3416" i="2"/>
  <c r="E3415" i="2"/>
  <c r="E3414" i="2"/>
  <c r="E3413" i="2"/>
  <c r="E3412" i="2"/>
  <c r="E3411" i="2"/>
  <c r="E3410" i="2"/>
  <c r="E3409" i="2"/>
  <c r="E3408" i="2"/>
  <c r="E3407" i="2"/>
  <c r="E3406" i="2"/>
  <c r="E3405" i="2"/>
  <c r="E3404" i="2"/>
  <c r="E3403" i="2"/>
  <c r="E3402" i="2"/>
  <c r="E3401" i="2"/>
  <c r="E3400" i="2"/>
  <c r="E3399" i="2"/>
  <c r="E3398" i="2"/>
  <c r="E3397" i="2"/>
  <c r="E3396" i="2"/>
  <c r="E3395" i="2"/>
  <c r="E3394" i="2"/>
  <c r="E3393" i="2"/>
  <c r="E3392" i="2"/>
  <c r="E3391" i="2"/>
  <c r="E3390" i="2"/>
  <c r="E3389" i="2"/>
  <c r="E3388" i="2"/>
  <c r="E3387" i="2"/>
  <c r="E3386" i="2"/>
  <c r="E3385" i="2"/>
  <c r="E3384" i="2"/>
  <c r="E3383" i="2"/>
  <c r="E3382" i="2"/>
  <c r="E3381" i="2"/>
  <c r="E3380" i="2"/>
  <c r="E3379" i="2"/>
  <c r="E3378" i="2"/>
  <c r="E3377" i="2"/>
  <c r="E3376" i="2"/>
  <c r="E3375" i="2"/>
  <c r="E3374" i="2"/>
  <c r="E3373" i="2"/>
  <c r="E3372" i="2"/>
  <c r="E3371" i="2"/>
  <c r="E3370" i="2"/>
  <c r="E3369" i="2"/>
  <c r="E3368" i="2"/>
  <c r="E3367" i="2"/>
  <c r="E3366" i="2"/>
  <c r="E3365" i="2"/>
  <c r="E3364" i="2"/>
  <c r="E3363" i="2"/>
  <c r="E3362" i="2"/>
  <c r="E3361" i="2"/>
  <c r="E3360" i="2"/>
  <c r="E3359" i="2"/>
  <c r="E3358" i="2"/>
  <c r="E3357" i="2"/>
  <c r="E3356" i="2"/>
  <c r="E3355" i="2"/>
  <c r="E3354" i="2"/>
  <c r="E3353" i="2"/>
  <c r="E3352" i="2"/>
  <c r="E3351" i="2"/>
  <c r="E3350" i="2"/>
  <c r="E3349" i="2"/>
  <c r="E3348" i="2"/>
  <c r="E3347" i="2"/>
  <c r="E3346" i="2"/>
  <c r="E3345" i="2"/>
  <c r="E3344" i="2"/>
  <c r="E3343" i="2"/>
  <c r="E3342" i="2"/>
  <c r="E3341" i="2"/>
  <c r="E3340" i="2"/>
  <c r="E3339" i="2"/>
  <c r="E3338" i="2"/>
  <c r="E3337" i="2"/>
  <c r="E3336" i="2"/>
  <c r="E3335" i="2"/>
  <c r="E3334" i="2"/>
  <c r="E3333" i="2"/>
  <c r="E3332" i="2"/>
  <c r="E3331" i="2"/>
  <c r="E3330" i="2"/>
  <c r="E3329" i="2"/>
  <c r="E3328" i="2"/>
  <c r="E3327" i="2"/>
  <c r="E3326" i="2"/>
  <c r="E3325" i="2"/>
  <c r="E3324" i="2"/>
  <c r="E3323" i="2"/>
  <c r="E3322" i="2"/>
  <c r="E3321" i="2"/>
  <c r="E3320" i="2"/>
  <c r="E3319" i="2"/>
  <c r="E3318" i="2"/>
  <c r="E3317" i="2"/>
  <c r="E3316" i="2"/>
  <c r="E3315" i="2"/>
  <c r="E3314" i="2"/>
  <c r="E3313" i="2"/>
  <c r="E3312" i="2"/>
  <c r="E3311" i="2"/>
  <c r="E3310" i="2"/>
  <c r="E3309" i="2"/>
  <c r="E3308" i="2"/>
  <c r="E3307" i="2"/>
  <c r="E3306" i="2"/>
  <c r="E3305" i="2"/>
  <c r="E3304" i="2"/>
  <c r="E3303" i="2"/>
  <c r="E3302" i="2"/>
  <c r="E3301" i="2"/>
  <c r="E3300" i="2"/>
  <c r="E3299" i="2"/>
  <c r="E3298" i="2"/>
  <c r="E3297" i="2"/>
  <c r="E3296" i="2"/>
  <c r="E3295" i="2"/>
  <c r="E3294" i="2"/>
  <c r="E3293" i="2"/>
  <c r="E3292" i="2"/>
  <c r="E3291" i="2"/>
  <c r="E3290" i="2"/>
  <c r="E3289" i="2"/>
  <c r="E3288" i="2"/>
  <c r="E3287" i="2"/>
  <c r="E3286" i="2"/>
  <c r="E3285" i="2"/>
  <c r="E3284" i="2"/>
  <c r="E3283" i="2"/>
  <c r="E3282" i="2"/>
  <c r="E3281" i="2"/>
  <c r="E3280" i="2"/>
  <c r="E3279" i="2"/>
  <c r="E3278" i="2"/>
  <c r="E3277" i="2"/>
  <c r="E3276" i="2"/>
  <c r="E3275" i="2"/>
  <c r="E3274" i="2"/>
  <c r="E3273" i="2"/>
  <c r="E3272" i="2"/>
  <c r="E3271" i="2"/>
  <c r="E3270" i="2"/>
  <c r="E3269" i="2"/>
  <c r="E3268" i="2"/>
  <c r="E3267" i="2"/>
  <c r="E3266" i="2"/>
  <c r="E3265" i="2"/>
  <c r="E3264" i="2"/>
  <c r="E3263" i="2"/>
  <c r="E3262" i="2"/>
  <c r="E3261" i="2"/>
  <c r="E3260" i="2"/>
  <c r="E3259" i="2"/>
  <c r="E3258" i="2"/>
  <c r="E3257" i="2"/>
  <c r="E3256" i="2"/>
  <c r="E3255" i="2"/>
  <c r="E3254" i="2"/>
  <c r="E3253" i="2"/>
  <c r="E3252" i="2"/>
  <c r="E3251" i="2"/>
  <c r="E3250" i="2"/>
  <c r="E3249" i="2"/>
  <c r="E3248" i="2"/>
  <c r="E3247" i="2"/>
  <c r="E3246" i="2"/>
  <c r="E3245" i="2"/>
  <c r="E3244" i="2"/>
  <c r="E3243" i="2"/>
  <c r="E3242" i="2"/>
  <c r="E3241" i="2"/>
  <c r="E3240" i="2"/>
  <c r="E3239" i="2"/>
  <c r="E3238" i="2"/>
  <c r="E3237" i="2"/>
  <c r="E3236" i="2"/>
  <c r="E3235" i="2"/>
  <c r="E3234" i="2"/>
  <c r="E3233" i="2"/>
  <c r="E3232" i="2"/>
  <c r="E3231" i="2"/>
  <c r="E3230" i="2"/>
  <c r="E3229" i="2"/>
  <c r="E3228" i="2"/>
  <c r="E3227" i="2"/>
  <c r="E3226" i="2"/>
  <c r="E3225" i="2"/>
  <c r="E3224" i="2"/>
  <c r="E3223" i="2"/>
  <c r="E3222" i="2"/>
  <c r="E3221" i="2"/>
  <c r="E3220" i="2"/>
  <c r="E3219" i="2"/>
  <c r="E3218" i="2"/>
  <c r="E3217" i="2"/>
  <c r="E3216" i="2"/>
  <c r="E3215" i="2"/>
  <c r="E3214" i="2"/>
  <c r="E3213" i="2"/>
  <c r="E3212" i="2"/>
  <c r="E3211" i="2"/>
  <c r="E3210" i="2"/>
  <c r="E3209" i="2"/>
  <c r="E3208" i="2"/>
  <c r="E3207" i="2"/>
  <c r="E3206" i="2"/>
  <c r="E3205" i="2"/>
  <c r="E3204" i="2"/>
  <c r="E3203" i="2"/>
  <c r="E3202" i="2"/>
  <c r="E3201" i="2"/>
  <c r="E3200" i="2"/>
  <c r="E3199" i="2"/>
  <c r="E3198" i="2"/>
  <c r="E3197" i="2"/>
  <c r="E3196" i="2"/>
  <c r="E3195" i="2"/>
  <c r="E3194" i="2"/>
  <c r="E3193" i="2"/>
  <c r="E3192" i="2"/>
  <c r="E3191" i="2"/>
  <c r="E3190" i="2"/>
  <c r="E3189" i="2"/>
  <c r="E3188" i="2"/>
  <c r="E3187" i="2"/>
  <c r="E3186" i="2"/>
  <c r="E3185" i="2"/>
  <c r="E3184" i="2"/>
  <c r="E3183" i="2"/>
  <c r="E3182" i="2"/>
  <c r="E3181" i="2"/>
  <c r="E3180" i="2"/>
  <c r="E3179" i="2"/>
  <c r="E3178" i="2"/>
  <c r="E3177" i="2"/>
  <c r="E3176" i="2"/>
  <c r="E3175" i="2"/>
  <c r="E3174" i="2"/>
  <c r="E3173" i="2"/>
  <c r="E3172" i="2"/>
  <c r="E3171" i="2"/>
  <c r="E3170" i="2"/>
  <c r="E3169" i="2"/>
  <c r="E3168" i="2"/>
  <c r="E3167" i="2"/>
  <c r="E3166" i="2"/>
  <c r="E3165" i="2"/>
  <c r="E3164" i="2"/>
  <c r="E3163" i="2"/>
  <c r="E3162" i="2"/>
  <c r="E3161" i="2"/>
  <c r="E3160" i="2"/>
  <c r="E3159" i="2"/>
  <c r="E3158" i="2"/>
  <c r="E3157" i="2"/>
  <c r="E3156" i="2"/>
  <c r="E3155" i="2"/>
  <c r="E3154" i="2"/>
  <c r="E3153" i="2"/>
  <c r="E3152" i="2"/>
  <c r="E3151" i="2"/>
  <c r="E3150" i="2"/>
  <c r="E3149" i="2"/>
  <c r="E3148" i="2"/>
  <c r="E3147" i="2"/>
  <c r="E3146" i="2"/>
  <c r="E3145" i="2"/>
  <c r="E3144" i="2"/>
  <c r="E3143" i="2"/>
  <c r="E3142" i="2"/>
  <c r="E3141" i="2"/>
  <c r="E3140" i="2"/>
  <c r="E3139" i="2"/>
  <c r="E3138" i="2"/>
  <c r="E3137" i="2"/>
  <c r="E3136" i="2"/>
  <c r="E3135" i="2"/>
  <c r="E3134" i="2"/>
  <c r="E3133" i="2"/>
  <c r="E3132" i="2"/>
  <c r="E3131" i="2"/>
  <c r="E3130" i="2"/>
  <c r="E3129" i="2"/>
  <c r="E3128" i="2"/>
  <c r="E3127" i="2"/>
  <c r="E3126" i="2"/>
  <c r="E3125" i="2"/>
  <c r="E3124" i="2"/>
  <c r="E3123" i="2"/>
  <c r="E3122" i="2"/>
  <c r="E3121" i="2"/>
  <c r="E3120" i="2"/>
  <c r="E3119" i="2"/>
  <c r="E3118" i="2"/>
  <c r="E3117" i="2"/>
  <c r="E3116" i="2"/>
  <c r="E3115" i="2"/>
  <c r="E3114" i="2"/>
  <c r="E3113" i="2"/>
  <c r="E3112" i="2"/>
  <c r="E3111" i="2"/>
  <c r="E3110" i="2"/>
  <c r="E3109" i="2"/>
  <c r="E3108" i="2"/>
  <c r="E3107" i="2"/>
  <c r="E3106" i="2"/>
  <c r="E3105" i="2"/>
  <c r="E3104" i="2"/>
  <c r="E3103" i="2"/>
  <c r="E3102" i="2"/>
  <c r="E3101" i="2"/>
  <c r="E3100" i="2"/>
  <c r="E3099" i="2"/>
  <c r="E3098" i="2"/>
  <c r="E3097" i="2"/>
  <c r="E3096" i="2"/>
  <c r="E3095" i="2"/>
  <c r="E3094" i="2"/>
  <c r="E3093" i="2"/>
  <c r="E3092" i="2"/>
  <c r="E3091" i="2"/>
  <c r="E3090" i="2"/>
  <c r="E3089" i="2"/>
  <c r="E3088" i="2"/>
  <c r="E3087" i="2"/>
  <c r="E3086" i="2"/>
  <c r="E3085" i="2"/>
  <c r="E3084" i="2"/>
  <c r="E3083" i="2"/>
  <c r="E3082" i="2"/>
  <c r="E3081" i="2"/>
  <c r="E3080" i="2"/>
  <c r="E3079" i="2"/>
  <c r="E3078" i="2"/>
  <c r="E3077" i="2"/>
  <c r="E3076" i="2"/>
  <c r="E3075" i="2"/>
  <c r="E3074" i="2"/>
  <c r="E3073" i="2"/>
  <c r="E3072" i="2"/>
  <c r="E3071" i="2"/>
  <c r="E3070" i="2"/>
  <c r="E3069" i="2"/>
  <c r="E3068" i="2"/>
  <c r="E3067" i="2"/>
  <c r="E3066" i="2"/>
  <c r="E3065" i="2"/>
  <c r="E3064" i="2"/>
  <c r="E3063" i="2"/>
  <c r="E3062" i="2"/>
  <c r="E3061" i="2"/>
  <c r="E3060" i="2"/>
  <c r="E3059" i="2"/>
  <c r="E3058" i="2"/>
  <c r="E3057" i="2"/>
  <c r="E3056" i="2"/>
  <c r="E3055" i="2"/>
  <c r="E3054" i="2"/>
  <c r="E3053" i="2"/>
  <c r="E3052" i="2"/>
  <c r="E3051" i="2"/>
  <c r="E3050" i="2"/>
  <c r="E3049" i="2"/>
  <c r="E3048" i="2"/>
  <c r="E3047" i="2"/>
  <c r="E3046" i="2"/>
  <c r="E3045" i="2"/>
  <c r="E3044" i="2"/>
  <c r="E3043" i="2"/>
  <c r="E3042" i="2"/>
  <c r="E3041" i="2"/>
  <c r="E3040" i="2"/>
  <c r="E3039" i="2"/>
  <c r="E3038" i="2"/>
  <c r="E3037" i="2"/>
  <c r="E3036" i="2"/>
  <c r="E3035" i="2"/>
  <c r="E3034" i="2"/>
  <c r="E3033" i="2"/>
  <c r="E3032" i="2"/>
  <c r="E3031" i="2"/>
  <c r="E3030" i="2"/>
  <c r="E3029" i="2"/>
  <c r="E3028" i="2"/>
  <c r="E3027" i="2"/>
  <c r="E3026" i="2"/>
  <c r="E3025" i="2"/>
  <c r="E3024" i="2"/>
  <c r="E3023" i="2"/>
  <c r="E3022" i="2"/>
  <c r="E3021" i="2"/>
  <c r="E3020" i="2"/>
  <c r="E3019" i="2"/>
  <c r="E3018" i="2"/>
  <c r="E3017" i="2"/>
  <c r="E3016" i="2"/>
  <c r="E3015" i="2"/>
  <c r="E3014" i="2"/>
  <c r="E3013" i="2"/>
  <c r="E3012" i="2"/>
  <c r="E3011" i="2"/>
  <c r="E3010" i="2"/>
  <c r="E3009" i="2"/>
  <c r="E3008" i="2"/>
  <c r="E3007" i="2"/>
  <c r="E3006" i="2"/>
  <c r="E3005" i="2"/>
  <c r="E3004" i="2"/>
  <c r="E3003" i="2"/>
  <c r="E3002" i="2"/>
  <c r="E3001" i="2"/>
  <c r="E3000" i="2"/>
  <c r="E2999" i="2"/>
  <c r="E2998" i="2"/>
  <c r="E2997" i="2"/>
  <c r="E2996" i="2"/>
  <c r="E2995" i="2"/>
  <c r="E2994" i="2"/>
  <c r="E2993" i="2"/>
  <c r="E2992" i="2"/>
  <c r="E2991" i="2"/>
  <c r="E2990" i="2"/>
  <c r="E2989" i="2"/>
  <c r="E2988" i="2"/>
  <c r="E2987" i="2"/>
  <c r="E2986" i="2"/>
  <c r="E2985" i="2"/>
  <c r="E2984" i="2"/>
  <c r="E2983" i="2"/>
  <c r="E2982" i="2"/>
  <c r="E2981" i="2"/>
  <c r="E2980" i="2"/>
  <c r="E2979" i="2"/>
  <c r="E2978" i="2"/>
  <c r="E2977" i="2"/>
  <c r="E2976" i="2"/>
  <c r="E2975" i="2"/>
  <c r="E2974" i="2"/>
  <c r="E2973" i="2"/>
  <c r="E2972" i="2"/>
  <c r="E2971" i="2"/>
  <c r="E2970" i="2"/>
  <c r="E2969" i="2"/>
  <c r="E2968" i="2"/>
  <c r="E2967" i="2"/>
  <c r="E2966" i="2"/>
  <c r="E2965" i="2"/>
  <c r="E2964" i="2"/>
  <c r="E2963" i="2"/>
  <c r="E2962" i="2"/>
  <c r="E2961" i="2"/>
  <c r="E2960" i="2"/>
  <c r="E2959" i="2"/>
  <c r="E2958" i="2"/>
  <c r="E2957" i="2"/>
  <c r="E2956" i="2"/>
  <c r="E2955" i="2"/>
  <c r="E2954" i="2"/>
  <c r="E2953" i="2"/>
  <c r="E2952" i="2"/>
  <c r="E2951" i="2"/>
  <c r="E2950" i="2"/>
  <c r="E2949" i="2"/>
  <c r="E2948" i="2"/>
  <c r="E2947" i="2"/>
  <c r="E2946" i="2"/>
  <c r="E2945" i="2"/>
  <c r="E2944" i="2"/>
  <c r="E2943" i="2"/>
  <c r="E2942" i="2"/>
  <c r="E2941" i="2"/>
  <c r="E2940" i="2"/>
  <c r="E2939" i="2"/>
  <c r="E2938" i="2"/>
  <c r="E2937" i="2"/>
  <c r="E2936" i="2"/>
  <c r="E2935" i="2"/>
  <c r="E2934" i="2"/>
  <c r="E2933" i="2"/>
  <c r="E2932" i="2"/>
  <c r="E2931" i="2"/>
  <c r="E2930" i="2"/>
  <c r="E2929" i="2"/>
  <c r="E2928" i="2"/>
  <c r="E2927" i="2"/>
  <c r="E2926" i="2"/>
  <c r="E2925" i="2"/>
  <c r="E2924" i="2"/>
  <c r="E2923" i="2"/>
  <c r="E2922" i="2"/>
  <c r="E2921" i="2"/>
  <c r="E2920" i="2"/>
  <c r="E2919" i="2"/>
  <c r="E2918" i="2"/>
  <c r="E2917" i="2"/>
  <c r="E2916" i="2"/>
  <c r="E2915" i="2"/>
  <c r="E2914" i="2"/>
  <c r="E2913" i="2"/>
  <c r="E2912" i="2"/>
  <c r="E2911" i="2"/>
  <c r="E2910" i="2"/>
  <c r="E2909" i="2"/>
  <c r="E2908" i="2"/>
  <c r="E2907" i="2"/>
  <c r="E2906" i="2"/>
  <c r="E2905" i="2"/>
  <c r="E2904" i="2"/>
  <c r="E2903" i="2"/>
  <c r="E2902" i="2"/>
  <c r="E2901" i="2"/>
  <c r="E2900" i="2"/>
  <c r="E2899" i="2"/>
  <c r="E2898" i="2"/>
  <c r="E2897" i="2"/>
  <c r="E2896" i="2"/>
  <c r="E2895" i="2"/>
  <c r="E2894" i="2"/>
  <c r="E2893" i="2"/>
  <c r="E2892" i="2"/>
  <c r="E2891" i="2"/>
  <c r="E2890" i="2"/>
  <c r="E2889" i="2"/>
  <c r="E2888" i="2"/>
  <c r="E2887" i="2"/>
  <c r="E2886" i="2"/>
  <c r="E2885" i="2"/>
  <c r="E2884" i="2"/>
  <c r="E2883" i="2"/>
  <c r="E2882" i="2"/>
  <c r="E2881" i="2"/>
  <c r="E2880" i="2"/>
  <c r="E2879" i="2"/>
  <c r="E2878" i="2"/>
  <c r="E2877" i="2"/>
  <c r="E2876" i="2"/>
  <c r="E2875" i="2"/>
  <c r="E2874" i="2"/>
  <c r="E2873" i="2"/>
  <c r="E2872" i="2"/>
  <c r="E2871" i="2"/>
  <c r="E2870" i="2"/>
  <c r="E2869" i="2"/>
  <c r="E2868" i="2"/>
  <c r="E2867" i="2"/>
  <c r="E2866" i="2"/>
  <c r="E2865" i="2"/>
  <c r="E2864" i="2"/>
  <c r="E2863" i="2"/>
  <c r="E2862" i="2"/>
  <c r="E2861" i="2"/>
  <c r="E2860" i="2"/>
  <c r="E2859" i="2"/>
  <c r="E2858" i="2"/>
  <c r="E2857" i="2"/>
  <c r="E2856" i="2"/>
  <c r="E2855" i="2"/>
  <c r="E2854" i="2"/>
  <c r="E2853" i="2"/>
  <c r="E2852" i="2"/>
  <c r="E2851" i="2"/>
  <c r="E2850" i="2"/>
  <c r="E2849" i="2"/>
  <c r="E2848" i="2"/>
  <c r="E2847" i="2"/>
  <c r="E2846" i="2"/>
  <c r="E2845" i="2"/>
  <c r="E2844" i="2"/>
  <c r="E2843" i="2"/>
  <c r="E2842" i="2"/>
  <c r="E2841" i="2"/>
  <c r="E2840" i="2"/>
  <c r="E2839" i="2"/>
  <c r="E2838" i="2"/>
  <c r="E2837" i="2"/>
  <c r="E2836" i="2"/>
  <c r="E2835" i="2"/>
  <c r="E2834" i="2"/>
  <c r="E2833" i="2"/>
  <c r="E2832" i="2"/>
  <c r="E2831" i="2"/>
  <c r="E2830" i="2"/>
  <c r="E2829" i="2"/>
  <c r="E2828" i="2"/>
  <c r="E2827" i="2"/>
  <c r="E2826" i="2"/>
  <c r="E2825" i="2"/>
  <c r="E2824" i="2"/>
  <c r="E2823" i="2"/>
  <c r="E2822" i="2"/>
  <c r="E2821" i="2"/>
  <c r="E2820" i="2"/>
  <c r="E2819" i="2"/>
  <c r="E2818" i="2"/>
  <c r="E2817" i="2"/>
  <c r="E2816" i="2"/>
  <c r="E2815" i="2"/>
  <c r="E2814" i="2"/>
  <c r="E2813" i="2"/>
  <c r="E2812" i="2"/>
  <c r="E2811" i="2"/>
  <c r="E2810" i="2"/>
  <c r="E2809" i="2"/>
  <c r="E2808" i="2"/>
  <c r="E2807" i="2"/>
  <c r="E2806" i="2"/>
  <c r="E2805" i="2"/>
  <c r="E2804" i="2"/>
  <c r="E2803" i="2"/>
  <c r="E2802" i="2"/>
  <c r="E2801" i="2"/>
  <c r="E2800" i="2"/>
  <c r="E2799" i="2"/>
  <c r="E2798" i="2"/>
  <c r="E2797" i="2"/>
  <c r="E2796" i="2"/>
  <c r="E2795" i="2"/>
  <c r="E2794" i="2"/>
  <c r="E2793" i="2"/>
  <c r="E2792" i="2"/>
  <c r="E2791" i="2"/>
  <c r="E2790" i="2"/>
  <c r="E2789" i="2"/>
  <c r="E2788" i="2"/>
  <c r="E2787" i="2"/>
  <c r="E2786" i="2"/>
  <c r="E2785" i="2"/>
  <c r="E2784" i="2"/>
  <c r="E2783" i="2"/>
  <c r="E2782" i="2"/>
  <c r="E2781" i="2"/>
  <c r="E2780" i="2"/>
  <c r="E2779" i="2"/>
  <c r="E2778" i="2"/>
  <c r="E2777" i="2"/>
  <c r="E2776" i="2"/>
  <c r="E2775" i="2"/>
  <c r="E2774" i="2"/>
  <c r="E2773" i="2"/>
  <c r="E2772" i="2"/>
  <c r="E2771" i="2"/>
  <c r="E2770" i="2"/>
  <c r="E2769" i="2"/>
  <c r="E2768" i="2"/>
  <c r="E2767" i="2"/>
  <c r="E2766" i="2"/>
  <c r="E2765" i="2"/>
  <c r="E2764" i="2"/>
  <c r="E2763" i="2"/>
  <c r="E2762" i="2"/>
  <c r="E2761" i="2"/>
  <c r="E2760" i="2"/>
  <c r="E2759" i="2"/>
  <c r="E2758" i="2"/>
  <c r="E2757" i="2"/>
  <c r="E2756" i="2"/>
  <c r="E2755" i="2"/>
  <c r="E2754" i="2"/>
  <c r="E2753" i="2"/>
  <c r="E2752" i="2"/>
  <c r="E2751" i="2"/>
  <c r="E2750" i="2"/>
  <c r="E2749" i="2"/>
  <c r="E2748" i="2"/>
  <c r="E2747" i="2"/>
  <c r="E2746" i="2"/>
  <c r="E2745" i="2"/>
  <c r="E2744" i="2"/>
  <c r="E2743" i="2"/>
  <c r="E2742" i="2"/>
  <c r="E2741" i="2"/>
  <c r="E2740" i="2"/>
  <c r="E2739" i="2"/>
  <c r="E2738" i="2"/>
  <c r="E2737" i="2"/>
  <c r="E2736" i="2"/>
  <c r="E2735" i="2"/>
  <c r="E2734" i="2"/>
  <c r="E2733" i="2"/>
  <c r="E2732" i="2"/>
  <c r="E2731" i="2"/>
  <c r="E2730" i="2"/>
  <c r="E2729" i="2"/>
  <c r="E2728" i="2"/>
  <c r="E2727" i="2"/>
  <c r="E2726" i="2"/>
  <c r="E2725" i="2"/>
  <c r="E2724" i="2"/>
  <c r="E2723" i="2"/>
  <c r="E2722" i="2"/>
  <c r="E2721" i="2"/>
  <c r="E2720" i="2"/>
  <c r="E2719" i="2"/>
  <c r="E2718" i="2"/>
  <c r="E2717" i="2"/>
  <c r="E2716" i="2"/>
  <c r="E2715" i="2"/>
  <c r="E2714" i="2"/>
  <c r="E2713" i="2"/>
  <c r="E2712" i="2"/>
  <c r="E2711" i="2"/>
  <c r="E2710" i="2"/>
  <c r="E2709" i="2"/>
  <c r="E2708" i="2"/>
  <c r="E2707" i="2"/>
  <c r="E2706" i="2"/>
  <c r="E2705" i="2"/>
  <c r="E2704" i="2"/>
  <c r="E2703" i="2"/>
  <c r="E2702" i="2"/>
  <c r="E2701" i="2"/>
  <c r="E2700" i="2"/>
  <c r="E2699" i="2"/>
  <c r="E2698" i="2"/>
  <c r="E2697" i="2"/>
  <c r="E2696" i="2"/>
  <c r="E2695" i="2"/>
  <c r="E2694" i="2"/>
  <c r="E2693" i="2"/>
  <c r="E2692" i="2"/>
  <c r="E2691" i="2"/>
  <c r="E2690" i="2"/>
  <c r="E2689" i="2"/>
  <c r="E2688" i="2"/>
  <c r="E2687" i="2"/>
  <c r="E2686" i="2"/>
  <c r="E2685" i="2"/>
  <c r="E2684" i="2"/>
  <c r="E2683" i="2"/>
  <c r="E2682" i="2"/>
  <c r="E2681" i="2"/>
  <c r="E2680" i="2"/>
  <c r="E2679" i="2"/>
  <c r="E2678" i="2"/>
  <c r="E2677" i="2"/>
  <c r="E2676" i="2"/>
  <c r="E2675" i="2"/>
  <c r="E2674" i="2"/>
  <c r="E2673" i="2"/>
  <c r="E2672" i="2"/>
  <c r="E2671" i="2"/>
  <c r="E2670" i="2"/>
  <c r="E2669" i="2"/>
  <c r="E2668" i="2"/>
  <c r="E2667" i="2"/>
  <c r="E2666" i="2"/>
  <c r="E2665" i="2"/>
  <c r="E2664" i="2"/>
  <c r="E2663" i="2"/>
  <c r="E2662" i="2"/>
  <c r="E2661" i="2"/>
  <c r="E2660" i="2"/>
  <c r="E2659" i="2"/>
  <c r="E2658" i="2"/>
  <c r="E2657" i="2"/>
  <c r="E2656" i="2"/>
  <c r="E2655" i="2"/>
  <c r="E2654" i="2"/>
  <c r="E2653" i="2"/>
  <c r="E2652" i="2"/>
  <c r="E2651" i="2"/>
  <c r="E2650" i="2"/>
  <c r="E2649" i="2"/>
  <c r="E2648" i="2"/>
  <c r="E2647" i="2"/>
  <c r="E2646" i="2"/>
  <c r="E2645" i="2"/>
  <c r="E2644" i="2"/>
  <c r="E2643" i="2"/>
  <c r="E2642" i="2"/>
  <c r="E2641" i="2"/>
  <c r="E2640" i="2"/>
  <c r="E2639" i="2"/>
  <c r="E2638" i="2"/>
  <c r="E2637" i="2"/>
  <c r="E2636" i="2"/>
  <c r="E2635" i="2"/>
  <c r="E2634" i="2"/>
  <c r="E2633" i="2"/>
  <c r="E2632" i="2"/>
  <c r="E2631" i="2"/>
  <c r="E2630" i="2"/>
  <c r="E2629" i="2"/>
  <c r="E2628" i="2"/>
  <c r="E2627" i="2"/>
  <c r="E2626" i="2"/>
  <c r="E2625" i="2"/>
  <c r="E2624" i="2"/>
  <c r="E2623" i="2"/>
  <c r="E2622" i="2"/>
  <c r="E2621" i="2"/>
  <c r="E2620" i="2"/>
  <c r="E2619" i="2"/>
  <c r="E2618" i="2"/>
  <c r="E2617" i="2"/>
  <c r="E2616" i="2"/>
  <c r="E2615" i="2"/>
  <c r="E2614" i="2"/>
  <c r="E2613" i="2"/>
  <c r="E2612" i="2"/>
  <c r="E2611" i="2"/>
  <c r="E2610" i="2"/>
  <c r="E2609" i="2"/>
  <c r="E2608" i="2"/>
  <c r="E2607" i="2"/>
  <c r="E2606" i="2"/>
  <c r="E2605" i="2"/>
  <c r="E2604" i="2"/>
  <c r="E2603" i="2"/>
  <c r="E2602" i="2"/>
  <c r="E2601" i="2"/>
  <c r="E2600" i="2"/>
  <c r="E2599" i="2"/>
  <c r="E2598" i="2"/>
  <c r="E2597" i="2"/>
  <c r="E2596" i="2"/>
  <c r="E2595" i="2"/>
  <c r="E2594" i="2"/>
  <c r="E2593" i="2"/>
  <c r="E2592" i="2"/>
  <c r="E2591" i="2"/>
  <c r="E2590" i="2"/>
  <c r="E2589" i="2"/>
  <c r="E2588" i="2"/>
  <c r="E2587" i="2"/>
  <c r="E2586" i="2"/>
  <c r="E2585" i="2"/>
  <c r="E2584" i="2"/>
  <c r="E2583" i="2"/>
  <c r="E2582" i="2"/>
  <c r="E2581" i="2"/>
  <c r="E2580" i="2"/>
  <c r="E2579" i="2"/>
  <c r="E2578" i="2"/>
  <c r="E2577" i="2"/>
  <c r="E2576" i="2"/>
  <c r="E2575" i="2"/>
  <c r="E2574" i="2"/>
  <c r="E2573" i="2"/>
  <c r="E2572" i="2"/>
  <c r="E2571" i="2"/>
  <c r="E2570" i="2"/>
  <c r="E2569" i="2"/>
  <c r="E2568" i="2"/>
  <c r="E2567" i="2"/>
  <c r="E2566" i="2"/>
  <c r="E2565" i="2"/>
  <c r="E2564" i="2"/>
  <c r="E2563" i="2"/>
  <c r="E2562" i="2"/>
  <c r="E2561" i="2"/>
  <c r="E2560" i="2"/>
  <c r="E2559" i="2"/>
  <c r="E2558" i="2"/>
  <c r="E2557" i="2"/>
  <c r="E2556" i="2"/>
  <c r="E2555" i="2"/>
  <c r="E2554" i="2"/>
  <c r="E2553" i="2"/>
  <c r="E2552" i="2"/>
  <c r="E2551" i="2"/>
  <c r="E2550" i="2"/>
  <c r="E2549" i="2"/>
  <c r="E2548" i="2"/>
  <c r="E2547" i="2"/>
  <c r="E2546" i="2"/>
  <c r="E2545" i="2"/>
  <c r="E2544" i="2"/>
  <c r="E2543" i="2"/>
  <c r="E2542" i="2"/>
  <c r="E2541" i="2"/>
  <c r="E2540" i="2"/>
  <c r="E2539" i="2"/>
  <c r="E2538" i="2"/>
  <c r="E2537" i="2"/>
  <c r="E2536" i="2"/>
  <c r="E2535" i="2"/>
  <c r="E2534" i="2"/>
  <c r="E2533" i="2"/>
  <c r="E2532" i="2"/>
  <c r="E2531" i="2"/>
  <c r="E2530" i="2"/>
  <c r="E2529" i="2"/>
  <c r="E2528" i="2"/>
  <c r="E2527" i="2"/>
  <c r="E2526" i="2"/>
  <c r="E2525" i="2"/>
  <c r="E2524" i="2"/>
  <c r="E2523" i="2"/>
  <c r="E2522" i="2"/>
  <c r="E2521" i="2"/>
  <c r="E2520" i="2"/>
  <c r="E2519" i="2"/>
  <c r="E2518" i="2"/>
  <c r="E2517" i="2"/>
  <c r="E2516" i="2"/>
  <c r="E2515" i="2"/>
  <c r="E2514" i="2"/>
  <c r="E2513" i="2"/>
  <c r="E2512" i="2"/>
  <c r="E2511" i="2"/>
  <c r="E2510" i="2"/>
  <c r="E2509" i="2"/>
  <c r="E2508" i="2"/>
  <c r="E2507" i="2"/>
  <c r="E2506" i="2"/>
  <c r="E2505" i="2"/>
  <c r="E2504" i="2"/>
  <c r="E2503" i="2"/>
  <c r="E2502" i="2"/>
  <c r="E2501" i="2"/>
  <c r="E2500" i="2"/>
  <c r="E2499" i="2"/>
  <c r="E2498" i="2"/>
  <c r="E2497" i="2"/>
  <c r="E2496" i="2"/>
  <c r="E2495" i="2"/>
  <c r="E2494" i="2"/>
  <c r="E2493" i="2"/>
  <c r="E2492" i="2"/>
  <c r="E2491" i="2"/>
  <c r="E2490" i="2"/>
  <c r="E2489" i="2"/>
  <c r="E2488" i="2"/>
  <c r="E2487" i="2"/>
  <c r="E2486" i="2"/>
  <c r="E2485" i="2"/>
  <c r="E2484" i="2"/>
  <c r="E2483" i="2"/>
  <c r="E2482" i="2"/>
  <c r="E2481" i="2"/>
  <c r="E2480" i="2"/>
  <c r="E2479" i="2"/>
  <c r="E2478" i="2"/>
  <c r="E2477" i="2"/>
  <c r="E2476" i="2"/>
  <c r="E2475" i="2"/>
  <c r="E2474" i="2"/>
  <c r="E2473" i="2"/>
  <c r="E2472" i="2"/>
  <c r="E2471" i="2"/>
  <c r="E2470" i="2"/>
  <c r="E2469" i="2"/>
  <c r="E2468" i="2"/>
  <c r="E2467" i="2"/>
  <c r="E2466" i="2"/>
  <c r="E2465" i="2"/>
  <c r="E2464" i="2"/>
  <c r="E2463" i="2"/>
  <c r="E2462" i="2"/>
  <c r="E2461" i="2"/>
  <c r="E2460" i="2"/>
  <c r="E2459" i="2"/>
  <c r="E2458" i="2"/>
  <c r="E2457" i="2"/>
  <c r="E2456" i="2"/>
  <c r="E2455" i="2"/>
  <c r="E2454" i="2"/>
  <c r="E2453" i="2"/>
  <c r="E2452" i="2"/>
  <c r="E2451" i="2"/>
  <c r="E2450" i="2"/>
  <c r="E2449" i="2"/>
  <c r="E2448" i="2"/>
  <c r="E2447" i="2"/>
  <c r="E2446" i="2"/>
  <c r="E2445" i="2"/>
  <c r="E2444" i="2"/>
  <c r="E2443" i="2"/>
  <c r="E2442" i="2"/>
  <c r="E2441" i="2"/>
  <c r="E2440" i="2"/>
  <c r="E2439" i="2"/>
  <c r="E2438" i="2"/>
  <c r="E2437" i="2"/>
  <c r="E2436" i="2"/>
  <c r="E2435" i="2"/>
  <c r="E2434" i="2"/>
  <c r="E2433" i="2"/>
  <c r="E2432" i="2"/>
  <c r="E2431" i="2"/>
  <c r="E2430" i="2"/>
  <c r="E2429" i="2"/>
  <c r="E2428" i="2"/>
  <c r="E2427" i="2"/>
  <c r="E2426" i="2"/>
  <c r="E2425" i="2"/>
  <c r="E2424" i="2"/>
  <c r="E2423" i="2"/>
  <c r="E2422" i="2"/>
  <c r="E2421" i="2"/>
  <c r="E2420" i="2"/>
  <c r="E2419" i="2"/>
  <c r="E2418" i="2"/>
  <c r="E2417" i="2"/>
  <c r="E2416" i="2"/>
  <c r="E2415" i="2"/>
  <c r="E2414" i="2"/>
  <c r="E2413" i="2"/>
  <c r="E2412" i="2"/>
  <c r="E2411" i="2"/>
  <c r="E2410" i="2"/>
  <c r="E2409" i="2"/>
  <c r="E2408" i="2"/>
  <c r="E2407" i="2"/>
  <c r="E2406" i="2"/>
  <c r="E2405" i="2"/>
  <c r="E2404" i="2"/>
  <c r="E2403" i="2"/>
  <c r="E2402" i="2"/>
  <c r="E2401" i="2"/>
  <c r="E2400" i="2"/>
  <c r="E2399" i="2"/>
  <c r="E2398" i="2"/>
  <c r="E2397" i="2"/>
  <c r="E2396" i="2"/>
  <c r="E2395" i="2"/>
  <c r="E2394" i="2"/>
  <c r="E2393" i="2"/>
  <c r="E2392" i="2"/>
  <c r="E2391" i="2"/>
  <c r="E2390" i="2"/>
  <c r="E2389" i="2"/>
  <c r="E2388" i="2"/>
  <c r="E2387" i="2"/>
  <c r="E2386" i="2"/>
  <c r="E2385" i="2"/>
  <c r="E2384" i="2"/>
  <c r="E2383" i="2"/>
  <c r="E2382" i="2"/>
  <c r="E2381" i="2"/>
  <c r="E2380" i="2"/>
  <c r="E2379" i="2"/>
  <c r="E2378" i="2"/>
  <c r="E2377" i="2"/>
  <c r="E2376" i="2"/>
  <c r="E2375" i="2"/>
  <c r="E2374" i="2"/>
  <c r="E2373" i="2"/>
  <c r="E2372" i="2"/>
  <c r="E2371" i="2"/>
  <c r="E2370" i="2"/>
  <c r="E2369" i="2"/>
  <c r="E2368" i="2"/>
  <c r="E2367" i="2"/>
  <c r="E2366" i="2"/>
  <c r="E2365" i="2"/>
  <c r="E2364" i="2"/>
  <c r="E2363" i="2"/>
  <c r="E2362" i="2"/>
  <c r="E2361" i="2"/>
  <c r="E2360" i="2"/>
  <c r="E2359" i="2"/>
  <c r="E2358" i="2"/>
  <c r="E2357" i="2"/>
  <c r="E2356" i="2"/>
  <c r="E2355" i="2"/>
  <c r="E2354" i="2"/>
  <c r="E2353" i="2"/>
  <c r="E2352" i="2"/>
  <c r="E2351" i="2"/>
  <c r="E2350" i="2"/>
  <c r="E2349" i="2"/>
  <c r="E2348" i="2"/>
  <c r="E2347" i="2"/>
  <c r="E2346" i="2"/>
  <c r="E2345" i="2"/>
  <c r="E2344" i="2"/>
  <c r="E2343" i="2"/>
  <c r="E2342" i="2"/>
  <c r="E2341" i="2"/>
  <c r="E2340" i="2"/>
  <c r="E2339" i="2"/>
  <c r="E2338" i="2"/>
  <c r="E2337" i="2"/>
  <c r="E2336" i="2"/>
  <c r="E2335" i="2"/>
  <c r="E2334" i="2"/>
  <c r="E2333" i="2"/>
  <c r="E2332" i="2"/>
  <c r="E2331" i="2"/>
  <c r="E2330" i="2"/>
  <c r="E2329" i="2"/>
  <c r="E2328" i="2"/>
  <c r="E2327" i="2"/>
  <c r="E2326" i="2"/>
  <c r="E2325" i="2"/>
  <c r="E2324" i="2"/>
  <c r="E2323" i="2"/>
  <c r="E2322" i="2"/>
  <c r="E2321" i="2"/>
  <c r="E2320" i="2"/>
  <c r="E2319" i="2"/>
  <c r="E2318" i="2"/>
  <c r="E2317" i="2"/>
  <c r="E2316" i="2"/>
  <c r="E2315" i="2"/>
  <c r="E2314" i="2"/>
  <c r="E2313" i="2"/>
  <c r="E2312" i="2"/>
  <c r="E2311" i="2"/>
  <c r="E2310" i="2"/>
  <c r="E2309" i="2"/>
  <c r="E2308" i="2"/>
  <c r="E2307" i="2"/>
  <c r="E2306" i="2"/>
  <c r="E2305" i="2"/>
  <c r="E2304" i="2"/>
  <c r="E2303" i="2"/>
  <c r="E2302" i="2"/>
  <c r="E2301" i="2"/>
  <c r="E2300" i="2"/>
  <c r="E2299" i="2"/>
  <c r="E2298" i="2"/>
  <c r="E2297" i="2"/>
  <c r="E2296" i="2"/>
  <c r="E2295" i="2"/>
  <c r="E2294" i="2"/>
  <c r="E2293" i="2"/>
  <c r="E2292" i="2"/>
  <c r="E2291" i="2"/>
  <c r="E2290" i="2"/>
  <c r="E2289" i="2"/>
  <c r="E2288" i="2"/>
  <c r="E2287" i="2"/>
  <c r="E2286" i="2"/>
  <c r="E2285" i="2"/>
  <c r="E2284" i="2"/>
  <c r="E2283" i="2"/>
  <c r="E2282" i="2"/>
  <c r="E2281" i="2"/>
  <c r="E2280" i="2"/>
  <c r="E2279" i="2"/>
  <c r="E2278" i="2"/>
  <c r="E2277" i="2"/>
  <c r="E2276" i="2"/>
  <c r="E2275" i="2"/>
  <c r="E2274" i="2"/>
  <c r="E2273" i="2"/>
  <c r="E2272" i="2"/>
  <c r="E2271" i="2"/>
  <c r="E2270" i="2"/>
  <c r="E2269" i="2"/>
  <c r="E2268" i="2"/>
  <c r="E2267" i="2"/>
  <c r="E2266" i="2"/>
  <c r="E2265" i="2"/>
  <c r="E2264" i="2"/>
  <c r="E2263" i="2"/>
  <c r="E2262" i="2"/>
  <c r="E2261" i="2"/>
  <c r="E2260" i="2"/>
  <c r="E2259" i="2"/>
  <c r="E2258" i="2"/>
  <c r="E2257" i="2"/>
  <c r="E2256" i="2"/>
  <c r="E2255" i="2"/>
  <c r="E2254" i="2"/>
  <c r="E2253" i="2"/>
  <c r="E2252" i="2"/>
  <c r="E2251" i="2"/>
  <c r="E2250" i="2"/>
  <c r="E2249" i="2"/>
  <c r="E2248" i="2"/>
  <c r="E2247" i="2"/>
  <c r="E2246" i="2"/>
  <c r="E2245" i="2"/>
  <c r="E2244" i="2"/>
  <c r="E2243" i="2"/>
  <c r="E2242" i="2"/>
  <c r="E2241" i="2"/>
  <c r="E2240" i="2"/>
  <c r="E2239" i="2"/>
  <c r="E2238" i="2"/>
  <c r="E2237" i="2"/>
  <c r="E2236" i="2"/>
  <c r="E2235" i="2"/>
  <c r="E2234" i="2"/>
  <c r="E2233" i="2"/>
  <c r="E2232" i="2"/>
  <c r="E2231" i="2"/>
  <c r="E2230" i="2"/>
  <c r="E2229" i="2"/>
  <c r="E2228" i="2"/>
  <c r="E2227" i="2"/>
  <c r="E2226" i="2"/>
  <c r="E2225" i="2"/>
  <c r="E2224" i="2"/>
  <c r="E2223" i="2"/>
  <c r="E2222" i="2"/>
  <c r="E2221" i="2"/>
  <c r="E2220" i="2"/>
  <c r="E2219" i="2"/>
  <c r="E2218" i="2"/>
  <c r="E2217" i="2"/>
  <c r="E2216" i="2"/>
  <c r="E2215" i="2"/>
  <c r="E2214" i="2"/>
  <c r="E2213" i="2"/>
  <c r="E2212" i="2"/>
  <c r="E2211" i="2"/>
  <c r="E2210" i="2"/>
  <c r="E2209" i="2"/>
  <c r="E2208" i="2"/>
  <c r="E2207" i="2"/>
  <c r="E2206" i="2"/>
  <c r="E2205" i="2"/>
  <c r="E2204" i="2"/>
  <c r="E2203" i="2"/>
  <c r="E2202" i="2"/>
  <c r="E2201" i="2"/>
  <c r="E2200" i="2"/>
  <c r="E2199" i="2"/>
  <c r="E2198" i="2"/>
  <c r="E2197" i="2"/>
  <c r="E2196" i="2"/>
  <c r="E2195" i="2"/>
  <c r="E2194" i="2"/>
  <c r="E2193" i="2"/>
  <c r="E2192" i="2"/>
  <c r="E2191" i="2"/>
  <c r="E2190" i="2"/>
  <c r="E2189" i="2"/>
  <c r="E2188" i="2"/>
  <c r="E2187" i="2"/>
  <c r="E2186" i="2"/>
  <c r="E2185" i="2"/>
  <c r="E2184" i="2"/>
  <c r="E2183" i="2"/>
  <c r="E2182" i="2"/>
  <c r="E2181" i="2"/>
  <c r="E2180" i="2"/>
  <c r="E2179" i="2"/>
  <c r="E2178" i="2"/>
  <c r="E2177" i="2"/>
  <c r="E2176" i="2"/>
  <c r="E2175" i="2"/>
  <c r="E2174" i="2"/>
  <c r="E2173" i="2"/>
  <c r="E2172" i="2"/>
  <c r="E2171" i="2"/>
  <c r="E2170" i="2"/>
  <c r="E2169" i="2"/>
  <c r="E2168" i="2"/>
  <c r="E2167" i="2"/>
  <c r="E2166" i="2"/>
  <c r="E2165" i="2"/>
  <c r="E2164" i="2"/>
  <c r="E2163" i="2"/>
  <c r="E2162" i="2"/>
  <c r="E2161" i="2"/>
  <c r="E2160" i="2"/>
  <c r="E2159" i="2"/>
  <c r="E2158" i="2"/>
  <c r="E2157" i="2"/>
  <c r="E2156" i="2"/>
  <c r="E2155" i="2"/>
  <c r="E2154" i="2"/>
  <c r="E2153" i="2"/>
  <c r="E2152" i="2"/>
  <c r="E2151" i="2"/>
  <c r="E2150" i="2"/>
  <c r="E2149" i="2"/>
  <c r="E2148" i="2"/>
  <c r="E2147" i="2"/>
  <c r="E2146" i="2"/>
  <c r="E2145" i="2"/>
  <c r="E2144" i="2"/>
  <c r="E2143" i="2"/>
  <c r="E2142" i="2"/>
  <c r="E2141" i="2"/>
  <c r="E2140" i="2"/>
  <c r="E2139" i="2"/>
  <c r="E2138" i="2"/>
  <c r="E2137" i="2"/>
  <c r="E2136" i="2"/>
  <c r="E2135" i="2"/>
  <c r="E2134" i="2"/>
  <c r="E2133" i="2"/>
  <c r="E2132" i="2"/>
  <c r="E2131" i="2"/>
  <c r="E2130" i="2"/>
  <c r="E2129" i="2"/>
  <c r="E2128" i="2"/>
  <c r="E2127" i="2"/>
  <c r="E2126" i="2"/>
  <c r="E2125" i="2"/>
  <c r="E2124" i="2"/>
  <c r="E2123" i="2"/>
  <c r="E2122" i="2"/>
  <c r="E2121" i="2"/>
  <c r="E2120" i="2"/>
  <c r="E2119" i="2"/>
  <c r="E2118" i="2"/>
  <c r="E2117" i="2"/>
  <c r="E2116" i="2"/>
  <c r="E2115" i="2"/>
  <c r="E2114" i="2"/>
  <c r="E2113" i="2"/>
  <c r="E2112" i="2"/>
  <c r="E2111" i="2"/>
  <c r="E2110" i="2"/>
  <c r="E2109" i="2"/>
  <c r="E2108" i="2"/>
  <c r="E2107" i="2"/>
  <c r="E2106" i="2"/>
  <c r="E2105" i="2"/>
  <c r="E2104" i="2"/>
  <c r="E2103" i="2"/>
  <c r="E2102" i="2"/>
  <c r="E2101" i="2"/>
  <c r="E2100" i="2"/>
  <c r="E2099" i="2"/>
  <c r="E2098" i="2"/>
  <c r="E2097" i="2"/>
  <c r="E2096" i="2"/>
  <c r="E2095" i="2"/>
  <c r="E2094" i="2"/>
  <c r="E2093" i="2"/>
  <c r="E2092" i="2"/>
  <c r="E2091" i="2"/>
  <c r="E2090" i="2"/>
  <c r="E2089" i="2"/>
  <c r="E2088" i="2"/>
  <c r="E2087" i="2"/>
  <c r="E2086" i="2"/>
  <c r="E2085" i="2"/>
  <c r="E2084" i="2"/>
  <c r="E2083" i="2"/>
  <c r="E2082" i="2"/>
  <c r="E2081" i="2"/>
  <c r="E2080" i="2"/>
  <c r="E2079" i="2"/>
  <c r="E2078" i="2"/>
  <c r="E2077" i="2"/>
  <c r="E2076" i="2"/>
  <c r="E2075" i="2"/>
  <c r="E2074" i="2"/>
  <c r="E2073" i="2"/>
  <c r="E2072" i="2"/>
  <c r="E2071" i="2"/>
  <c r="E2070" i="2"/>
  <c r="E2069" i="2"/>
  <c r="E2068" i="2"/>
  <c r="E2067" i="2"/>
  <c r="E2066" i="2"/>
  <c r="E2065" i="2"/>
  <c r="E2064" i="2"/>
  <c r="E2063" i="2"/>
  <c r="E2062" i="2"/>
  <c r="E2061" i="2"/>
  <c r="E2060" i="2"/>
  <c r="E2059" i="2"/>
  <c r="E2058" i="2"/>
  <c r="E2057" i="2"/>
  <c r="E2056" i="2"/>
  <c r="E2055" i="2"/>
  <c r="E2054" i="2"/>
  <c r="E2053" i="2"/>
  <c r="E2052" i="2"/>
  <c r="E2051" i="2"/>
  <c r="E2050" i="2"/>
  <c r="E2049" i="2"/>
  <c r="E2048" i="2"/>
  <c r="E2047" i="2"/>
  <c r="E2046" i="2"/>
  <c r="E2045" i="2"/>
  <c r="E2044" i="2"/>
  <c r="E2043" i="2"/>
  <c r="E2042" i="2"/>
  <c r="E2041" i="2"/>
  <c r="E2040" i="2"/>
  <c r="E2039" i="2"/>
  <c r="E2038" i="2"/>
  <c r="E2037" i="2"/>
  <c r="E2036" i="2"/>
  <c r="E2035" i="2"/>
  <c r="E2034" i="2"/>
  <c r="E2033" i="2"/>
  <c r="E2032" i="2"/>
  <c r="E2031" i="2"/>
  <c r="E2030" i="2"/>
  <c r="E2029" i="2"/>
  <c r="E2028" i="2"/>
  <c r="E2027" i="2"/>
  <c r="E2026" i="2"/>
  <c r="E2025" i="2"/>
  <c r="E2024" i="2"/>
  <c r="E2023" i="2"/>
  <c r="E2022" i="2"/>
  <c r="E2021" i="2"/>
  <c r="E2020" i="2"/>
  <c r="E2019" i="2"/>
  <c r="E2018" i="2"/>
  <c r="E2017" i="2"/>
  <c r="E2016" i="2"/>
  <c r="E2015" i="2"/>
  <c r="E2014" i="2"/>
  <c r="E2013" i="2"/>
  <c r="E2012" i="2"/>
  <c r="E2011" i="2"/>
  <c r="E2010" i="2"/>
  <c r="E2009" i="2"/>
  <c r="E2008" i="2"/>
  <c r="E2007" i="2"/>
  <c r="E2006" i="2"/>
  <c r="E2005" i="2"/>
  <c r="E2004" i="2"/>
  <c r="E2003" i="2"/>
  <c r="E2002" i="2"/>
  <c r="E2001" i="2"/>
  <c r="E2000" i="2"/>
  <c r="E1999" i="2"/>
  <c r="E1998" i="2"/>
  <c r="E1997" i="2"/>
  <c r="E1996" i="2"/>
  <c r="E1995" i="2"/>
  <c r="E1994" i="2"/>
  <c r="E1993" i="2"/>
  <c r="E1992" i="2"/>
  <c r="E1991" i="2"/>
  <c r="E1990" i="2"/>
  <c r="E1989" i="2"/>
  <c r="E1988" i="2"/>
  <c r="E1987" i="2"/>
  <c r="E1986" i="2"/>
  <c r="E1985" i="2"/>
  <c r="E1984" i="2"/>
  <c r="E1983" i="2"/>
  <c r="E1982" i="2"/>
  <c r="E1981" i="2"/>
  <c r="E1980" i="2"/>
  <c r="E1979" i="2"/>
  <c r="E1978" i="2"/>
  <c r="E1977" i="2"/>
  <c r="E1976" i="2"/>
  <c r="E1975" i="2"/>
  <c r="E1974" i="2"/>
  <c r="E1973" i="2"/>
  <c r="E1972" i="2"/>
  <c r="E1971" i="2"/>
  <c r="E1970" i="2"/>
  <c r="E1969" i="2"/>
  <c r="E1968" i="2"/>
  <c r="E1967" i="2"/>
  <c r="E1966" i="2"/>
  <c r="E1965" i="2"/>
  <c r="E1964" i="2"/>
  <c r="E1963" i="2"/>
  <c r="E1962" i="2"/>
  <c r="E1961" i="2"/>
  <c r="E1960" i="2"/>
  <c r="E1959" i="2"/>
  <c r="E1958" i="2"/>
  <c r="E1957" i="2"/>
  <c r="E1956" i="2"/>
  <c r="E1955" i="2"/>
  <c r="E1954" i="2"/>
  <c r="E1953" i="2"/>
  <c r="E1952" i="2"/>
  <c r="E1951" i="2"/>
  <c r="E1950" i="2"/>
  <c r="E1949" i="2"/>
  <c r="E1948" i="2"/>
  <c r="E1947" i="2"/>
  <c r="E1946" i="2"/>
  <c r="E1945" i="2"/>
  <c r="E1944" i="2"/>
  <c r="E1943" i="2"/>
  <c r="E1942" i="2"/>
  <c r="E1941" i="2"/>
  <c r="E1940" i="2"/>
  <c r="E1939" i="2"/>
  <c r="E1938" i="2"/>
  <c r="E1937" i="2"/>
  <c r="E1936" i="2"/>
  <c r="E1935" i="2"/>
  <c r="E1934" i="2"/>
  <c r="E1933" i="2"/>
  <c r="E1932" i="2"/>
  <c r="E1931" i="2"/>
  <c r="E1930" i="2"/>
  <c r="E1929" i="2"/>
  <c r="E1928" i="2"/>
  <c r="E1927" i="2"/>
  <c r="E1926" i="2"/>
  <c r="E1925" i="2"/>
  <c r="E1924" i="2"/>
  <c r="E1923" i="2"/>
  <c r="E1922" i="2"/>
  <c r="E1921" i="2"/>
  <c r="E1920" i="2"/>
  <c r="E1919" i="2"/>
  <c r="E1918" i="2"/>
  <c r="E1917" i="2"/>
  <c r="E1916" i="2"/>
  <c r="E1915" i="2"/>
  <c r="E1914" i="2"/>
  <c r="E1913" i="2"/>
  <c r="E1912" i="2"/>
  <c r="E1911" i="2"/>
  <c r="E1910" i="2"/>
  <c r="E1909" i="2"/>
  <c r="E1908" i="2"/>
  <c r="E1907" i="2"/>
  <c r="E1906" i="2"/>
  <c r="E1905" i="2"/>
  <c r="E1904" i="2"/>
  <c r="E1903" i="2"/>
  <c r="E1902" i="2"/>
  <c r="E1901" i="2"/>
  <c r="E1900" i="2"/>
  <c r="E1899" i="2"/>
  <c r="E1898" i="2"/>
  <c r="E1897" i="2"/>
  <c r="E1896" i="2"/>
  <c r="E1895" i="2"/>
  <c r="E1894" i="2"/>
  <c r="E1893" i="2"/>
  <c r="E1892" i="2"/>
  <c r="E1891" i="2"/>
  <c r="E1890" i="2"/>
  <c r="E1889" i="2"/>
  <c r="E1888" i="2"/>
  <c r="E1887" i="2"/>
  <c r="E1886" i="2"/>
  <c r="E1885" i="2"/>
  <c r="E1884" i="2"/>
  <c r="E1883" i="2"/>
  <c r="E1882" i="2"/>
  <c r="E1881" i="2"/>
  <c r="E1880" i="2"/>
  <c r="E1879" i="2"/>
  <c r="E1878" i="2"/>
  <c r="E1877" i="2"/>
  <c r="E1876" i="2"/>
  <c r="E1875" i="2"/>
  <c r="E1874" i="2"/>
  <c r="E1873" i="2"/>
  <c r="E1872" i="2"/>
  <c r="E1871" i="2"/>
  <c r="E1870" i="2"/>
  <c r="E1869" i="2"/>
  <c r="E1868" i="2"/>
  <c r="E1867" i="2"/>
  <c r="E1866" i="2"/>
  <c r="E1865" i="2"/>
  <c r="E1864" i="2"/>
  <c r="E1863" i="2"/>
  <c r="E1862" i="2"/>
  <c r="E1861" i="2"/>
  <c r="E1860" i="2"/>
  <c r="E1859" i="2"/>
  <c r="E1858" i="2"/>
  <c r="E1857" i="2"/>
  <c r="E1856" i="2"/>
  <c r="E1855" i="2"/>
  <c r="E1854" i="2"/>
  <c r="E1853" i="2"/>
  <c r="E1852" i="2"/>
  <c r="E1851" i="2"/>
  <c r="E1850" i="2"/>
  <c r="E1849" i="2"/>
  <c r="E1848" i="2"/>
  <c r="E1847" i="2"/>
  <c r="E1846" i="2"/>
  <c r="E1845" i="2"/>
  <c r="E1844" i="2"/>
  <c r="E1843" i="2"/>
  <c r="E1842" i="2"/>
  <c r="E1841" i="2"/>
  <c r="E1840" i="2"/>
  <c r="E1839" i="2"/>
  <c r="E1838" i="2"/>
  <c r="E1837" i="2"/>
  <c r="E1836" i="2"/>
  <c r="E1835" i="2"/>
  <c r="E1834" i="2"/>
  <c r="E1833" i="2"/>
  <c r="E1832" i="2"/>
  <c r="E1831" i="2"/>
  <c r="E1830" i="2"/>
  <c r="E1829" i="2"/>
  <c r="E1828" i="2"/>
  <c r="E1827" i="2"/>
  <c r="E1826" i="2"/>
  <c r="E1825" i="2"/>
  <c r="E1824" i="2"/>
  <c r="E1823" i="2"/>
  <c r="E1822" i="2"/>
  <c r="E1821" i="2"/>
  <c r="E1820" i="2"/>
  <c r="E1819" i="2"/>
  <c r="E1818" i="2"/>
  <c r="E1817" i="2"/>
  <c r="E1816" i="2"/>
  <c r="E1815" i="2"/>
  <c r="E1814" i="2"/>
  <c r="E1813" i="2"/>
  <c r="E1812" i="2"/>
  <c r="E1811" i="2"/>
  <c r="E1810" i="2"/>
  <c r="E1809" i="2"/>
  <c r="E1808" i="2"/>
  <c r="E1807" i="2"/>
  <c r="E1806" i="2"/>
  <c r="E1805" i="2"/>
  <c r="E1804" i="2"/>
  <c r="E1803" i="2"/>
  <c r="E1802" i="2"/>
  <c r="E1801" i="2"/>
  <c r="E1800" i="2"/>
  <c r="E1799" i="2"/>
  <c r="E1798" i="2"/>
  <c r="E1797" i="2"/>
  <c r="E1796" i="2"/>
  <c r="E1795" i="2"/>
  <c r="E1794" i="2"/>
  <c r="E1793" i="2"/>
  <c r="E1792" i="2"/>
  <c r="E1791" i="2"/>
  <c r="E1790" i="2"/>
  <c r="E1789" i="2"/>
  <c r="E1788" i="2"/>
  <c r="E1787" i="2"/>
  <c r="E1786" i="2"/>
  <c r="E1785" i="2"/>
  <c r="E1784" i="2"/>
  <c r="E1783" i="2"/>
  <c r="E1782" i="2"/>
  <c r="E1781" i="2"/>
  <c r="E1780" i="2"/>
  <c r="E1779" i="2"/>
  <c r="E1778" i="2"/>
  <c r="E1777" i="2"/>
  <c r="E1776" i="2"/>
  <c r="E1775" i="2"/>
  <c r="E1774" i="2"/>
  <c r="E1773" i="2"/>
  <c r="E1772" i="2"/>
  <c r="E1771" i="2"/>
  <c r="E1770" i="2"/>
  <c r="E1769" i="2"/>
  <c r="E1768" i="2"/>
  <c r="E1767" i="2"/>
  <c r="E1766" i="2"/>
  <c r="E1765" i="2"/>
  <c r="E1764" i="2"/>
  <c r="E1763" i="2"/>
  <c r="E1762" i="2"/>
  <c r="E1761" i="2"/>
  <c r="E1760" i="2"/>
  <c r="E1759" i="2"/>
  <c r="E1758" i="2"/>
  <c r="E1757" i="2"/>
  <c r="E1756" i="2"/>
  <c r="E1755" i="2"/>
  <c r="E1754" i="2"/>
  <c r="E1753" i="2"/>
  <c r="E1752" i="2"/>
  <c r="E1751" i="2"/>
  <c r="E1750" i="2"/>
  <c r="E1749" i="2"/>
  <c r="E1748" i="2"/>
  <c r="E1747" i="2"/>
  <c r="E1746" i="2"/>
  <c r="E1745" i="2"/>
  <c r="E1744" i="2"/>
  <c r="E1743" i="2"/>
  <c r="E1742" i="2"/>
  <c r="E1741" i="2"/>
  <c r="E1740" i="2"/>
  <c r="E1739" i="2"/>
  <c r="E1738" i="2"/>
  <c r="E1737" i="2"/>
  <c r="E1736" i="2"/>
  <c r="E1735" i="2"/>
  <c r="E1734" i="2"/>
  <c r="E1733" i="2"/>
  <c r="E1732" i="2"/>
  <c r="E1731" i="2"/>
  <c r="E1730" i="2"/>
  <c r="E1729" i="2"/>
  <c r="E1728" i="2"/>
  <c r="E1727" i="2"/>
  <c r="E1726" i="2"/>
  <c r="E1725" i="2"/>
  <c r="E1724" i="2"/>
  <c r="E1723" i="2"/>
  <c r="E1722" i="2"/>
  <c r="E1721" i="2"/>
  <c r="E1720" i="2"/>
  <c r="E1719" i="2"/>
  <c r="E1718" i="2"/>
  <c r="E1717" i="2"/>
  <c r="E1716" i="2"/>
  <c r="E1715" i="2"/>
  <c r="E1714" i="2"/>
  <c r="E1713" i="2"/>
  <c r="E1712" i="2"/>
  <c r="E1711" i="2"/>
  <c r="E1710" i="2"/>
  <c r="E1709" i="2"/>
  <c r="E1708" i="2"/>
  <c r="E1707" i="2"/>
  <c r="E1706" i="2"/>
  <c r="E1705" i="2"/>
  <c r="E1704" i="2"/>
  <c r="E1703" i="2"/>
  <c r="E1702" i="2"/>
  <c r="E1701" i="2"/>
  <c r="E1700" i="2"/>
  <c r="E1699" i="2"/>
  <c r="E1698" i="2"/>
  <c r="E1697" i="2"/>
  <c r="E1696" i="2"/>
  <c r="E1695" i="2"/>
  <c r="E1694" i="2"/>
  <c r="E1693" i="2"/>
  <c r="E1692" i="2"/>
  <c r="E1691" i="2"/>
  <c r="E1690" i="2"/>
  <c r="E1689" i="2"/>
  <c r="E1688" i="2"/>
  <c r="E1687" i="2"/>
  <c r="E1686" i="2"/>
  <c r="E1685" i="2"/>
  <c r="E1684" i="2"/>
  <c r="E1683" i="2"/>
  <c r="E1682" i="2"/>
  <c r="E1681" i="2"/>
  <c r="E1680" i="2"/>
  <c r="E1679" i="2"/>
  <c r="E1678" i="2"/>
  <c r="E1677" i="2"/>
  <c r="E1676" i="2"/>
  <c r="E1675" i="2"/>
  <c r="E1674" i="2"/>
  <c r="E1673" i="2"/>
  <c r="E1672" i="2"/>
  <c r="E1671" i="2"/>
  <c r="E1670" i="2"/>
  <c r="E1669" i="2"/>
  <c r="E1668" i="2"/>
  <c r="E1667" i="2"/>
  <c r="E1666" i="2"/>
  <c r="E1665" i="2"/>
  <c r="E1664" i="2"/>
  <c r="E1663" i="2"/>
  <c r="E1662" i="2"/>
  <c r="E1661" i="2"/>
  <c r="E1660" i="2"/>
  <c r="E1659" i="2"/>
  <c r="E1658" i="2"/>
  <c r="E1657" i="2"/>
  <c r="E1656" i="2"/>
  <c r="E1655" i="2"/>
  <c r="E1654" i="2"/>
  <c r="E1653" i="2"/>
  <c r="E1652" i="2"/>
  <c r="E1651" i="2"/>
  <c r="E1650" i="2"/>
  <c r="E1649" i="2"/>
  <c r="E1648" i="2"/>
  <c r="E1647" i="2"/>
  <c r="E1646" i="2"/>
  <c r="E1645" i="2"/>
  <c r="E1644" i="2"/>
  <c r="E1643" i="2"/>
  <c r="E1642" i="2"/>
  <c r="E1641" i="2"/>
  <c r="E1640" i="2"/>
  <c r="E1639" i="2"/>
  <c r="E1638" i="2"/>
  <c r="E1637" i="2"/>
  <c r="E1636" i="2"/>
  <c r="E1635" i="2"/>
  <c r="E1634" i="2"/>
  <c r="E1633" i="2"/>
  <c r="E1632" i="2"/>
  <c r="E1631" i="2"/>
  <c r="E1630" i="2"/>
  <c r="E1629" i="2"/>
  <c r="E1628" i="2"/>
  <c r="E1627" i="2"/>
  <c r="E1626" i="2"/>
  <c r="E1625" i="2"/>
  <c r="E1624" i="2"/>
  <c r="E1623" i="2"/>
  <c r="E1622" i="2"/>
  <c r="E1621" i="2"/>
  <c r="E1620" i="2"/>
  <c r="E1619" i="2"/>
  <c r="E1618" i="2"/>
  <c r="E1617" i="2"/>
  <c r="E1616" i="2"/>
  <c r="E1615" i="2"/>
  <c r="E1614" i="2"/>
  <c r="E1613" i="2"/>
  <c r="E1612" i="2"/>
  <c r="E1611" i="2"/>
  <c r="E1610" i="2"/>
  <c r="E1609" i="2"/>
  <c r="E1608" i="2"/>
  <c r="E1607" i="2"/>
  <c r="E1606" i="2"/>
  <c r="E1605" i="2"/>
  <c r="E1604" i="2"/>
  <c r="E1603" i="2"/>
  <c r="E1602" i="2"/>
  <c r="E1601" i="2"/>
  <c r="E1600" i="2"/>
  <c r="E1599" i="2"/>
  <c r="E1598" i="2"/>
  <c r="E1597" i="2"/>
  <c r="E1596" i="2"/>
  <c r="E1595" i="2"/>
  <c r="E1594" i="2"/>
  <c r="E1593" i="2"/>
  <c r="E1592" i="2"/>
  <c r="E1591" i="2"/>
  <c r="E1590" i="2"/>
  <c r="E1589" i="2"/>
  <c r="E1588" i="2"/>
  <c r="E1587" i="2"/>
  <c r="E1586" i="2"/>
  <c r="E1585" i="2"/>
  <c r="E1584" i="2"/>
  <c r="E1583" i="2"/>
  <c r="E1582" i="2"/>
  <c r="E1581" i="2"/>
  <c r="E1580" i="2"/>
  <c r="E1579" i="2"/>
  <c r="E1578" i="2"/>
  <c r="E1577" i="2"/>
  <c r="E1576" i="2"/>
  <c r="E1575" i="2"/>
  <c r="E1574" i="2"/>
  <c r="E1573" i="2"/>
  <c r="E1572" i="2"/>
  <c r="E1571" i="2"/>
  <c r="E1570" i="2"/>
  <c r="E1569" i="2"/>
  <c r="E1568" i="2"/>
  <c r="E1567" i="2"/>
  <c r="E1566" i="2"/>
  <c r="E1565" i="2"/>
  <c r="E1564" i="2"/>
  <c r="E1563" i="2"/>
  <c r="E1562" i="2"/>
  <c r="E1561" i="2"/>
  <c r="E1560" i="2"/>
  <c r="E1559" i="2"/>
  <c r="E1558" i="2"/>
  <c r="E1557" i="2"/>
  <c r="E1556" i="2"/>
  <c r="E1555" i="2"/>
  <c r="E1554" i="2"/>
  <c r="E1553" i="2"/>
  <c r="E1552" i="2"/>
  <c r="E1551" i="2"/>
  <c r="E1550" i="2"/>
  <c r="E1549" i="2"/>
  <c r="E1548" i="2"/>
  <c r="E1547" i="2"/>
  <c r="E1546" i="2"/>
  <c r="E1545" i="2"/>
  <c r="E1544" i="2"/>
  <c r="E1543" i="2"/>
  <c r="E1542" i="2"/>
  <c r="E1541" i="2"/>
  <c r="E1540" i="2"/>
  <c r="E1539" i="2"/>
  <c r="E1538" i="2"/>
  <c r="E1537" i="2"/>
  <c r="E1536" i="2"/>
  <c r="E1535" i="2"/>
  <c r="E1534" i="2"/>
  <c r="E1533" i="2"/>
  <c r="E1532" i="2"/>
  <c r="E1531" i="2"/>
  <c r="E1530" i="2"/>
  <c r="E1529" i="2"/>
  <c r="E1528" i="2"/>
  <c r="E1527" i="2"/>
  <c r="E1526" i="2"/>
  <c r="E1525" i="2"/>
  <c r="E1524" i="2"/>
  <c r="E1523" i="2"/>
  <c r="E1522" i="2"/>
  <c r="E1521" i="2"/>
  <c r="E1520" i="2"/>
  <c r="E1519" i="2"/>
  <c r="E1518" i="2"/>
  <c r="E1517" i="2"/>
  <c r="E1516" i="2"/>
  <c r="E1515" i="2"/>
  <c r="E1514" i="2"/>
  <c r="E1513" i="2"/>
  <c r="E1512" i="2"/>
  <c r="E1511" i="2"/>
  <c r="E1510" i="2"/>
  <c r="E1509" i="2"/>
  <c r="E1508" i="2"/>
  <c r="E1507" i="2"/>
  <c r="E1506" i="2"/>
  <c r="E1505" i="2"/>
  <c r="E1504" i="2"/>
  <c r="E1503" i="2"/>
  <c r="E1502" i="2"/>
  <c r="E1501" i="2"/>
  <c r="E1500" i="2"/>
  <c r="E1499" i="2"/>
  <c r="E1498" i="2"/>
  <c r="E1497" i="2"/>
  <c r="E1496" i="2"/>
  <c r="E1495" i="2"/>
  <c r="E1494" i="2"/>
  <c r="E1493" i="2"/>
  <c r="E1492" i="2"/>
  <c r="E1491" i="2"/>
  <c r="E1490" i="2"/>
  <c r="E1489" i="2"/>
  <c r="E1488" i="2"/>
  <c r="E1487" i="2"/>
  <c r="E1486" i="2"/>
  <c r="E1485" i="2"/>
  <c r="E1484" i="2"/>
  <c r="E1483" i="2"/>
  <c r="E1482" i="2"/>
  <c r="E1481" i="2"/>
  <c r="E1480" i="2"/>
  <c r="E1479" i="2"/>
  <c r="E1478" i="2"/>
  <c r="E1477" i="2"/>
  <c r="E1476" i="2"/>
  <c r="E1475" i="2"/>
  <c r="E1474" i="2"/>
  <c r="E1473" i="2"/>
  <c r="E1472" i="2"/>
  <c r="E1471" i="2"/>
  <c r="E1470" i="2"/>
  <c r="E1469" i="2"/>
  <c r="E1468" i="2"/>
  <c r="E1467" i="2"/>
  <c r="E1466" i="2"/>
  <c r="E1465" i="2"/>
  <c r="E1464" i="2"/>
  <c r="E1463" i="2"/>
  <c r="E1462" i="2"/>
  <c r="E1461" i="2"/>
  <c r="E1460" i="2"/>
  <c r="E1459" i="2"/>
  <c r="E1458" i="2"/>
  <c r="E1457" i="2"/>
  <c r="E1456" i="2"/>
  <c r="E1455" i="2"/>
  <c r="E1454" i="2"/>
  <c r="E1453" i="2"/>
  <c r="E1452" i="2"/>
  <c r="E1451" i="2"/>
  <c r="E1450" i="2"/>
  <c r="E1449" i="2"/>
  <c r="E1448" i="2"/>
  <c r="E1447" i="2"/>
  <c r="E1446" i="2"/>
  <c r="E1445" i="2"/>
  <c r="E1444" i="2"/>
  <c r="E1443" i="2"/>
  <c r="E1442" i="2"/>
  <c r="E1441" i="2"/>
  <c r="E1440" i="2"/>
  <c r="E1439" i="2"/>
  <c r="E1438" i="2"/>
  <c r="E1437" i="2"/>
  <c r="E1436" i="2"/>
  <c r="E1435" i="2"/>
  <c r="E1434" i="2"/>
  <c r="E1433" i="2"/>
  <c r="E1432" i="2"/>
  <c r="E1431" i="2"/>
  <c r="E1430" i="2"/>
  <c r="E1429" i="2"/>
  <c r="E1428" i="2"/>
  <c r="E1427" i="2"/>
  <c r="E1426" i="2"/>
  <c r="E1425" i="2"/>
  <c r="E1424" i="2"/>
  <c r="E1423" i="2"/>
  <c r="E1422" i="2"/>
  <c r="E1421" i="2"/>
  <c r="E1420" i="2"/>
  <c r="E1419" i="2"/>
  <c r="E1418" i="2"/>
  <c r="E1417" i="2"/>
  <c r="E1416" i="2"/>
  <c r="E1415" i="2"/>
  <c r="E1414" i="2"/>
  <c r="E1413" i="2"/>
  <c r="E1412" i="2"/>
  <c r="E1411" i="2"/>
  <c r="E1410" i="2"/>
  <c r="E1409" i="2"/>
  <c r="E1408" i="2"/>
  <c r="E1407" i="2"/>
  <c r="E1406" i="2"/>
  <c r="E1405" i="2"/>
  <c r="E1404" i="2"/>
  <c r="E1403" i="2"/>
  <c r="E1402" i="2"/>
  <c r="E1401" i="2"/>
  <c r="E1400" i="2"/>
  <c r="E1399" i="2"/>
  <c r="E1398" i="2"/>
  <c r="E1397" i="2"/>
  <c r="E1396" i="2"/>
  <c r="E1395" i="2"/>
  <c r="E1394" i="2"/>
  <c r="E1393" i="2"/>
  <c r="E1392" i="2"/>
  <c r="E1391" i="2"/>
  <c r="E1390" i="2"/>
  <c r="E1389" i="2"/>
  <c r="E1388" i="2"/>
  <c r="E1387" i="2"/>
  <c r="E1386" i="2"/>
  <c r="E1385" i="2"/>
  <c r="E1384" i="2"/>
  <c r="E1383" i="2"/>
  <c r="E1382" i="2"/>
  <c r="E1381" i="2"/>
  <c r="E1380" i="2"/>
  <c r="E1379" i="2"/>
  <c r="E1378" i="2"/>
  <c r="E1377" i="2"/>
  <c r="E1376" i="2"/>
  <c r="E1375" i="2"/>
  <c r="E1374" i="2"/>
  <c r="E1373" i="2"/>
  <c r="E1372" i="2"/>
  <c r="E1371" i="2"/>
  <c r="E1370" i="2"/>
  <c r="E1369" i="2"/>
  <c r="E1368" i="2"/>
  <c r="E1367" i="2"/>
  <c r="E1366" i="2"/>
  <c r="E1365" i="2"/>
  <c r="E1364" i="2"/>
  <c r="E1363" i="2"/>
  <c r="E1362" i="2"/>
  <c r="E1361" i="2"/>
  <c r="E1360" i="2"/>
  <c r="E1359" i="2"/>
  <c r="E1358" i="2"/>
  <c r="E1357" i="2"/>
  <c r="E1356" i="2"/>
  <c r="E1355" i="2"/>
  <c r="E1354" i="2"/>
  <c r="E1353" i="2"/>
  <c r="E1352" i="2"/>
  <c r="E1351" i="2"/>
  <c r="E1350" i="2"/>
  <c r="E1349" i="2"/>
  <c r="E1348" i="2"/>
  <c r="E1347" i="2"/>
  <c r="E1346" i="2"/>
  <c r="E1345" i="2"/>
  <c r="E1344" i="2"/>
  <c r="E1343" i="2"/>
  <c r="E1342" i="2"/>
  <c r="E1341" i="2"/>
  <c r="E1340" i="2"/>
  <c r="E1339" i="2"/>
  <c r="E1338" i="2"/>
  <c r="E1337" i="2"/>
  <c r="E1336" i="2"/>
  <c r="E1335" i="2"/>
  <c r="E1334" i="2"/>
  <c r="E1333" i="2"/>
  <c r="E1332" i="2"/>
  <c r="E1331" i="2"/>
  <c r="E1330" i="2"/>
  <c r="E1329" i="2"/>
  <c r="E1328" i="2"/>
  <c r="E1327" i="2"/>
  <c r="E1326" i="2"/>
  <c r="E1325" i="2"/>
  <c r="E1324" i="2"/>
  <c r="E1323" i="2"/>
  <c r="E1322" i="2"/>
  <c r="E1321" i="2"/>
  <c r="E1320" i="2"/>
  <c r="E1319" i="2"/>
  <c r="E1318" i="2"/>
  <c r="E1317" i="2"/>
  <c r="E1316" i="2"/>
  <c r="E1315" i="2"/>
  <c r="E1314" i="2"/>
  <c r="E1313" i="2"/>
  <c r="E1312" i="2"/>
  <c r="E1311" i="2"/>
  <c r="E1310" i="2"/>
  <c r="E1309" i="2"/>
  <c r="E1308" i="2"/>
  <c r="E1307" i="2"/>
  <c r="E1306" i="2"/>
  <c r="E1305" i="2"/>
  <c r="E1304" i="2"/>
  <c r="E1303" i="2"/>
  <c r="E1302" i="2"/>
  <c r="E1301" i="2"/>
  <c r="E1300" i="2"/>
  <c r="E1299" i="2"/>
  <c r="E1298" i="2"/>
  <c r="E1297" i="2"/>
  <c r="E1296" i="2"/>
  <c r="E1295" i="2"/>
  <c r="E1294" i="2"/>
  <c r="E1293" i="2"/>
  <c r="E1292" i="2"/>
  <c r="E1291" i="2"/>
  <c r="E1290" i="2"/>
  <c r="E1289" i="2"/>
  <c r="E1288" i="2"/>
  <c r="E1287" i="2"/>
  <c r="E1286" i="2"/>
  <c r="E1285" i="2"/>
  <c r="E1284" i="2"/>
  <c r="E1283" i="2"/>
  <c r="E1282" i="2"/>
  <c r="E1281" i="2"/>
  <c r="E1280" i="2"/>
  <c r="E1279" i="2"/>
  <c r="E1278" i="2"/>
  <c r="E1277" i="2"/>
  <c r="E1276" i="2"/>
  <c r="E1275" i="2"/>
  <c r="E1274" i="2"/>
  <c r="E1273" i="2"/>
  <c r="E1272" i="2"/>
  <c r="E1271" i="2"/>
  <c r="E1270" i="2"/>
  <c r="E1269" i="2"/>
  <c r="E1268" i="2"/>
  <c r="E1267" i="2"/>
  <c r="E1266" i="2"/>
  <c r="E1265" i="2"/>
  <c r="E1264" i="2"/>
  <c r="E1263" i="2"/>
  <c r="E1262" i="2"/>
  <c r="E1261" i="2"/>
  <c r="E1260" i="2"/>
  <c r="E1259" i="2"/>
  <c r="E1258" i="2"/>
  <c r="E1257" i="2"/>
  <c r="E1256" i="2"/>
  <c r="E1255" i="2"/>
  <c r="E1254" i="2"/>
  <c r="E1253" i="2"/>
  <c r="E1252" i="2"/>
  <c r="E1251" i="2"/>
  <c r="E1250" i="2"/>
  <c r="E1249" i="2"/>
  <c r="E1248" i="2"/>
  <c r="E1247" i="2"/>
  <c r="E1246" i="2"/>
  <c r="E1245" i="2"/>
  <c r="E1244" i="2"/>
  <c r="E1243" i="2"/>
  <c r="E1242" i="2"/>
  <c r="E1241" i="2"/>
  <c r="E1240" i="2"/>
  <c r="E1239" i="2"/>
  <c r="E1238" i="2"/>
  <c r="E1237" i="2"/>
  <c r="E1236" i="2"/>
  <c r="E1235" i="2"/>
  <c r="E1234" i="2"/>
  <c r="E1233" i="2"/>
  <c r="E1232" i="2"/>
  <c r="E1231" i="2"/>
  <c r="E1230" i="2"/>
  <c r="E1229" i="2"/>
  <c r="E1228" i="2"/>
  <c r="E1227" i="2"/>
  <c r="E1226" i="2"/>
  <c r="E1225" i="2"/>
  <c r="E1224" i="2"/>
  <c r="E1223" i="2"/>
  <c r="E1222" i="2"/>
  <c r="E1221" i="2"/>
  <c r="E1220" i="2"/>
  <c r="E1219" i="2"/>
  <c r="E1218" i="2"/>
  <c r="E1217" i="2"/>
  <c r="E1216" i="2"/>
  <c r="E1215" i="2"/>
  <c r="E1214" i="2"/>
  <c r="E1213" i="2"/>
  <c r="E1212" i="2"/>
  <c r="E1211" i="2"/>
  <c r="E1210" i="2"/>
  <c r="E1209" i="2"/>
  <c r="E1208" i="2"/>
  <c r="E1207" i="2"/>
  <c r="E1206" i="2"/>
  <c r="E1205" i="2"/>
  <c r="E1204" i="2"/>
  <c r="E1203" i="2"/>
  <c r="E1202" i="2"/>
  <c r="E1201" i="2"/>
  <c r="E1200" i="2"/>
  <c r="E1199" i="2"/>
  <c r="E1198" i="2"/>
  <c r="E1197" i="2"/>
  <c r="E1196" i="2"/>
  <c r="E1195" i="2"/>
  <c r="E1194" i="2"/>
  <c r="E1193" i="2"/>
  <c r="E1192" i="2"/>
  <c r="E1191" i="2"/>
  <c r="E1190" i="2"/>
  <c r="E1189" i="2"/>
  <c r="E1188" i="2"/>
  <c r="E1187" i="2"/>
  <c r="E1186" i="2"/>
  <c r="E1185" i="2"/>
  <c r="E1184" i="2"/>
  <c r="E1183" i="2"/>
  <c r="E1182" i="2"/>
  <c r="E1181" i="2"/>
  <c r="E1180" i="2"/>
  <c r="E1179" i="2"/>
  <c r="E1178" i="2"/>
  <c r="E1177" i="2"/>
  <c r="E1176" i="2"/>
  <c r="E1175" i="2"/>
  <c r="E1174" i="2"/>
  <c r="E1173" i="2"/>
  <c r="E1172" i="2"/>
  <c r="E1171" i="2"/>
  <c r="E1170" i="2"/>
  <c r="E1169" i="2"/>
  <c r="E1168" i="2"/>
  <c r="E1167" i="2"/>
  <c r="E1166" i="2"/>
  <c r="E1165" i="2"/>
  <c r="E1164" i="2"/>
  <c r="E1163" i="2"/>
  <c r="E1162" i="2"/>
  <c r="E1161" i="2"/>
  <c r="E1160" i="2"/>
  <c r="E1159" i="2"/>
  <c r="E1158" i="2"/>
  <c r="E1157" i="2"/>
  <c r="E1156" i="2"/>
  <c r="E1155" i="2"/>
  <c r="E1154" i="2"/>
  <c r="E1153" i="2"/>
  <c r="E1152" i="2"/>
  <c r="E1151" i="2"/>
  <c r="E1150" i="2"/>
  <c r="E1149" i="2"/>
  <c r="E1148" i="2"/>
  <c r="E1147" i="2"/>
  <c r="E1146" i="2"/>
  <c r="E1145" i="2"/>
  <c r="E1144" i="2"/>
  <c r="E1143" i="2"/>
  <c r="E1142" i="2"/>
  <c r="E1141" i="2"/>
  <c r="E1140" i="2"/>
  <c r="E1139" i="2"/>
  <c r="E1138" i="2"/>
  <c r="E1137" i="2"/>
  <c r="E1136" i="2"/>
  <c r="E1135" i="2"/>
  <c r="E1134" i="2"/>
  <c r="E1133" i="2"/>
  <c r="E1132" i="2"/>
  <c r="E1131" i="2"/>
  <c r="E1130" i="2"/>
  <c r="E1129" i="2"/>
  <c r="E1128" i="2"/>
  <c r="E1127" i="2"/>
  <c r="E1126" i="2"/>
  <c r="E1125" i="2"/>
  <c r="E1124" i="2"/>
  <c r="E1123" i="2"/>
  <c r="E1122" i="2"/>
  <c r="E1121" i="2"/>
  <c r="E1120" i="2"/>
  <c r="E1119" i="2"/>
  <c r="E1118" i="2"/>
  <c r="E1117" i="2"/>
  <c r="E1116" i="2"/>
  <c r="E1115" i="2"/>
  <c r="E1114" i="2"/>
  <c r="E1113" i="2"/>
  <c r="E1112" i="2"/>
  <c r="E1111" i="2"/>
  <c r="E1110" i="2"/>
  <c r="E1109" i="2"/>
  <c r="E1108" i="2"/>
  <c r="E1107" i="2"/>
  <c r="E1106" i="2"/>
  <c r="E1105" i="2"/>
  <c r="E1104" i="2"/>
  <c r="E1103" i="2"/>
  <c r="E1102" i="2"/>
  <c r="E1101" i="2"/>
  <c r="E1100" i="2"/>
  <c r="E1099" i="2"/>
  <c r="E1098" i="2"/>
  <c r="E1097" i="2"/>
  <c r="E1096" i="2"/>
  <c r="E1095" i="2"/>
  <c r="E1094" i="2"/>
  <c r="E1093" i="2"/>
  <c r="E1092" i="2"/>
  <c r="E1091" i="2"/>
  <c r="E1090" i="2"/>
  <c r="E1089" i="2"/>
  <c r="E1088" i="2"/>
  <c r="E1087" i="2"/>
  <c r="E1086" i="2"/>
  <c r="E1085" i="2"/>
  <c r="E1084" i="2"/>
  <c r="E1083" i="2"/>
  <c r="E1082" i="2"/>
  <c r="E1081" i="2"/>
  <c r="E1080" i="2"/>
  <c r="E1079" i="2"/>
  <c r="E1078" i="2"/>
  <c r="E1077" i="2"/>
  <c r="E1076" i="2"/>
  <c r="E1075" i="2"/>
  <c r="E1074" i="2"/>
  <c r="E1073" i="2"/>
  <c r="E1072" i="2"/>
  <c r="E1071" i="2"/>
  <c r="E1070" i="2"/>
  <c r="E1069" i="2"/>
  <c r="E1068" i="2"/>
  <c r="E1067" i="2"/>
  <c r="E1066" i="2"/>
  <c r="E1065" i="2"/>
  <c r="E1064" i="2"/>
  <c r="E1063" i="2"/>
  <c r="E1062" i="2"/>
  <c r="E1061" i="2"/>
  <c r="E1060" i="2"/>
  <c r="E1059" i="2"/>
  <c r="E1058" i="2"/>
  <c r="E1057" i="2"/>
  <c r="E1056" i="2"/>
  <c r="E1055" i="2"/>
  <c r="E1054" i="2"/>
  <c r="E1053" i="2"/>
  <c r="E1052" i="2"/>
  <c r="E1051" i="2"/>
  <c r="E1050" i="2"/>
  <c r="E1049" i="2"/>
  <c r="E1048" i="2"/>
  <c r="E1047" i="2"/>
  <c r="E1046" i="2"/>
  <c r="E1045" i="2"/>
  <c r="E1044" i="2"/>
  <c r="E1043" i="2"/>
  <c r="E1042" i="2"/>
  <c r="E1041" i="2"/>
  <c r="E1040" i="2"/>
  <c r="E1039" i="2"/>
  <c r="E1038" i="2"/>
  <c r="E1037" i="2"/>
  <c r="E1036" i="2"/>
  <c r="E1035" i="2"/>
  <c r="E1034" i="2"/>
  <c r="E1033" i="2"/>
  <c r="E1032" i="2"/>
  <c r="E1031" i="2"/>
  <c r="E1030" i="2"/>
  <c r="E1029" i="2"/>
  <c r="E1028" i="2"/>
  <c r="E1027" i="2"/>
  <c r="E1026" i="2"/>
  <c r="E1025" i="2"/>
  <c r="E1024" i="2"/>
  <c r="E1023" i="2"/>
  <c r="E1022" i="2"/>
  <c r="E1021" i="2"/>
  <c r="E1020" i="2"/>
  <c r="E1019" i="2"/>
  <c r="E1018" i="2"/>
  <c r="E1017" i="2"/>
  <c r="E1016" i="2"/>
  <c r="E1015" i="2"/>
  <c r="E1014" i="2"/>
  <c r="E1013" i="2"/>
  <c r="E1012" i="2"/>
  <c r="E1011" i="2"/>
  <c r="E1010" i="2"/>
  <c r="E1009" i="2"/>
  <c r="E1008" i="2"/>
  <c r="E1007" i="2"/>
  <c r="E1006" i="2"/>
  <c r="E1005" i="2"/>
  <c r="E1004" i="2"/>
  <c r="E1003" i="2"/>
  <c r="E1002" i="2"/>
  <c r="E1001" i="2"/>
  <c r="E1000" i="2"/>
  <c r="E999" i="2"/>
  <c r="E998" i="2"/>
  <c r="E997" i="2"/>
  <c r="E996" i="2"/>
  <c r="E995" i="2"/>
  <c r="E994" i="2"/>
  <c r="E993" i="2"/>
  <c r="E992" i="2"/>
  <c r="E991" i="2"/>
  <c r="E990" i="2"/>
  <c r="E989" i="2"/>
  <c r="E988" i="2"/>
  <c r="E987" i="2"/>
  <c r="E986" i="2"/>
  <c r="E985" i="2"/>
  <c r="E984" i="2"/>
  <c r="E983" i="2"/>
  <c r="E982" i="2"/>
  <c r="E981" i="2"/>
  <c r="E980" i="2"/>
  <c r="E979" i="2"/>
  <c r="E978" i="2"/>
  <c r="E977" i="2"/>
  <c r="E976" i="2"/>
  <c r="E975" i="2"/>
  <c r="E974" i="2"/>
  <c r="E973" i="2"/>
  <c r="E972" i="2"/>
  <c r="E971" i="2"/>
  <c r="E970" i="2"/>
  <c r="E969" i="2"/>
  <c r="E968" i="2"/>
  <c r="E967" i="2"/>
  <c r="E966" i="2"/>
  <c r="E965" i="2"/>
  <c r="E964" i="2"/>
  <c r="E963" i="2"/>
  <c r="E962" i="2"/>
  <c r="E961" i="2"/>
  <c r="E960" i="2"/>
  <c r="E959" i="2"/>
  <c r="E958" i="2"/>
  <c r="E957" i="2"/>
  <c r="E956" i="2"/>
  <c r="E955" i="2"/>
  <c r="E954" i="2"/>
  <c r="E953" i="2"/>
  <c r="E952" i="2"/>
  <c r="E951" i="2"/>
  <c r="E950" i="2"/>
  <c r="E949" i="2"/>
  <c r="E948" i="2"/>
  <c r="E947" i="2"/>
  <c r="E946" i="2"/>
  <c r="E945" i="2"/>
  <c r="E944" i="2"/>
  <c r="E943" i="2"/>
  <c r="E942" i="2"/>
  <c r="E941" i="2"/>
  <c r="E940" i="2"/>
  <c r="E939" i="2"/>
  <c r="E938" i="2"/>
  <c r="E937" i="2"/>
  <c r="E936" i="2"/>
  <c r="E935" i="2"/>
  <c r="E934" i="2"/>
  <c r="E933" i="2"/>
  <c r="E932" i="2"/>
  <c r="E931" i="2"/>
  <c r="E930" i="2"/>
  <c r="E929" i="2"/>
  <c r="E928" i="2"/>
  <c r="E927" i="2"/>
  <c r="E926" i="2"/>
  <c r="E925" i="2"/>
  <c r="E924" i="2"/>
  <c r="E923" i="2"/>
  <c r="E922" i="2"/>
  <c r="E921" i="2"/>
  <c r="E920" i="2"/>
  <c r="E919" i="2"/>
  <c r="E918" i="2"/>
  <c r="E917" i="2"/>
  <c r="E916" i="2"/>
  <c r="E915" i="2"/>
  <c r="E914" i="2"/>
  <c r="E913" i="2"/>
  <c r="E912" i="2"/>
  <c r="E911" i="2"/>
  <c r="E910" i="2"/>
  <c r="E909" i="2"/>
  <c r="E908" i="2"/>
  <c r="E907" i="2"/>
  <c r="E906" i="2"/>
  <c r="E905" i="2"/>
  <c r="E904" i="2"/>
  <c r="E903" i="2"/>
  <c r="E902" i="2"/>
  <c r="E901" i="2"/>
  <c r="E900" i="2"/>
  <c r="E899" i="2"/>
  <c r="E898" i="2"/>
  <c r="E897" i="2"/>
  <c r="E896" i="2"/>
  <c r="E895" i="2"/>
  <c r="E894" i="2"/>
  <c r="E893" i="2"/>
  <c r="E892" i="2"/>
  <c r="E891" i="2"/>
  <c r="E890" i="2"/>
  <c r="E889" i="2"/>
  <c r="E888" i="2"/>
  <c r="E887" i="2"/>
  <c r="E886" i="2"/>
  <c r="E885" i="2"/>
  <c r="E884" i="2"/>
  <c r="E883" i="2"/>
  <c r="E882" i="2"/>
  <c r="E881" i="2"/>
  <c r="E880" i="2"/>
  <c r="E879" i="2"/>
  <c r="E878" i="2"/>
  <c r="E877" i="2"/>
  <c r="E876" i="2"/>
  <c r="E875" i="2"/>
  <c r="E874" i="2"/>
  <c r="E873" i="2"/>
  <c r="E872" i="2"/>
  <c r="E871" i="2"/>
  <c r="E870" i="2"/>
  <c r="E869" i="2"/>
  <c r="E868" i="2"/>
  <c r="E867" i="2"/>
  <c r="E866" i="2"/>
  <c r="E865" i="2"/>
  <c r="E864" i="2"/>
  <c r="E863" i="2"/>
  <c r="E862" i="2"/>
  <c r="E861" i="2"/>
  <c r="E860" i="2"/>
  <c r="E859" i="2"/>
  <c r="E858" i="2"/>
  <c r="E857" i="2"/>
  <c r="E856" i="2"/>
  <c r="E855" i="2"/>
  <c r="E854" i="2"/>
  <c r="E853" i="2"/>
  <c r="E852" i="2"/>
  <c r="E851" i="2"/>
  <c r="E850" i="2"/>
  <c r="E849" i="2"/>
  <c r="E848" i="2"/>
  <c r="E847" i="2"/>
  <c r="E846" i="2"/>
  <c r="E845" i="2"/>
  <c r="E844" i="2"/>
  <c r="E843" i="2"/>
  <c r="E842" i="2"/>
  <c r="E841" i="2"/>
  <c r="E840" i="2"/>
  <c r="E839" i="2"/>
  <c r="E838" i="2"/>
  <c r="E837" i="2"/>
  <c r="E836" i="2"/>
  <c r="E835" i="2"/>
  <c r="E834" i="2"/>
  <c r="E833" i="2"/>
  <c r="E832" i="2"/>
  <c r="E831" i="2"/>
  <c r="E830" i="2"/>
  <c r="E829" i="2"/>
  <c r="E828" i="2"/>
  <c r="E827" i="2"/>
  <c r="E826" i="2"/>
  <c r="E825" i="2"/>
  <c r="E824" i="2"/>
  <c r="E823" i="2"/>
  <c r="E822" i="2"/>
  <c r="E821" i="2"/>
  <c r="E820" i="2"/>
  <c r="E819" i="2"/>
  <c r="E818" i="2"/>
  <c r="E817" i="2"/>
  <c r="E816" i="2"/>
  <c r="E815" i="2"/>
  <c r="E814" i="2"/>
  <c r="E813" i="2"/>
  <c r="E812" i="2"/>
  <c r="E811" i="2"/>
  <c r="E810" i="2"/>
  <c r="E809" i="2"/>
  <c r="E808" i="2"/>
  <c r="E807" i="2"/>
  <c r="E806" i="2"/>
  <c r="E805" i="2"/>
  <c r="E804" i="2"/>
  <c r="E803" i="2"/>
  <c r="E802" i="2"/>
  <c r="E801" i="2"/>
  <c r="E800" i="2"/>
  <c r="E799" i="2"/>
  <c r="E798" i="2"/>
  <c r="E797" i="2"/>
  <c r="E796" i="2"/>
  <c r="E795" i="2"/>
  <c r="E794" i="2"/>
  <c r="E793" i="2"/>
  <c r="E792" i="2"/>
  <c r="E791" i="2"/>
  <c r="E790" i="2"/>
  <c r="E789" i="2"/>
  <c r="E788" i="2"/>
  <c r="E787" i="2"/>
  <c r="E786" i="2"/>
  <c r="E785" i="2"/>
  <c r="E784" i="2"/>
  <c r="E783" i="2"/>
  <c r="E782" i="2"/>
  <c r="E781" i="2"/>
  <c r="E780" i="2"/>
  <c r="E779" i="2"/>
  <c r="E778" i="2"/>
  <c r="E777" i="2"/>
  <c r="E776" i="2"/>
  <c r="E775" i="2"/>
  <c r="E774" i="2"/>
  <c r="E773" i="2"/>
  <c r="E772" i="2"/>
  <c r="E771" i="2"/>
  <c r="E770" i="2"/>
  <c r="E769" i="2"/>
  <c r="E768" i="2"/>
  <c r="E767" i="2"/>
  <c r="E766" i="2"/>
  <c r="E765" i="2"/>
  <c r="E764" i="2"/>
  <c r="E763" i="2"/>
  <c r="E762" i="2"/>
  <c r="E761" i="2"/>
  <c r="E760" i="2"/>
  <c r="E759" i="2"/>
  <c r="E758" i="2"/>
  <c r="E757" i="2"/>
  <c r="E756" i="2"/>
  <c r="E755" i="2"/>
  <c r="E754" i="2"/>
  <c r="E753" i="2"/>
  <c r="E752" i="2"/>
  <c r="E751" i="2"/>
  <c r="E750" i="2"/>
  <c r="E749" i="2"/>
  <c r="E748" i="2"/>
  <c r="E747" i="2"/>
  <c r="E746" i="2"/>
  <c r="E745" i="2"/>
  <c r="E744" i="2"/>
  <c r="E743" i="2"/>
  <c r="E742" i="2"/>
  <c r="E741" i="2"/>
  <c r="E740" i="2"/>
  <c r="E739" i="2"/>
  <c r="E738" i="2"/>
  <c r="E737" i="2"/>
  <c r="E736" i="2"/>
  <c r="E735" i="2"/>
  <c r="E734" i="2"/>
  <c r="E733" i="2"/>
  <c r="E732" i="2"/>
  <c r="E731" i="2"/>
  <c r="E730" i="2"/>
  <c r="E729" i="2"/>
  <c r="E728" i="2"/>
  <c r="E727" i="2"/>
  <c r="E726" i="2"/>
  <c r="E725" i="2"/>
  <c r="E724" i="2"/>
  <c r="E723" i="2"/>
  <c r="E722" i="2"/>
  <c r="E721" i="2"/>
  <c r="E720" i="2"/>
  <c r="E719" i="2"/>
  <c r="E718" i="2"/>
  <c r="E717" i="2"/>
  <c r="E716" i="2"/>
  <c r="E715" i="2"/>
  <c r="E714" i="2"/>
  <c r="E713" i="2"/>
  <c r="E712" i="2"/>
  <c r="E711" i="2"/>
  <c r="E710" i="2"/>
  <c r="E709" i="2"/>
  <c r="E708" i="2"/>
  <c r="E707" i="2"/>
  <c r="E706" i="2"/>
  <c r="E705" i="2"/>
  <c r="E704" i="2"/>
  <c r="E703" i="2"/>
  <c r="E702" i="2"/>
  <c r="E701" i="2"/>
  <c r="E700" i="2"/>
  <c r="E699" i="2"/>
  <c r="E698" i="2"/>
  <c r="E697" i="2"/>
  <c r="E696" i="2"/>
  <c r="E695" i="2"/>
  <c r="E694" i="2"/>
  <c r="E693" i="2"/>
  <c r="E692" i="2"/>
  <c r="E691" i="2"/>
  <c r="E690" i="2"/>
  <c r="E689" i="2"/>
  <c r="E688" i="2"/>
  <c r="E687" i="2"/>
  <c r="E686" i="2"/>
  <c r="E685" i="2"/>
  <c r="E684" i="2"/>
  <c r="E683" i="2"/>
  <c r="E682" i="2"/>
  <c r="E681" i="2"/>
  <c r="E680" i="2"/>
  <c r="E679" i="2"/>
  <c r="E678" i="2"/>
  <c r="E677" i="2"/>
  <c r="E676" i="2"/>
  <c r="E675" i="2"/>
  <c r="E674" i="2"/>
  <c r="E673" i="2"/>
  <c r="E672" i="2"/>
  <c r="E671" i="2"/>
  <c r="E670" i="2"/>
  <c r="E669" i="2"/>
  <c r="E668" i="2"/>
  <c r="E667" i="2"/>
  <c r="E666" i="2"/>
  <c r="E665" i="2"/>
  <c r="E664" i="2"/>
  <c r="E663" i="2"/>
  <c r="E662" i="2"/>
  <c r="E661" i="2"/>
  <c r="E660" i="2"/>
  <c r="E659" i="2"/>
  <c r="E658" i="2"/>
  <c r="E657" i="2"/>
  <c r="E656" i="2"/>
  <c r="E655" i="2"/>
  <c r="E654" i="2"/>
  <c r="E653" i="2"/>
  <c r="E652" i="2"/>
  <c r="E651" i="2"/>
  <c r="E650" i="2"/>
  <c r="E649" i="2"/>
  <c r="E648" i="2"/>
  <c r="E647" i="2"/>
  <c r="E646" i="2"/>
  <c r="E645" i="2"/>
  <c r="E644" i="2"/>
  <c r="E643" i="2"/>
  <c r="E642" i="2"/>
  <c r="E641" i="2"/>
  <c r="E640" i="2"/>
  <c r="E639" i="2"/>
  <c r="E638" i="2"/>
  <c r="E637" i="2"/>
  <c r="E636" i="2"/>
  <c r="E635" i="2"/>
  <c r="E634" i="2"/>
  <c r="E633" i="2"/>
  <c r="E632" i="2"/>
  <c r="E631" i="2"/>
  <c r="E630" i="2"/>
  <c r="E629" i="2"/>
  <c r="E628" i="2"/>
  <c r="E627" i="2"/>
  <c r="E626" i="2"/>
  <c r="E625" i="2"/>
  <c r="E624" i="2"/>
  <c r="E623" i="2"/>
  <c r="E622" i="2"/>
  <c r="E621" i="2"/>
  <c r="E620" i="2"/>
  <c r="E619" i="2"/>
  <c r="E618" i="2"/>
  <c r="E617" i="2"/>
  <c r="E616" i="2"/>
  <c r="E615" i="2"/>
  <c r="E614" i="2"/>
  <c r="E613" i="2"/>
  <c r="E612" i="2"/>
  <c r="E611" i="2"/>
  <c r="E610" i="2"/>
  <c r="E609" i="2"/>
  <c r="E608" i="2"/>
  <c r="E607" i="2"/>
  <c r="E606" i="2"/>
  <c r="E605" i="2"/>
  <c r="E604" i="2"/>
  <c r="E603" i="2"/>
  <c r="E602" i="2"/>
  <c r="E601" i="2"/>
  <c r="E600" i="2"/>
  <c r="E599" i="2"/>
  <c r="E598" i="2"/>
  <c r="E597" i="2"/>
  <c r="E596" i="2"/>
  <c r="E595" i="2"/>
  <c r="E594" i="2"/>
  <c r="E593" i="2"/>
  <c r="E592" i="2"/>
  <c r="E591" i="2"/>
  <c r="E590" i="2"/>
  <c r="E589" i="2"/>
  <c r="E588" i="2"/>
  <c r="E587" i="2"/>
  <c r="E586" i="2"/>
  <c r="E585" i="2"/>
  <c r="E584" i="2"/>
  <c r="E583" i="2"/>
  <c r="E582" i="2"/>
  <c r="E581" i="2"/>
  <c r="E580" i="2"/>
  <c r="E579" i="2"/>
  <c r="E578" i="2"/>
  <c r="E577" i="2"/>
  <c r="E576" i="2"/>
  <c r="E575" i="2"/>
  <c r="E574" i="2"/>
  <c r="E573" i="2"/>
  <c r="E572" i="2"/>
  <c r="E571" i="2"/>
  <c r="E570" i="2"/>
  <c r="E569" i="2"/>
  <c r="E568" i="2"/>
  <c r="E567" i="2"/>
  <c r="E566" i="2"/>
  <c r="E565" i="2"/>
  <c r="E564" i="2"/>
  <c r="E563" i="2"/>
  <c r="E562" i="2"/>
  <c r="E561" i="2"/>
  <c r="E560" i="2"/>
  <c r="E559" i="2"/>
  <c r="E558" i="2"/>
  <c r="E557" i="2"/>
  <c r="E556" i="2"/>
  <c r="E555" i="2"/>
  <c r="E554" i="2"/>
  <c r="E553" i="2"/>
  <c r="E552" i="2"/>
  <c r="E551" i="2"/>
  <c r="E550" i="2"/>
  <c r="E549" i="2"/>
  <c r="E548" i="2"/>
  <c r="E547" i="2"/>
  <c r="E546" i="2"/>
  <c r="E545" i="2"/>
  <c r="E544" i="2"/>
  <c r="E543" i="2"/>
  <c r="E542" i="2"/>
  <c r="E541" i="2"/>
  <c r="E540" i="2"/>
  <c r="E539" i="2"/>
  <c r="E538" i="2"/>
  <c r="E537" i="2"/>
  <c r="E536" i="2"/>
  <c r="E535" i="2"/>
  <c r="E534" i="2"/>
  <c r="E533" i="2"/>
  <c r="E532" i="2"/>
  <c r="E531" i="2"/>
  <c r="E530" i="2"/>
  <c r="E529" i="2"/>
  <c r="E528" i="2"/>
  <c r="E527" i="2"/>
  <c r="E526" i="2"/>
  <c r="E525" i="2"/>
  <c r="E524" i="2"/>
  <c r="E523" i="2"/>
  <c r="E522" i="2"/>
  <c r="E521" i="2"/>
  <c r="E520" i="2"/>
  <c r="E519" i="2"/>
  <c r="E518" i="2"/>
  <c r="E517" i="2"/>
  <c r="E516" i="2"/>
  <c r="E515" i="2"/>
  <c r="E514" i="2"/>
  <c r="E513" i="2"/>
  <c r="E512" i="2"/>
  <c r="E511" i="2"/>
  <c r="E510" i="2"/>
  <c r="E509" i="2"/>
  <c r="E508" i="2"/>
  <c r="E507" i="2"/>
  <c r="E506" i="2"/>
  <c r="E505" i="2"/>
  <c r="E504" i="2"/>
  <c r="E503" i="2"/>
  <c r="E502" i="2"/>
  <c r="E501" i="2"/>
  <c r="E500" i="2"/>
  <c r="E499" i="2"/>
  <c r="E498" i="2"/>
  <c r="E497" i="2"/>
  <c r="E496" i="2"/>
  <c r="E495" i="2"/>
  <c r="E494" i="2"/>
  <c r="E493" i="2"/>
  <c r="E492" i="2"/>
  <c r="E491" i="2"/>
  <c r="E490" i="2"/>
  <c r="E489" i="2"/>
  <c r="E488" i="2"/>
  <c r="E487" i="2"/>
  <c r="E486" i="2"/>
  <c r="E485" i="2"/>
  <c r="E484" i="2"/>
  <c r="E483" i="2"/>
  <c r="E482" i="2"/>
  <c r="E481" i="2"/>
  <c r="E480" i="2"/>
  <c r="E479" i="2"/>
  <c r="E478" i="2"/>
  <c r="E477" i="2"/>
  <c r="E476" i="2"/>
  <c r="E475" i="2"/>
  <c r="E474" i="2"/>
  <c r="E473" i="2"/>
  <c r="E472" i="2"/>
  <c r="E471" i="2"/>
  <c r="E470" i="2"/>
  <c r="E469" i="2"/>
  <c r="E468" i="2"/>
  <c r="E467" i="2"/>
  <c r="E466" i="2"/>
  <c r="E465" i="2"/>
  <c r="E464" i="2"/>
  <c r="E463" i="2"/>
  <c r="E462" i="2"/>
  <c r="E461" i="2"/>
  <c r="E460" i="2"/>
  <c r="E459" i="2"/>
  <c r="E458" i="2"/>
  <c r="E457" i="2"/>
  <c r="E456" i="2"/>
  <c r="E455" i="2"/>
  <c r="E454" i="2"/>
  <c r="E453" i="2"/>
  <c r="E452" i="2"/>
  <c r="E451" i="2"/>
  <c r="E450" i="2"/>
  <c r="E449" i="2"/>
  <c r="E448" i="2"/>
  <c r="E447" i="2"/>
  <c r="E446" i="2"/>
  <c r="E445" i="2"/>
  <c r="E444" i="2"/>
  <c r="E443" i="2"/>
  <c r="E442" i="2"/>
  <c r="E441" i="2"/>
  <c r="E440" i="2"/>
  <c r="E439" i="2"/>
  <c r="E438" i="2"/>
  <c r="E437" i="2"/>
  <c r="E436" i="2"/>
  <c r="E435" i="2"/>
  <c r="E434" i="2"/>
  <c r="E433" i="2"/>
  <c r="E432" i="2"/>
  <c r="E431" i="2"/>
  <c r="E430" i="2"/>
  <c r="E429" i="2"/>
  <c r="E428" i="2"/>
  <c r="E427" i="2"/>
  <c r="E426" i="2"/>
  <c r="E425" i="2"/>
  <c r="E424" i="2"/>
  <c r="E423" i="2"/>
  <c r="E422" i="2"/>
  <c r="E421" i="2"/>
  <c r="E420" i="2"/>
  <c r="E419" i="2"/>
  <c r="E418" i="2"/>
  <c r="E417" i="2"/>
  <c r="E416" i="2"/>
  <c r="E415" i="2"/>
  <c r="E414" i="2"/>
  <c r="E413" i="2"/>
  <c r="E412" i="2"/>
  <c r="E411" i="2"/>
  <c r="E410" i="2"/>
  <c r="E409" i="2"/>
  <c r="E408" i="2"/>
  <c r="E407" i="2"/>
  <c r="E406" i="2"/>
  <c r="E405" i="2"/>
  <c r="E404" i="2"/>
  <c r="E403" i="2"/>
  <c r="E402" i="2"/>
  <c r="E401" i="2"/>
  <c r="E400" i="2"/>
  <c r="E399" i="2"/>
  <c r="E398" i="2"/>
  <c r="E397" i="2"/>
  <c r="E396" i="2"/>
  <c r="E395" i="2"/>
  <c r="E394" i="2"/>
  <c r="E393" i="2"/>
  <c r="E392" i="2"/>
  <c r="E391" i="2"/>
  <c r="E390" i="2"/>
  <c r="E389" i="2"/>
  <c r="E388" i="2"/>
  <c r="E387" i="2"/>
  <c r="E386" i="2"/>
  <c r="E385" i="2"/>
  <c r="E384" i="2"/>
  <c r="E383" i="2"/>
  <c r="E382" i="2"/>
  <c r="E381" i="2"/>
  <c r="E380" i="2"/>
  <c r="E379" i="2"/>
  <c r="E378" i="2"/>
  <c r="E377" i="2"/>
  <c r="E376" i="2"/>
  <c r="E375" i="2"/>
  <c r="E374" i="2"/>
  <c r="E373" i="2"/>
  <c r="E372" i="2"/>
  <c r="E371" i="2"/>
  <c r="E370" i="2"/>
  <c r="E369" i="2"/>
  <c r="E368" i="2"/>
  <c r="E367" i="2"/>
  <c r="E366" i="2"/>
  <c r="E365" i="2"/>
  <c r="E364" i="2"/>
  <c r="E363" i="2"/>
  <c r="E362" i="2"/>
  <c r="E361" i="2"/>
  <c r="E360" i="2"/>
  <c r="E359" i="2"/>
  <c r="E358" i="2"/>
  <c r="E357" i="2"/>
  <c r="E356" i="2"/>
  <c r="E355" i="2"/>
  <c r="E354" i="2"/>
  <c r="E353" i="2"/>
  <c r="E352" i="2"/>
  <c r="E351" i="2"/>
  <c r="E350" i="2"/>
  <c r="E349" i="2"/>
  <c r="E348" i="2"/>
  <c r="E347" i="2"/>
  <c r="E346" i="2"/>
  <c r="E345" i="2"/>
  <c r="E344" i="2"/>
  <c r="E343" i="2"/>
  <c r="E342" i="2"/>
  <c r="E341" i="2"/>
  <c r="E340" i="2"/>
  <c r="E339" i="2"/>
  <c r="E338" i="2"/>
  <c r="E337" i="2"/>
  <c r="E336" i="2"/>
  <c r="E335" i="2"/>
  <c r="E334" i="2"/>
  <c r="E333" i="2"/>
  <c r="E332" i="2"/>
  <c r="E331" i="2"/>
  <c r="E330" i="2"/>
  <c r="E329" i="2"/>
  <c r="E328" i="2"/>
  <c r="E327" i="2"/>
  <c r="E326" i="2"/>
  <c r="E325" i="2"/>
  <c r="E324" i="2"/>
  <c r="E323" i="2"/>
  <c r="E322" i="2"/>
  <c r="E321" i="2"/>
  <c r="E320" i="2"/>
  <c r="E319" i="2"/>
  <c r="E318" i="2"/>
  <c r="E317" i="2"/>
  <c r="E316" i="2"/>
  <c r="E315" i="2"/>
  <c r="E314" i="2"/>
  <c r="E313" i="2"/>
  <c r="E312" i="2"/>
  <c r="E311" i="2"/>
  <c r="E310" i="2"/>
  <c r="E309" i="2"/>
  <c r="E308" i="2"/>
  <c r="E307" i="2"/>
  <c r="E306" i="2"/>
  <c r="E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</calcChain>
</file>

<file path=xl/sharedStrings.xml><?xml version="1.0" encoding="utf-8"?>
<sst xmlns="http://schemas.openxmlformats.org/spreadsheetml/2006/main" count="13984" uniqueCount="9487">
  <si>
    <t>国名</t>
  </si>
  <si>
    <t>公告期</t>
  </si>
  <si>
    <t>発表日</t>
  </si>
  <si>
    <t>商標番号</t>
  </si>
  <si>
    <t>商標名称</t>
  </si>
  <si>
    <t>申請人</t>
  </si>
  <si>
    <t>商品</t>
  </si>
  <si>
    <t>申請日</t>
  </si>
  <si>
    <t>No.</t>
    <phoneticPr fontId="1"/>
  </si>
  <si>
    <t>中国</t>
  </si>
  <si>
    <t>葡萄酒</t>
  </si>
  <si>
    <t>黄佳浩</t>
  </si>
  <si>
    <t>薄荷酒</t>
  </si>
  <si>
    <t>河南三珍坊食品有限公司</t>
  </si>
  <si>
    <t>王星星</t>
  </si>
  <si>
    <t>耿迎春</t>
  </si>
  <si>
    <t>白酒</t>
  </si>
  <si>
    <r>
      <t>情景国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（北京）酒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</si>
  <si>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</si>
  <si>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图</t>
    </r>
    <r>
      <rPr>
        <sz val="11"/>
        <color theme="1"/>
        <rFont val="ＭＳ Ｐゴシック"/>
        <family val="3"/>
        <charset val="128"/>
        <scheme val="minor"/>
      </rPr>
      <t>形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</si>
  <si>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州珍酒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</si>
  <si>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t>丁敏</t>
  </si>
  <si>
    <r>
      <t>河南仰韶酒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</si>
  <si>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中国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双喜集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</si>
  <si>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t>河北大学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</si>
  <si>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州董酒股份有限公司</t>
    </r>
  </si>
  <si>
    <r>
      <t>山西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人老家大槐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类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</si>
  <si>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海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恩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装有限公司</t>
    </r>
  </si>
  <si>
    <r>
      <t>查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桃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</si>
  <si>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百脉泉酒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</si>
  <si>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</si>
  <si>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宏</t>
    </r>
    <r>
      <rPr>
        <sz val="11"/>
        <color theme="1"/>
        <rFont val="ＭＳ Ｐゴシック"/>
        <family val="3"/>
        <charset val="134"/>
        <scheme val="minor"/>
      </rPr>
      <t>滨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</si>
  <si>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州杰酒酒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</si>
  <si>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ACEBLUE</t>
  </si>
  <si>
    <r>
      <t>德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（深圳）有限公司</t>
    </r>
  </si>
  <si>
    <r>
      <t>四川雄</t>
    </r>
    <r>
      <rPr>
        <sz val="11"/>
        <color theme="1"/>
        <rFont val="ＭＳ Ｐゴシック"/>
        <family val="3"/>
        <charset val="134"/>
        <scheme val="minor"/>
      </rPr>
      <t>牦</t>
    </r>
    <r>
      <rPr>
        <sz val="11"/>
        <color theme="1"/>
        <rFont val="ＭＳ Ｐゴシック"/>
        <family val="3"/>
        <charset val="128"/>
        <scheme val="minor"/>
      </rPr>
      <t>金</t>
    </r>
    <r>
      <rPr>
        <sz val="11"/>
        <color theme="1"/>
        <rFont val="ＭＳ Ｐゴシック"/>
        <family val="3"/>
        <charset val="134"/>
        <scheme val="minor"/>
      </rPr>
      <t>标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</si>
  <si>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黎山酒庄</t>
  </si>
  <si>
    <r>
      <t>海南昌江黎山酒</t>
    </r>
    <r>
      <rPr>
        <sz val="11"/>
        <color theme="1"/>
        <rFont val="ＭＳ Ｐゴシック"/>
        <family val="3"/>
        <charset val="134"/>
        <scheme val="minor"/>
      </rPr>
      <t>业酿</t>
    </r>
    <r>
      <rPr>
        <sz val="11"/>
        <color theme="1"/>
        <rFont val="ＭＳ Ｐゴシック"/>
        <family val="3"/>
        <charset val="128"/>
        <scheme val="minor"/>
      </rPr>
      <t>造有限公司</t>
    </r>
  </si>
  <si>
    <t>曾舒荣</t>
  </si>
  <si>
    <r>
      <t>北京酒追誉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</si>
  <si>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朗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卓越国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</si>
  <si>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</si>
  <si>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范家</t>
    </r>
    <r>
      <rPr>
        <sz val="11"/>
        <color theme="1"/>
        <rFont val="ＭＳ Ｐゴシック"/>
        <family val="3"/>
        <charset val="134"/>
        <scheme val="minor"/>
      </rPr>
      <t>硕</t>
    </r>
  </si>
  <si>
    <r>
      <t>湖北稻花香酒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</si>
  <si>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浙江百臻控股集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</si>
  <si>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贵玺</t>
    </r>
    <r>
      <rPr>
        <sz val="11"/>
        <color theme="1"/>
        <rFont val="ＭＳ Ｐゴシック"/>
        <family val="3"/>
        <charset val="128"/>
        <scheme val="minor"/>
      </rPr>
      <t>茶叶有限公司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</si>
  <si>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市行醉酒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</si>
  <si>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海淘易</t>
    </r>
    <r>
      <rPr>
        <sz val="11"/>
        <color theme="1"/>
        <rFont val="ＭＳ Ｐゴシック"/>
        <family val="3"/>
        <charset val="134"/>
        <scheme val="minor"/>
      </rPr>
      <t>购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（广州）有限公司</t>
    </r>
  </si>
  <si>
    <r>
      <t>国科文</t>
    </r>
    <r>
      <rPr>
        <sz val="11"/>
        <color theme="1"/>
        <rFont val="ＭＳ Ｐゴシック"/>
        <family val="3"/>
        <charset val="134"/>
        <scheme val="minor"/>
      </rPr>
      <t>创发</t>
    </r>
    <r>
      <rPr>
        <sz val="11"/>
        <color theme="1"/>
        <rFont val="ＭＳ Ｐゴシック"/>
        <family val="3"/>
        <charset val="128"/>
        <scheme val="minor"/>
      </rPr>
      <t>展(深圳)有限公司</t>
    </r>
  </si>
  <si>
    <r>
      <t>郭</t>
    </r>
    <r>
      <rPr>
        <sz val="11"/>
        <color theme="1"/>
        <rFont val="ＭＳ Ｐゴシック"/>
        <family val="3"/>
        <charset val="134"/>
        <scheme val="minor"/>
      </rPr>
      <t>滨诚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</si>
  <si>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雯燕</t>
    </r>
  </si>
  <si>
    <r>
      <t>郭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音</t>
    </r>
  </si>
  <si>
    <t>黄映全</t>
  </si>
  <si>
    <r>
      <t>四川杜甫酒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</si>
  <si>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t>霍乃喜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</si>
  <si>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紫珊瑚酒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</si>
  <si>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雨浩</t>
    </r>
  </si>
  <si>
    <r>
      <t>杨桢</t>
    </r>
    <r>
      <rPr>
        <sz val="11"/>
        <color theme="1"/>
        <rFont val="ＭＳ Ｐゴシック"/>
        <family val="3"/>
        <charset val="128"/>
        <scheme val="minor"/>
      </rPr>
      <t>琦</t>
    </r>
  </si>
  <si>
    <r>
      <t>宜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</si>
  <si>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科宋酒店管理有限公司</t>
    </r>
  </si>
  <si>
    <t>天青瓷</t>
  </si>
  <si>
    <t>山西青花国酒厂股份有限公司</t>
  </si>
  <si>
    <r>
      <t>山西晋侯宴酒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</si>
  <si>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伟华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</si>
  <si>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明明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</si>
  <si>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衡昌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</si>
  <si>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艾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</si>
  <si>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望</t>
    </r>
  </si>
  <si>
    <r>
      <t>高地控股集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</si>
  <si>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中国石化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售股份有限公司重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易捷分公司</t>
    </r>
  </si>
  <si>
    <r>
      <t>王永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</si>
  <si>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尔滨问</t>
    </r>
    <r>
      <rPr>
        <sz val="11"/>
        <color theme="1"/>
        <rFont val="ＭＳ Ｐゴシック"/>
        <family val="3"/>
        <charset val="128"/>
        <scheme val="minor"/>
      </rPr>
      <t>天品牌管理有限公司</t>
    </r>
  </si>
  <si>
    <t>汽酒; 葡萄酒</t>
  </si>
  <si>
    <r>
      <t>胡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</si>
  <si>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纪</t>
    </r>
    <r>
      <rPr>
        <sz val="11"/>
        <color theme="1"/>
        <rFont val="ＭＳ Ｐゴシック"/>
        <family val="3"/>
        <charset val="128"/>
        <scheme val="minor"/>
      </rPr>
      <t>安</t>
    </r>
    <r>
      <rPr>
        <sz val="11"/>
        <color theme="1"/>
        <rFont val="ＭＳ Ｐゴシック"/>
        <family val="3"/>
        <charset val="134"/>
        <scheme val="minor"/>
      </rPr>
      <t>齐</t>
    </r>
  </si>
  <si>
    <r>
      <t>许</t>
    </r>
    <r>
      <rPr>
        <sz val="11"/>
        <color theme="1"/>
        <rFont val="ＭＳ Ｐゴシック"/>
        <family val="3"/>
        <charset val="128"/>
        <scheme val="minor"/>
      </rPr>
      <t>彩云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</si>
  <si>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州小爽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</si>
  <si>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西安双德生物技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</si>
  <si>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州伍拾</t>
    </r>
    <r>
      <rPr>
        <sz val="11"/>
        <color theme="1"/>
        <rFont val="ＭＳ Ｐゴシック"/>
        <family val="3"/>
        <charset val="134"/>
        <scheme val="minor"/>
      </rPr>
      <t>叁</t>
    </r>
    <r>
      <rPr>
        <sz val="11"/>
        <color theme="1"/>
        <rFont val="ＭＳ Ｐゴシック"/>
        <family val="3"/>
        <charset val="128"/>
        <scheme val="minor"/>
      </rPr>
      <t>玖坊品牌管理有限公司</t>
    </r>
  </si>
  <si>
    <t>康宇</t>
  </si>
  <si>
    <t>方桂荣</t>
  </si>
  <si>
    <r>
      <t>韩</t>
    </r>
    <r>
      <rPr>
        <sz val="11"/>
        <color theme="1"/>
        <rFont val="ＭＳ Ｐゴシック"/>
        <family val="3"/>
        <charset val="128"/>
        <scheme val="minor"/>
      </rPr>
      <t>亮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</si>
  <si>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州中稹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瑞酒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</si>
  <si>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州元臻商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</si>
  <si>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迪巧生物科技有限公司</t>
    </r>
  </si>
  <si>
    <t>王小敏</t>
  </si>
  <si>
    <t>王浩</t>
  </si>
  <si>
    <t>王玉峰</t>
  </si>
  <si>
    <r>
      <t>何梦</t>
    </r>
    <r>
      <rPr>
        <sz val="11"/>
        <color theme="1"/>
        <rFont val="ＭＳ Ｐゴシック"/>
        <family val="3"/>
        <charset val="134"/>
        <scheme val="minor"/>
      </rPr>
      <t>圆</t>
    </r>
  </si>
  <si>
    <r>
      <t>炊迎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</si>
  <si>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水茶慕酒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(</t>
    </r>
    <r>
      <rPr>
        <sz val="11"/>
        <color theme="1"/>
        <rFont val="ＭＳ Ｐゴシック"/>
        <family val="3"/>
        <charset val="134"/>
        <scheme val="minor"/>
      </rPr>
      <t>单县</t>
    </r>
    <r>
      <rPr>
        <sz val="11"/>
        <color theme="1"/>
        <rFont val="ＭＳ Ｐゴシック"/>
        <family val="3"/>
        <charset val="128"/>
        <scheme val="minor"/>
      </rPr>
      <t>)商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</si>
  <si>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宝戈</t>
    </r>
  </si>
  <si>
    <t>谷立喜</t>
  </si>
  <si>
    <r>
      <t>天津食品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出口股份有限公司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</si>
  <si>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和荣酒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</si>
  <si>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何梦</t>
    </r>
    <r>
      <rPr>
        <sz val="11"/>
        <color theme="1"/>
        <rFont val="ＭＳ Ｐゴシック"/>
        <family val="3"/>
        <charset val="134"/>
        <scheme val="minor"/>
      </rPr>
      <t>娇</t>
    </r>
  </si>
  <si>
    <r>
      <t>董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梅</t>
    </r>
  </si>
  <si>
    <r>
      <t>黄小</t>
    </r>
    <r>
      <rPr>
        <sz val="11"/>
        <color theme="1"/>
        <rFont val="ＭＳ Ｐゴシック"/>
        <family val="3"/>
        <charset val="134"/>
        <scheme val="minor"/>
      </rPr>
      <t>华</t>
    </r>
  </si>
  <si>
    <t>魏秀敏</t>
  </si>
  <si>
    <t>北京中舟启航科技有限公司</t>
  </si>
  <si>
    <t>無し</t>
  </si>
  <si>
    <t>黄振</t>
  </si>
  <si>
    <r>
      <t>李文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</si>
  <si>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雷</t>
    </r>
  </si>
  <si>
    <t>徐海洋</t>
  </si>
  <si>
    <r>
      <t>徐州君</t>
    </r>
    <r>
      <rPr>
        <sz val="11"/>
        <color theme="1"/>
        <rFont val="ＭＳ Ｐゴシック"/>
        <family val="3"/>
        <charset val="134"/>
        <scheme val="minor"/>
      </rPr>
      <t>钻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</si>
  <si>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四川根脉源品牌管理有限公司</t>
  </si>
  <si>
    <r>
      <t>许</t>
    </r>
    <r>
      <rPr>
        <sz val="11"/>
        <color theme="1"/>
        <rFont val="ＭＳ Ｐゴシック"/>
        <family val="3"/>
        <charset val="128"/>
        <scheme val="minor"/>
      </rPr>
      <t>桂</t>
    </r>
    <r>
      <rPr>
        <sz val="11"/>
        <color theme="1"/>
        <rFont val="ＭＳ Ｐゴシック"/>
        <family val="3"/>
        <charset val="134"/>
        <scheme val="minor"/>
      </rPr>
      <t>汉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</si>
  <si>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荣</t>
    </r>
    <r>
      <rPr>
        <sz val="11"/>
        <color theme="1"/>
        <rFont val="ＭＳ Ｐゴシック"/>
        <family val="3"/>
        <charset val="134"/>
        <scheme val="minor"/>
      </rPr>
      <t>发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</si>
  <si>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丙旭</t>
    </r>
  </si>
  <si>
    <r>
      <t>湖北古酒</t>
    </r>
    <r>
      <rPr>
        <sz val="11"/>
        <color theme="1"/>
        <rFont val="ＭＳ Ｐゴシック"/>
        <family val="3"/>
        <charset val="134"/>
        <scheme val="minor"/>
      </rPr>
      <t>浓农业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</si>
  <si>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</si>
  <si>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州省金沙</t>
    </r>
    <r>
      <rPr>
        <sz val="11"/>
        <color theme="1"/>
        <rFont val="ＭＳ Ｐゴシック"/>
        <family val="3"/>
        <charset val="134"/>
        <scheme val="minor"/>
      </rPr>
      <t>县贵</t>
    </r>
    <r>
      <rPr>
        <sz val="11"/>
        <color theme="1"/>
        <rFont val="ＭＳ Ｐゴシック"/>
        <family val="3"/>
        <charset val="128"/>
        <scheme val="minor"/>
      </rPr>
      <t>奇酒厂</t>
    </r>
  </si>
  <si>
    <r>
      <t>佘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亮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</si>
  <si>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东乐</t>
    </r>
    <r>
      <rPr>
        <sz val="11"/>
        <color theme="1"/>
        <rFont val="ＭＳ Ｐゴシック"/>
        <family val="3"/>
        <charset val="128"/>
        <scheme val="minor"/>
      </rPr>
      <t>供国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控股有限公司</t>
    </r>
  </si>
  <si>
    <t>王宝珍</t>
  </si>
  <si>
    <r>
      <t>谌</t>
    </r>
    <r>
      <rPr>
        <sz val="11"/>
        <color theme="1"/>
        <rFont val="ＭＳ Ｐゴシック"/>
        <family val="3"/>
        <charset val="128"/>
        <scheme val="minor"/>
      </rPr>
      <t>招</t>
    </r>
    <r>
      <rPr>
        <sz val="11"/>
        <color theme="1"/>
        <rFont val="ＭＳ Ｐゴシック"/>
        <family val="3"/>
        <charset val="134"/>
        <scheme val="minor"/>
      </rPr>
      <t>兰</t>
    </r>
  </si>
  <si>
    <r>
      <t>衡水道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</si>
  <si>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t>吴敏</t>
  </si>
  <si>
    <r>
      <t>杨</t>
    </r>
    <r>
      <rPr>
        <sz val="11"/>
        <color theme="1"/>
        <rFont val="ＭＳ Ｐゴシック"/>
        <family val="3"/>
        <charset val="128"/>
        <scheme val="minor"/>
      </rPr>
      <t>皓</t>
    </r>
  </si>
  <si>
    <t>蒲元波</t>
  </si>
  <si>
    <r>
      <t>呼</t>
    </r>
    <r>
      <rPr>
        <sz val="11"/>
        <color theme="1"/>
        <rFont val="ＭＳ Ｐゴシック"/>
        <family val="3"/>
        <charset val="134"/>
        <scheme val="minor"/>
      </rPr>
      <t>伦贝尔</t>
    </r>
    <r>
      <rPr>
        <sz val="11"/>
        <color theme="1"/>
        <rFont val="ＭＳ Ｐゴシック"/>
        <family val="3"/>
        <charset val="128"/>
        <scheme val="minor"/>
      </rPr>
      <t>市鑫世情原商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</si>
  <si>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刘花果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</si>
  <si>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儒久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</si>
  <si>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t>王堃</t>
  </si>
  <si>
    <r>
      <t>白酒（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香型）</t>
    </r>
  </si>
  <si>
    <r>
      <t>播州区伊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品水果</t>
    </r>
    <r>
      <rPr>
        <sz val="11"/>
        <color theme="1"/>
        <rFont val="ＭＳ Ｐゴシック"/>
        <family val="3"/>
        <charset val="134"/>
        <scheme val="minor"/>
      </rPr>
      <t>铺</t>
    </r>
  </si>
  <si>
    <r>
      <t>合肥一本正</t>
    </r>
    <r>
      <rPr>
        <sz val="11"/>
        <color theme="1"/>
        <rFont val="ＭＳ Ｐゴシック"/>
        <family val="3"/>
        <charset val="134"/>
        <scheme val="minor"/>
      </rPr>
      <t>经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</si>
  <si>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胡</t>
    </r>
    <r>
      <rPr>
        <sz val="11"/>
        <color theme="1"/>
        <rFont val="ＭＳ Ｐゴシック"/>
        <family val="3"/>
        <charset val="134"/>
        <scheme val="minor"/>
      </rPr>
      <t>丛</t>
    </r>
    <r>
      <rPr>
        <sz val="11"/>
        <color theme="1"/>
        <rFont val="ＭＳ Ｐゴシック"/>
        <family val="3"/>
        <charset val="128"/>
        <scheme val="minor"/>
      </rPr>
      <t>健</t>
    </r>
  </si>
  <si>
    <r>
      <t>佰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云酒（重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）科技有限公司</t>
    </r>
  </si>
  <si>
    <r>
      <t>上海壮川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</si>
  <si>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t>广州影子科技有限公司</t>
  </si>
  <si>
    <t>B</t>
  </si>
  <si>
    <r>
      <t>四川丁点儿食品开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</si>
  <si>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薛</t>
    </r>
    <r>
      <rPr>
        <sz val="11"/>
        <color theme="1"/>
        <rFont val="ＭＳ Ｐゴシック"/>
        <family val="3"/>
        <charset val="134"/>
        <scheme val="minor"/>
      </rPr>
      <t>凯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</si>
  <si>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元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</si>
  <si>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何梦</t>
    </r>
    <r>
      <rPr>
        <sz val="11"/>
        <color theme="1"/>
        <rFont val="ＭＳ Ｐゴシック"/>
        <family val="3"/>
        <charset val="134"/>
        <scheme val="minor"/>
      </rPr>
      <t>贺</t>
    </r>
  </si>
  <si>
    <r>
      <t>邓银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</si>
  <si>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张润</t>
    </r>
    <r>
      <rPr>
        <sz val="11"/>
        <color theme="1"/>
        <rFont val="ＭＳ Ｐゴシック"/>
        <family val="3"/>
        <charset val="128"/>
        <scheme val="minor"/>
      </rPr>
      <t>杰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</si>
  <si>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策</t>
    </r>
  </si>
  <si>
    <r>
      <t>明一</t>
    </r>
    <r>
      <rPr>
        <sz val="11"/>
        <color theme="1"/>
        <rFont val="ＭＳ Ｐゴシック"/>
        <family val="3"/>
        <charset val="134"/>
        <scheme val="minor"/>
      </rPr>
      <t>问</t>
    </r>
    <r>
      <rPr>
        <sz val="11"/>
        <color theme="1"/>
        <rFont val="ＭＳ Ｐゴシック"/>
        <family val="3"/>
        <charset val="128"/>
        <scheme val="minor"/>
      </rPr>
      <t>花</t>
    </r>
  </si>
  <si>
    <r>
      <t>聚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（北京）投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</si>
  <si>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四川省天存粮道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</si>
  <si>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煮酒五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</si>
  <si>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兴业县卖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便民服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中心</t>
    </r>
  </si>
  <si>
    <t>米酒</t>
  </si>
  <si>
    <r>
      <t>陈</t>
    </r>
    <r>
      <rPr>
        <sz val="11"/>
        <color theme="1"/>
        <rFont val="ＭＳ Ｐゴシック"/>
        <family val="3"/>
        <charset val="128"/>
        <scheme val="minor"/>
      </rPr>
      <t>祥臻</t>
    </r>
  </si>
  <si>
    <t>黄酒</t>
  </si>
  <si>
    <t>中励</t>
  </si>
  <si>
    <t>何开源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</si>
  <si>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市稚起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</si>
  <si>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呈御品牌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展(</t>
    </r>
    <r>
      <rPr>
        <sz val="11"/>
        <color theme="1"/>
        <rFont val="ＭＳ Ｐゴシック"/>
        <family val="3"/>
        <charset val="134"/>
        <scheme val="minor"/>
      </rPr>
      <t>盐</t>
    </r>
    <r>
      <rPr>
        <sz val="11"/>
        <color theme="1"/>
        <rFont val="ＭＳ Ｐゴシック"/>
        <family val="3"/>
        <charset val="128"/>
        <scheme val="minor"/>
      </rPr>
      <t>城)有限公司</t>
    </r>
  </si>
  <si>
    <r>
      <t>深圳聆听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</si>
  <si>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t>刘建峰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</si>
  <si>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中科匠来科技有限公司</t>
    </r>
  </si>
  <si>
    <r>
      <t>北京嘉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琳科技有限公司</t>
    </r>
  </si>
  <si>
    <t>康儿佳食品（中山）有限公司</t>
  </si>
  <si>
    <r>
      <t>四川省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圣酒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</si>
  <si>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食品（深圳）有限公司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</si>
  <si>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艳</t>
    </r>
    <r>
      <rPr>
        <sz val="11"/>
        <color theme="1"/>
        <rFont val="ＭＳ Ｐゴシック"/>
        <family val="3"/>
        <charset val="128"/>
        <scheme val="minor"/>
      </rPr>
      <t>彬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</si>
  <si>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礼</t>
    </r>
    <r>
      <rPr>
        <sz val="11"/>
        <color theme="1"/>
        <rFont val="ＭＳ Ｐゴシック"/>
        <family val="3"/>
        <charset val="134"/>
        <scheme val="minor"/>
      </rPr>
      <t>宽</t>
    </r>
  </si>
  <si>
    <r>
      <t>杜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上</t>
    </r>
  </si>
  <si>
    <t>刘佛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</si>
  <si>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东诸</t>
    </r>
    <r>
      <rPr>
        <sz val="11"/>
        <color theme="1"/>
        <rFont val="ＭＳ Ｐゴシック"/>
        <family val="3"/>
        <charset val="128"/>
        <scheme val="minor"/>
      </rPr>
      <t>城密州酒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</si>
  <si>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劲</t>
    </r>
    <r>
      <rPr>
        <sz val="11"/>
        <color theme="1"/>
        <rFont val="ＭＳ Ｐゴシック"/>
        <family val="3"/>
        <charset val="128"/>
        <scheme val="minor"/>
      </rPr>
      <t>牌有限公司</t>
    </r>
  </si>
  <si>
    <t>徐玉新</t>
  </si>
  <si>
    <r>
      <t>科茨沃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德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造有限公司</t>
    </r>
  </si>
  <si>
    <r>
      <t>何</t>
    </r>
    <r>
      <rPr>
        <sz val="11"/>
        <color theme="1"/>
        <rFont val="ＭＳ Ｐゴシック"/>
        <family val="3"/>
        <charset val="134"/>
        <scheme val="minor"/>
      </rPr>
      <t>跃</t>
    </r>
  </si>
  <si>
    <r>
      <t>王然</t>
    </r>
    <r>
      <rPr>
        <sz val="11"/>
        <color theme="1"/>
        <rFont val="ＭＳ Ｐゴシック"/>
        <family val="3"/>
        <charset val="134"/>
        <scheme val="minor"/>
      </rPr>
      <t>琼</t>
    </r>
  </si>
  <si>
    <t>王成学</t>
  </si>
  <si>
    <r>
      <t>佛山市嘉德生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</si>
  <si>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李莉</t>
  </si>
  <si>
    <r>
      <t>刘海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</si>
  <si>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杭州潮</t>
    </r>
    <r>
      <rPr>
        <sz val="11"/>
        <color theme="1"/>
        <rFont val="ＭＳ Ｐゴシック"/>
        <family val="3"/>
        <charset val="134"/>
        <scheme val="minor"/>
      </rPr>
      <t>雾</t>
    </r>
    <r>
      <rPr>
        <sz val="11"/>
        <color theme="1"/>
        <rFont val="ＭＳ Ｐゴシック"/>
        <family val="3"/>
        <charset val="128"/>
        <scheme val="minor"/>
      </rPr>
      <t>云芯科技有限公司</t>
    </r>
  </si>
  <si>
    <t>舒堂江</t>
  </si>
  <si>
    <r>
      <t>营</t>
    </r>
    <r>
      <rPr>
        <sz val="11"/>
        <color theme="1"/>
        <rFont val="ＭＳ Ｐゴシック"/>
        <family val="3"/>
        <charset val="128"/>
        <scheme val="minor"/>
      </rPr>
      <t>口关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山泉酒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</si>
  <si>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星谷科技有限公司</t>
  </si>
  <si>
    <r>
      <t>罗</t>
    </r>
    <r>
      <rPr>
        <sz val="11"/>
        <color theme="1"/>
        <rFont val="ＭＳ Ｐゴシック"/>
        <family val="3"/>
        <charset val="128"/>
        <scheme val="minor"/>
      </rPr>
      <t>阳林</t>
    </r>
  </si>
  <si>
    <t>李萍</t>
  </si>
  <si>
    <t>傅婷婷</t>
  </si>
  <si>
    <r>
      <t>互助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威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青稞酒</t>
    </r>
    <r>
      <rPr>
        <sz val="11"/>
        <color theme="1"/>
        <rFont val="ＭＳ Ｐゴシック"/>
        <family val="3"/>
        <charset val="134"/>
        <scheme val="minor"/>
      </rPr>
      <t>业酿</t>
    </r>
    <r>
      <rPr>
        <sz val="11"/>
        <color theme="1"/>
        <rFont val="ＭＳ Ｐゴシック"/>
        <family val="3"/>
        <charset val="128"/>
        <scheme val="minor"/>
      </rPr>
      <t>造有限公司</t>
    </r>
  </si>
  <si>
    <t>李岩</t>
  </si>
  <si>
    <t>李自富</t>
  </si>
  <si>
    <r>
      <t>杭州刀耕火种网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</si>
  <si>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t>李席容</t>
  </si>
  <si>
    <r>
      <t>日照市森煌商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</si>
  <si>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北京中安和光控股有限公司</t>
  </si>
  <si>
    <r>
      <t>珠海</t>
    </r>
    <r>
      <rPr>
        <sz val="11"/>
        <color theme="1"/>
        <rFont val="ＭＳ Ｐゴシック"/>
        <family val="3"/>
        <charset val="134"/>
        <scheme val="minor"/>
      </rPr>
      <t>觞</t>
    </r>
    <r>
      <rPr>
        <sz val="11"/>
        <color theme="1"/>
        <rFont val="ＭＳ Ｐゴシック"/>
        <family val="3"/>
        <charset val="128"/>
        <scheme val="minor"/>
      </rPr>
      <t>斛台酒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</si>
  <si>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侯</t>
    </r>
    <r>
      <rPr>
        <sz val="11"/>
        <color theme="1"/>
        <rFont val="ＭＳ Ｐゴシック"/>
        <family val="3"/>
        <charset val="134"/>
        <scheme val="minor"/>
      </rPr>
      <t>栋</t>
    </r>
    <r>
      <rPr>
        <sz val="11"/>
        <color theme="1"/>
        <rFont val="ＭＳ Ｐゴシック"/>
        <family val="3"/>
        <charset val="128"/>
        <scheme val="minor"/>
      </rPr>
      <t>皓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</si>
  <si>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松</t>
    </r>
  </si>
  <si>
    <t>林焱</t>
  </si>
  <si>
    <r>
      <t>侯</t>
    </r>
    <r>
      <rPr>
        <sz val="11"/>
        <color theme="1"/>
        <rFont val="ＭＳ Ｐゴシック"/>
        <family val="3"/>
        <charset val="134"/>
        <scheme val="minor"/>
      </rPr>
      <t>许</t>
    </r>
  </si>
  <si>
    <r>
      <t>杭州</t>
    </r>
    <r>
      <rPr>
        <sz val="11"/>
        <color theme="1"/>
        <rFont val="ＭＳ Ｐゴシック"/>
        <family val="3"/>
        <charset val="134"/>
        <scheme val="minor"/>
      </rPr>
      <t>员</t>
    </r>
    <r>
      <rPr>
        <sz val="11"/>
        <color theme="1"/>
        <rFont val="ＭＳ Ｐゴシック"/>
        <family val="3"/>
        <charset val="128"/>
        <scheme val="minor"/>
      </rPr>
      <t>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</si>
  <si>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绍兴</t>
    </r>
    <r>
      <rPr>
        <sz val="11"/>
        <color theme="1"/>
        <rFont val="ＭＳ Ｐゴシック"/>
        <family val="3"/>
        <charset val="128"/>
        <scheme val="minor"/>
      </rPr>
      <t>江老汗酒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</si>
  <si>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李坤</t>
    </r>
    <r>
      <rPr>
        <sz val="11"/>
        <color theme="1"/>
        <rFont val="ＭＳ Ｐゴシック"/>
        <family val="3"/>
        <charset val="134"/>
        <scheme val="minor"/>
      </rPr>
      <t>锦</t>
    </r>
  </si>
  <si>
    <r>
      <t>丰都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老水井白酒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造坊</t>
    </r>
  </si>
  <si>
    <r>
      <t>财</t>
    </r>
    <r>
      <rPr>
        <sz val="11"/>
        <color theme="1"/>
        <rFont val="ＭＳ Ｐゴシック"/>
        <family val="3"/>
        <charset val="128"/>
        <scheme val="minor"/>
      </rPr>
      <t xml:space="preserve"> 和气生</t>
    </r>
    <r>
      <rPr>
        <sz val="11"/>
        <color theme="1"/>
        <rFont val="ＭＳ Ｐゴシック"/>
        <family val="3"/>
        <charset val="134"/>
        <scheme val="minor"/>
      </rPr>
      <t>财</t>
    </r>
  </si>
  <si>
    <r>
      <t>财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</si>
  <si>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 xml:space="preserve">清酒;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烈酒; 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</t>
    </r>
  </si>
  <si>
    <r>
      <t>味</t>
    </r>
    <r>
      <rPr>
        <sz val="11"/>
        <color theme="1"/>
        <rFont val="ＭＳ Ｐゴシック"/>
        <family val="3"/>
        <charset val="134"/>
        <scheme val="minor"/>
      </rPr>
      <t>矿</t>
    </r>
    <r>
      <rPr>
        <sz val="11"/>
        <color theme="1"/>
        <rFont val="ＭＳ Ｐゴシック"/>
        <family val="3"/>
        <charset val="128"/>
        <scheme val="minor"/>
      </rPr>
      <t xml:space="preserve"> TEMKAN</t>
    </r>
  </si>
  <si>
    <r>
      <t>吐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洪·努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</si>
  <si>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起泡白葡萄酒; 葡萄汽酒;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</t>
    </r>
  </si>
  <si>
    <r>
      <t>圣</t>
    </r>
    <r>
      <rPr>
        <sz val="11"/>
        <color theme="1"/>
        <rFont val="ＭＳ Ｐゴシック"/>
        <family val="3"/>
        <charset val="134"/>
        <scheme val="minor"/>
      </rPr>
      <t>农</t>
    </r>
  </si>
  <si>
    <r>
      <t>福建圣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</si>
  <si>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米酒; 白酒; 葡萄酒; 青稞酒; 威士忌;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开胃酒</t>
    </r>
  </si>
  <si>
    <t>湘魁</t>
  </si>
  <si>
    <r>
      <t>湖南湘魁酒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</si>
  <si>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</si>
  <si>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年份</t>
    </r>
    <r>
      <rPr>
        <sz val="11"/>
        <color theme="1"/>
        <rFont val="ＭＳ Ｐゴシック"/>
        <family val="3"/>
        <charset val="134"/>
        <scheme val="minor"/>
      </rPr>
      <t>乔</t>
    </r>
    <r>
      <rPr>
        <sz val="11"/>
        <color theme="1"/>
        <rFont val="ＭＳ Ｐゴシック"/>
        <family val="3"/>
        <charset val="128"/>
        <scheme val="minor"/>
      </rPr>
      <t xml:space="preserve">泰 升迁之喜 </t>
    </r>
    <r>
      <rPr>
        <sz val="11"/>
        <color theme="1"/>
        <rFont val="ＭＳ Ｐゴシック"/>
        <family val="3"/>
        <charset val="134"/>
        <scheme val="minor"/>
      </rPr>
      <t>乔</t>
    </r>
    <r>
      <rPr>
        <sz val="11"/>
        <color theme="1"/>
        <rFont val="ＭＳ Ｐゴシック"/>
        <family val="3"/>
        <charset val="128"/>
        <scheme val="minor"/>
      </rPr>
      <t xml:space="preserve"> 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</si>
  <si>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州情景最藏酒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</si>
  <si>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天山</t>
    </r>
    <r>
      <rPr>
        <sz val="11"/>
        <color theme="1"/>
        <rFont val="ＭＳ Ｐゴシック"/>
        <family val="3"/>
        <charset val="134"/>
        <scheme val="minor"/>
      </rPr>
      <t>赐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</si>
  <si>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延河</t>
    </r>
  </si>
  <si>
    <r>
      <t>米酒; 白酒;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</si>
  <si>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扬</t>
    </r>
    <r>
      <rPr>
        <sz val="11"/>
        <color theme="1"/>
        <rFont val="ＭＳ Ｐゴシック"/>
        <family val="3"/>
        <charset val="128"/>
        <scheme val="minor"/>
      </rPr>
      <t>州星月建</t>
    </r>
    <r>
      <rPr>
        <sz val="11"/>
        <color theme="1"/>
        <rFont val="ＭＳ Ｐゴシック"/>
        <family val="3"/>
        <charset val="134"/>
        <scheme val="minor"/>
      </rPr>
      <t>设</t>
    </r>
    <r>
      <rPr>
        <sz val="11"/>
        <color theme="1"/>
        <rFont val="ＭＳ Ｐゴシック"/>
        <family val="3"/>
        <charset val="128"/>
        <scheme val="minor"/>
      </rPr>
      <t>工程配套有限公司</t>
    </r>
  </si>
  <si>
    <r>
      <t>岁</t>
    </r>
    <r>
      <rPr>
        <sz val="11"/>
        <color theme="1"/>
        <rFont val="ＭＳ Ｐゴシック"/>
        <family val="3"/>
        <charset val="128"/>
        <scheme val="minor"/>
      </rPr>
      <t>藏 30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</si>
  <si>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汽酒;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</si>
  <si>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黄酒;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青稞酒; 开胃酒; 葡萄酒; 白酒; 米酒; 威士忌</t>
    </r>
  </si>
  <si>
    <r>
      <t>陆逊</t>
    </r>
    <r>
      <rPr>
        <sz val="11"/>
        <color theme="1"/>
        <rFont val="ＭＳ Ｐゴシック"/>
        <family val="3"/>
        <charset val="128"/>
        <scheme val="minor"/>
      </rPr>
      <t>洲</t>
    </r>
  </si>
  <si>
    <r>
      <t>付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阳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</si>
  <si>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白干酒（中国白酒）;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柑香酒</t>
    </r>
  </si>
  <si>
    <t>琴台醉</t>
  </si>
  <si>
    <t>四川省帝源春酒厂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</si>
  <si>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蒸煮提取物（利口酒和烈酒）; 开胃酒; 白酒; 果酒（含酒精）; 葡萄酒; 清酒;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</si>
  <si>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琴台醉 酒</t>
  </si>
  <si>
    <r>
      <t>青稞酒;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利口酒</t>
    </r>
  </si>
  <si>
    <t>鄂粮壹号</t>
  </si>
  <si>
    <r>
      <t>湖北粮投粮油集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</si>
  <si>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</si>
  <si>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 xml:space="preserve">嫁 酒 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藏年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</si>
  <si>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</si>
  <si>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真年真原</t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</si>
  <si>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</si>
  <si>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飛猿</t>
  </si>
  <si>
    <t>菊乃香酒造株式会社</t>
  </si>
  <si>
    <r>
      <t xml:space="preserve">果酒（含酒精）; 葡萄酒; 利口酒; 蜂蜜酒; 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</t>
    </r>
  </si>
  <si>
    <t>福寿年</t>
  </si>
  <si>
    <r>
      <t>耀酒耀和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承</t>
    </r>
  </si>
  <si>
    <r>
      <t>习</t>
    </r>
    <r>
      <rPr>
        <sz val="11"/>
        <color theme="1"/>
        <rFont val="ＭＳ Ｐゴシック"/>
        <family val="3"/>
        <charset val="128"/>
        <scheme val="minor"/>
      </rPr>
      <t>水古藏封茶叶有限公司</t>
    </r>
  </si>
  <si>
    <r>
      <t>小海</t>
    </r>
    <r>
      <rPr>
        <sz val="11"/>
        <color theme="1"/>
        <rFont val="ＭＳ Ｐゴシック"/>
        <family val="3"/>
        <charset val="134"/>
        <scheme val="minor"/>
      </rPr>
      <t>蓝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</si>
  <si>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洋河酒厂股份有限公司</t>
    </r>
  </si>
  <si>
    <r>
      <t>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</si>
  <si>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定阳馥</t>
  </si>
  <si>
    <r>
      <t>山西定阳酒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</si>
  <si>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清酒; 开胃酒; 白酒</t>
    </r>
  </si>
  <si>
    <t>九行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</si>
  <si>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州九行酒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</si>
  <si>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蒸煮提取物（利口酒和烈酒）;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</si>
  <si>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情景 酒 年藏真基</t>
    </r>
    <r>
      <rPr>
        <sz val="11"/>
        <color theme="1"/>
        <rFont val="ＭＳ Ｐゴシック"/>
        <family val="3"/>
        <charset val="134"/>
        <scheme val="minor"/>
      </rPr>
      <t>龄</t>
    </r>
  </si>
  <si>
    <t>雪涛 SNOWAVE</t>
  </si>
  <si>
    <r>
      <t>浙江省</t>
    </r>
    <r>
      <rPr>
        <sz val="11"/>
        <color theme="1"/>
        <rFont val="ＭＳ Ｐゴシック"/>
        <family val="3"/>
        <charset val="134"/>
        <scheme val="minor"/>
      </rPr>
      <t>盐业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</si>
  <si>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食用酒精;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</si>
  <si>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喜多福</t>
  </si>
  <si>
    <r>
      <t>杨</t>
    </r>
    <r>
      <rPr>
        <sz val="11"/>
        <color theme="1"/>
        <rFont val="ＭＳ Ｐゴシック"/>
        <family val="3"/>
        <charset val="128"/>
        <scheme val="minor"/>
      </rPr>
      <t>萍花</t>
    </r>
  </si>
  <si>
    <r>
      <t>米酒; 高粱酒; 黄酒;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</si>
  <si>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琼</t>
    </r>
    <r>
      <rPr>
        <sz val="11"/>
        <color theme="1"/>
        <rFont val="ＭＳ Ｐゴシック"/>
        <family val="3"/>
        <charset val="128"/>
        <scheme val="minor"/>
      </rPr>
      <t>州</t>
    </r>
  </si>
  <si>
    <r>
      <t>合肥老将酒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</si>
  <si>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米酒; 青稞酒;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</t>
    </r>
  </si>
  <si>
    <r>
      <t>雅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藏布江</t>
    </r>
  </si>
  <si>
    <r>
      <t>昆山市花</t>
    </r>
    <r>
      <rPr>
        <sz val="11"/>
        <color theme="1"/>
        <rFont val="ＭＳ Ｐゴシック"/>
        <family val="3"/>
        <charset val="134"/>
        <scheme val="minor"/>
      </rPr>
      <t>桥镇</t>
    </r>
    <r>
      <rPr>
        <sz val="11"/>
        <color theme="1"/>
        <rFont val="ＭＳ Ｐゴシック"/>
        <family val="3"/>
        <charset val="128"/>
        <scheme val="minor"/>
      </rPr>
      <t>雅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藏步江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易商行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</si>
  <si>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米酒; 青稞酒; 葡萄酒; 白酒; 威士忌</t>
    </r>
  </si>
  <si>
    <r>
      <t>新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妃醉酒</t>
    </r>
  </si>
  <si>
    <r>
      <t>湘潭市李唐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</si>
  <si>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汽酒; 白酒; 葡萄酒; 果酒（含酒精）; 清酒（日本米酒）;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</si>
  <si>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t>金安金徽</t>
  </si>
  <si>
    <r>
      <t>安徽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28"/>
        <scheme val="minor"/>
      </rPr>
      <t>盛天下商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</si>
  <si>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烈酒; 开胃酒; 米酒;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</si>
  <si>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帝煌烤</t>
    </r>
    <r>
      <rPr>
        <sz val="11"/>
        <color theme="1"/>
        <rFont val="ＭＳ Ｐゴシック"/>
        <family val="3"/>
        <charset val="134"/>
        <scheme val="minor"/>
      </rPr>
      <t>卤</t>
    </r>
  </si>
  <si>
    <r>
      <t>南昌市</t>
    </r>
    <r>
      <rPr>
        <sz val="11"/>
        <color theme="1"/>
        <rFont val="ＭＳ Ｐゴシック"/>
        <family val="3"/>
        <charset val="134"/>
        <scheme val="minor"/>
      </rPr>
      <t>赣</t>
    </r>
    <r>
      <rPr>
        <sz val="11"/>
        <color theme="1"/>
        <rFont val="ＭＳ Ｐゴシック"/>
        <family val="3"/>
        <charset val="128"/>
        <scheme val="minor"/>
      </rPr>
      <t>肴食品科技有限公司</t>
    </r>
  </si>
  <si>
    <r>
      <t xml:space="preserve">高粱酒; 佐餐酒;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白酒;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</t>
    </r>
  </si>
  <si>
    <t>JANMAS</t>
  </si>
  <si>
    <r>
      <t>杭州和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信健康科技有限公司</t>
    </r>
  </si>
  <si>
    <r>
      <t>食用酒精; 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</si>
  <si>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COCO FARM WINERY</t>
  </si>
  <si>
    <r>
      <t>可可</t>
    </r>
    <r>
      <rPr>
        <sz val="11"/>
        <color theme="1"/>
        <rFont val="ＭＳ Ｐゴシック"/>
        <family val="3"/>
        <charset val="134"/>
        <scheme val="minor"/>
      </rPr>
      <t>农场</t>
    </r>
    <r>
      <rPr>
        <sz val="11"/>
        <color theme="1"/>
        <rFont val="ＭＳ Ｐゴシック"/>
        <family val="3"/>
        <charset val="128"/>
        <scheme val="minor"/>
      </rPr>
      <t>酒庄有限公司</t>
    </r>
  </si>
  <si>
    <r>
      <t>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起泡白葡萄酒;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</t>
    </r>
  </si>
  <si>
    <t>黄金酒</t>
  </si>
  <si>
    <t>上海黄金搭档生物科技有限公司</t>
  </si>
  <si>
    <r>
      <t xml:space="preserve">葡萄酒; 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汽酒;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</si>
  <si>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白酒;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威士忌</t>
    </r>
  </si>
  <si>
    <t>和善堂</t>
  </si>
  <si>
    <r>
      <t>吉林</t>
    </r>
    <r>
      <rPr>
        <sz val="11"/>
        <color theme="1"/>
        <rFont val="ＭＳ Ｐゴシック"/>
        <family val="3"/>
        <charset val="134"/>
        <scheme val="minor"/>
      </rPr>
      <t>华润</t>
    </r>
    <r>
      <rPr>
        <sz val="11"/>
        <color theme="1"/>
        <rFont val="ＭＳ Ｐゴシック"/>
        <family val="3"/>
        <charset val="128"/>
        <scheme val="minor"/>
      </rPr>
      <t>和善堂人参有限公司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</si>
  <si>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</si>
  <si>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年真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藏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</si>
  <si>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汽酒;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葡萄酒</t>
    </r>
  </si>
  <si>
    <t>莞品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</si>
  <si>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莞</t>
    </r>
    <r>
      <rPr>
        <sz val="11"/>
        <color theme="1"/>
        <rFont val="ＭＳ Ｐゴシック"/>
        <family val="3"/>
        <charset val="134"/>
        <scheme val="minor"/>
      </rPr>
      <t>篮</t>
    </r>
    <r>
      <rPr>
        <sz val="11"/>
        <color theme="1"/>
        <rFont val="ＭＳ Ｐゴシック"/>
        <family val="3"/>
        <charset val="128"/>
        <scheme val="minor"/>
      </rPr>
      <t>子</t>
    </r>
    <r>
      <rPr>
        <sz val="11"/>
        <color theme="1"/>
        <rFont val="ＭＳ Ｐゴシック"/>
        <family val="3"/>
        <charset val="134"/>
        <scheme val="minor"/>
      </rPr>
      <t>农产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</si>
  <si>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</t>
    </r>
  </si>
  <si>
    <r>
      <t>杜康无</t>
    </r>
    <r>
      <rPr>
        <sz val="11"/>
        <color theme="1"/>
        <rFont val="ＭＳ Ｐゴシック"/>
        <family val="3"/>
        <charset val="134"/>
        <scheme val="minor"/>
      </rPr>
      <t>忧</t>
    </r>
  </si>
  <si>
    <r>
      <t>伊川杜康酒祖</t>
    </r>
    <r>
      <rPr>
        <sz val="11"/>
        <color theme="1"/>
        <rFont val="ＭＳ Ｐゴシック"/>
        <family val="3"/>
        <charset val="134"/>
        <scheme val="minor"/>
      </rPr>
      <t>资产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</si>
  <si>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食用酒精; 白酒;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天然汽酒;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清酒</t>
    </r>
  </si>
  <si>
    <t>多禧</t>
  </si>
  <si>
    <r>
      <t>贵</t>
    </r>
    <r>
      <rPr>
        <sz val="11"/>
        <color theme="1"/>
        <rFont val="ＭＳ Ｐゴシック"/>
        <family val="3"/>
        <charset val="128"/>
        <scheme val="minor"/>
      </rPr>
      <t>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</si>
  <si>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利口酒; 青稞酒;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米酒; 黄酒</t>
    </r>
  </si>
  <si>
    <t>熊虎山</t>
  </si>
  <si>
    <r>
      <t>湖南熊虎山装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材料有限公司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</si>
  <si>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白酒;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清酒（日本米酒）; 黄酒; 米酒</t>
    </r>
  </si>
  <si>
    <t>南河</t>
  </si>
  <si>
    <r>
      <t>方</t>
    </r>
    <r>
      <rPr>
        <sz val="11"/>
        <color theme="1"/>
        <rFont val="ＭＳ Ｐゴシック"/>
        <family val="3"/>
        <charset val="134"/>
        <scheme val="minor"/>
      </rPr>
      <t>艳军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</si>
  <si>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白干酒（中国白酒）; 黄酒; 白酒;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</si>
  <si>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t>PANILONCO</t>
  </si>
  <si>
    <r>
      <t>家庭投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股份公司</t>
    </r>
  </si>
  <si>
    <t>奥</t>
  </si>
  <si>
    <r>
      <t>邓丽</t>
    </r>
    <r>
      <rPr>
        <sz val="11"/>
        <color theme="1"/>
        <rFont val="ＭＳ Ｐゴシック"/>
        <family val="3"/>
        <charset val="128"/>
        <scheme val="minor"/>
      </rPr>
      <t>娟</t>
    </r>
  </si>
  <si>
    <r>
      <t>葡萄酒; 高粱酒;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黄酒</t>
    </r>
  </si>
  <si>
    <r>
      <t>塔格（惠州）商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</si>
  <si>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</si>
  <si>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尚尼仕酒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</si>
  <si>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甜果酒; 烈酒</t>
    </r>
  </si>
  <si>
    <r>
      <t>桑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斯</t>
    </r>
  </si>
  <si>
    <r>
      <t>广州尊味酒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</si>
  <si>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果酒(含酒精);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蒸煮提取物(利口酒和烈酒); 威士忌; 伏特加酒; 清酒;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烈酒(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料)</t>
    </r>
  </si>
  <si>
    <t>醉美花冠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</si>
  <si>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花冠酒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</si>
  <si>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</si>
  <si>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夏春小</t>
    </r>
    <r>
      <rPr>
        <sz val="11"/>
        <color theme="1"/>
        <rFont val="ＭＳ Ｐゴシック"/>
        <family val="3"/>
        <charset val="134"/>
        <scheme val="minor"/>
      </rPr>
      <t>样</t>
    </r>
  </si>
  <si>
    <r>
      <t>四川省宜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市怡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</si>
  <si>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青稞酒; 白酒</t>
    </r>
  </si>
  <si>
    <t>CD CLARENDELLE INSPIRED BY HAUT-BRION</t>
  </si>
  <si>
    <r>
      <t>克拉任斯·狄</t>
    </r>
    <r>
      <rPr>
        <sz val="11"/>
        <color theme="1"/>
        <rFont val="ＭＳ Ｐゴシック"/>
        <family val="3"/>
        <charset val="134"/>
        <scheme val="minor"/>
      </rPr>
      <t>伦</t>
    </r>
    <r>
      <rPr>
        <sz val="11"/>
        <color theme="1"/>
        <rFont val="ＭＳ Ｐゴシック"/>
        <family val="3"/>
        <charset val="128"/>
        <scheme val="minor"/>
      </rPr>
      <t>庄园</t>
    </r>
    <r>
      <rPr>
        <sz val="11"/>
        <color theme="1"/>
        <rFont val="ＭＳ Ｐゴシック"/>
        <family val="3"/>
        <charset val="134"/>
        <scheme val="minor"/>
      </rPr>
      <t>简</t>
    </r>
    <r>
      <rPr>
        <sz val="11"/>
        <color theme="1"/>
        <rFont val="ＭＳ Ｐゴシック"/>
        <family val="3"/>
        <charset val="128"/>
        <scheme val="minor"/>
      </rPr>
      <t>化股份有限公司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</si>
  <si>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喜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</si>
  <si>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</si>
  <si>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道 乾坤道韵</t>
  </si>
  <si>
    <r>
      <t>四川古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天承品牌管理有限公司</t>
    </r>
  </si>
  <si>
    <r>
      <t xml:space="preserve">青稞酒;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白干酒（中国白酒）;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汽酒; 黄酒; 葡萄酒;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</si>
  <si>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清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潭</t>
    </r>
  </si>
  <si>
    <r>
      <t>河北百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</si>
  <si>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</si>
  <si>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同里三</t>
    </r>
    <r>
      <rPr>
        <sz val="11"/>
        <color theme="1"/>
        <rFont val="ＭＳ Ｐゴシック"/>
        <family val="3"/>
        <charset val="134"/>
        <scheme val="minor"/>
      </rPr>
      <t>桥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</si>
  <si>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州同里</t>
    </r>
    <r>
      <rPr>
        <sz val="11"/>
        <color theme="1"/>
        <rFont val="ＭＳ Ｐゴシック"/>
        <family val="3"/>
        <charset val="134"/>
        <scheme val="minor"/>
      </rPr>
      <t>红酿</t>
    </r>
    <r>
      <rPr>
        <sz val="11"/>
        <color theme="1"/>
        <rFont val="ＭＳ Ｐゴシック"/>
        <family val="3"/>
        <charset val="128"/>
        <scheme val="minor"/>
      </rPr>
      <t>酒股份有限公司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</si>
  <si>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</si>
  <si>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黔醉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承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</si>
  <si>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州黔醉酒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</si>
  <si>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白干酒（中国白酒）;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蒸煮提取物（利口酒和烈酒）;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</si>
  <si>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竞</t>
    </r>
    <r>
      <rPr>
        <sz val="11"/>
        <color theme="1"/>
        <rFont val="ＭＳ Ｐゴシック"/>
        <family val="3"/>
        <charset val="128"/>
        <scheme val="minor"/>
      </rPr>
      <t>技世界</t>
    </r>
  </si>
  <si>
    <r>
      <t>竞</t>
    </r>
    <r>
      <rPr>
        <sz val="11"/>
        <color theme="1"/>
        <rFont val="ＭＳ Ｐゴシック"/>
        <family val="3"/>
        <charset val="128"/>
        <scheme val="minor"/>
      </rPr>
      <t>技世界（北京）网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</si>
  <si>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伏特加酒; 米酒; 黄酒;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清酒（日本米酒）</t>
    </r>
  </si>
  <si>
    <t>悦康</t>
  </si>
  <si>
    <r>
      <t>悦康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</si>
  <si>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开胃酒;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果酒（含酒精）</t>
    </r>
  </si>
  <si>
    <r>
      <t>应</t>
    </r>
    <r>
      <rPr>
        <sz val="11"/>
        <color theme="1"/>
        <rFont val="ＭＳ Ｐゴシック"/>
        <family val="3"/>
        <charset val="128"/>
        <scheme val="minor"/>
      </rPr>
      <t>大有礼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</si>
  <si>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朝明（北京）科技有限公司</t>
    </r>
  </si>
  <si>
    <r>
      <t>葡萄酒; 开胃酒; 白干酒（中国白酒）; 白酒; 食用酒精;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利口酒</t>
    </r>
  </si>
  <si>
    <t>食友八酒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</si>
  <si>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州食友八酒餐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管理(集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)有限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</si>
  <si>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高粱酒;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白酒; 烈酒; 果酒; 米酒</t>
    </r>
  </si>
  <si>
    <t>黄花粱醇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</si>
  <si>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赤河酒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</si>
  <si>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食用酒精;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清酒（日本米酒）;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</si>
  <si>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酿</t>
    </r>
    <r>
      <rPr>
        <sz val="11"/>
        <color theme="1"/>
        <rFont val="ＭＳ Ｐゴシック"/>
        <family val="3"/>
        <charset val="128"/>
        <scheme val="minor"/>
      </rPr>
      <t>宗源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</si>
  <si>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宗源酒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</si>
  <si>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</si>
  <si>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智界</t>
  </si>
  <si>
    <r>
      <t>华为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</si>
  <si>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苹果酒;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</si>
  <si>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风</t>
    </r>
    <r>
      <rPr>
        <sz val="11"/>
        <color theme="1"/>
        <rFont val="ＭＳ Ｐゴシック"/>
        <family val="3"/>
        <charset val="128"/>
        <scheme val="minor"/>
      </rPr>
      <t>之</t>
    </r>
    <r>
      <rPr>
        <sz val="11"/>
        <color theme="1"/>
        <rFont val="ＭＳ Ｐゴシック"/>
        <family val="3"/>
        <charset val="134"/>
        <scheme val="minor"/>
      </rPr>
      <t>蓝</t>
    </r>
  </si>
  <si>
    <r>
      <t>香港皇圣祥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</si>
  <si>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米酒; 果酒（含酒精）; 黄酒;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</t>
    </r>
  </si>
  <si>
    <r>
      <t>FAIZA 排</t>
    </r>
    <r>
      <rPr>
        <sz val="11"/>
        <color theme="1"/>
        <rFont val="ＭＳ Ｐゴシック"/>
        <family val="3"/>
        <charset val="134"/>
        <scheme val="minor"/>
      </rPr>
      <t>泽</t>
    </r>
  </si>
  <si>
    <r>
      <t>宁夏牌</t>
    </r>
    <r>
      <rPr>
        <sz val="11"/>
        <color theme="1"/>
        <rFont val="ＭＳ Ｐゴシック"/>
        <family val="3"/>
        <charset val="134"/>
        <scheme val="minor"/>
      </rPr>
      <t>兹</t>
    </r>
    <r>
      <rPr>
        <sz val="11"/>
        <color theme="1"/>
        <rFont val="ＭＳ Ｐゴシック"/>
        <family val="3"/>
        <charset val="128"/>
        <scheme val="minor"/>
      </rPr>
      <t>特目食品开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</si>
  <si>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果酒（含酒精）;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食用酒精; 清酒（日本米酒）</t>
    </r>
  </si>
  <si>
    <t>郭志辰 天下小方</t>
  </si>
  <si>
    <t>郭彦芬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</si>
  <si>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蒸煮提取物（利口酒和烈酒）; 食用酒精; 米酒; 开胃酒;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</si>
  <si>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山之源</t>
  </si>
  <si>
    <r>
      <t>吴国</t>
    </r>
    <r>
      <rPr>
        <sz val="11"/>
        <color theme="1"/>
        <rFont val="ＭＳ Ｐゴシック"/>
        <family val="3"/>
        <charset val="134"/>
        <scheme val="minor"/>
      </rPr>
      <t>权</t>
    </r>
  </si>
  <si>
    <r>
      <t xml:space="preserve">松叶酒; 果酒（含酒精）;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梅酒; 蜂蜜酒</t>
    </r>
  </si>
  <si>
    <t>永叙坊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</si>
  <si>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州民</t>
    </r>
    <r>
      <rPr>
        <sz val="11"/>
        <color theme="1"/>
        <rFont val="ＭＳ Ｐゴシック"/>
        <family val="3"/>
        <charset val="134"/>
        <scheme val="minor"/>
      </rPr>
      <t>间传统酿</t>
    </r>
    <r>
      <rPr>
        <sz val="11"/>
        <color theme="1"/>
        <rFont val="ＭＳ Ｐゴシック"/>
        <family val="3"/>
        <charset val="128"/>
        <scheme val="minor"/>
      </rPr>
      <t>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</si>
  <si>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露酒; 果酒; 咖啡利口酒; 清酒; 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白酒; 高粱酒; 葡萄酒; 黄酒</t>
    </r>
  </si>
  <si>
    <r>
      <t>长红岁</t>
    </r>
    <r>
      <rPr>
        <sz val="11"/>
        <color theme="1"/>
        <rFont val="ＭＳ Ｐゴシック"/>
        <family val="3"/>
        <charset val="128"/>
        <scheme val="minor"/>
      </rPr>
      <t>月</t>
    </r>
  </si>
  <si>
    <r>
      <t>上海羡肴餐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</si>
  <si>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</t>
    </r>
  </si>
  <si>
    <r>
      <t>籹</t>
    </r>
    <r>
      <rPr>
        <sz val="11"/>
        <color theme="1"/>
        <rFont val="ＭＳ Ｐゴシック"/>
        <family val="3"/>
        <charset val="134"/>
        <scheme val="minor"/>
      </rPr>
      <t>尔媇</t>
    </r>
  </si>
  <si>
    <t>阿曼尼沙·木民</t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</si>
  <si>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梅酒;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</t>
    </r>
  </si>
  <si>
    <t>KINGDEE</t>
  </si>
  <si>
    <r>
      <t>金蝶</t>
    </r>
    <r>
      <rPr>
        <sz val="11"/>
        <color theme="1"/>
        <rFont val="ＭＳ Ｐゴシック"/>
        <family val="3"/>
        <charset val="134"/>
        <scheme val="minor"/>
      </rPr>
      <t>软</t>
    </r>
    <r>
      <rPr>
        <sz val="11"/>
        <color theme="1"/>
        <rFont val="ＭＳ Ｐゴシック"/>
        <family val="3"/>
        <charset val="128"/>
        <scheme val="minor"/>
      </rPr>
      <t>件（中国）有限公司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</si>
  <si>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利口酒; 朗姆酒</t>
    </r>
  </si>
  <si>
    <r>
      <t>花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意</t>
    </r>
  </si>
  <si>
    <t>岳楚荣</t>
  </si>
  <si>
    <r>
      <t>开胃酒; 白酒; 米酒; 利口酒; 梨酒; 清酒; 梅酒; 汽酒;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</si>
  <si>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鸣</t>
    </r>
    <r>
      <rPr>
        <sz val="11"/>
        <color theme="1"/>
        <rFont val="ＭＳ Ｐゴシック"/>
        <family val="3"/>
        <charset val="128"/>
        <scheme val="minor"/>
      </rPr>
      <t>奶站</t>
    </r>
  </si>
  <si>
    <r>
      <t>成都零食有</t>
    </r>
    <r>
      <rPr>
        <sz val="11"/>
        <color theme="1"/>
        <rFont val="ＭＳ Ｐゴシック"/>
        <family val="3"/>
        <charset val="134"/>
        <scheme val="minor"/>
      </rPr>
      <t>鸣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</si>
  <si>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汽酒; 甜酒; 果酒; 清酒;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白酒</t>
    </r>
  </si>
  <si>
    <t>雪雀</t>
  </si>
  <si>
    <t>雪雀酒造株式会社</t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</si>
  <si>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</si>
  <si>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沛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</si>
  <si>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薄荷酒; 蒸煮提取物（利口酒和烈酒）; 食用酒精;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</si>
  <si>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庆</t>
    </r>
    <r>
      <rPr>
        <sz val="11"/>
        <color theme="1"/>
        <rFont val="ＭＳ Ｐゴシック"/>
        <family val="3"/>
        <charset val="128"/>
        <scheme val="minor"/>
      </rPr>
      <t>之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</si>
  <si>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肇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市二十支商</t>
    </r>
    <r>
      <rPr>
        <sz val="11"/>
        <color theme="1"/>
        <rFont val="ＭＳ Ｐゴシック"/>
        <family val="3"/>
        <charset val="134"/>
        <scheme val="minor"/>
      </rPr>
      <t>业连锁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</si>
  <si>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葡萄汽酒; 威士忌; 果酒;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果酒（含酒精）</t>
    </r>
  </si>
  <si>
    <t>1800 JB 1800 GUACHI MONTON</t>
  </si>
  <si>
    <r>
      <t>JC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斯特分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</si>
  <si>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青居坊</t>
  </si>
  <si>
    <r>
      <t>河南酌曲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</si>
  <si>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露酒;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青稞酒; 白酒; 果酒（含酒精）; 青梅酒</t>
    </r>
  </si>
  <si>
    <t>弘瑞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</si>
  <si>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州女儿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</si>
  <si>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清酒（日本米酒）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</si>
  <si>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赐</t>
    </r>
    <r>
      <rPr>
        <sz val="11"/>
        <color theme="1"/>
        <rFont val="ＭＳ Ｐゴシック"/>
        <family val="3"/>
        <charset val="128"/>
        <scheme val="minor"/>
      </rPr>
      <t>江湖</t>
    </r>
  </si>
  <si>
    <t>黄俊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</si>
  <si>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果酒;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食用酒精; 白酒; 米酒; 黄酒</t>
    </r>
  </si>
  <si>
    <r>
      <t>乔</t>
    </r>
    <r>
      <rPr>
        <sz val="11"/>
        <color theme="1"/>
        <rFont val="ＭＳ Ｐゴシック"/>
        <family val="3"/>
        <charset val="128"/>
        <scheme val="minor"/>
      </rPr>
      <t>格</t>
    </r>
    <r>
      <rPr>
        <sz val="11"/>
        <color theme="1"/>
        <rFont val="ＭＳ Ｐゴシック"/>
        <family val="3"/>
        <charset val="134"/>
        <scheme val="minor"/>
      </rPr>
      <t>兰</t>
    </r>
  </si>
  <si>
    <t>阿布地力艾海提·卡斯木</t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</si>
  <si>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开胃酒; 薄荷酒;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</si>
  <si>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r>
      <t>喜</t>
    </r>
    <r>
      <rPr>
        <sz val="11"/>
        <color theme="1"/>
        <rFont val="ＭＳ Ｐゴシック"/>
        <family val="3"/>
        <charset val="134"/>
        <scheme val="minor"/>
      </rPr>
      <t>侣</t>
    </r>
  </si>
  <si>
    <r>
      <t>赵伟</t>
    </r>
    <r>
      <rPr>
        <sz val="11"/>
        <color theme="1"/>
        <rFont val="ＭＳ Ｐゴシック"/>
        <family val="3"/>
        <charset val="128"/>
        <scheme val="minor"/>
      </rPr>
      <t>雄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</si>
  <si>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开胃酒; 米酒; 梨酒;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</si>
  <si>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君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</si>
  <si>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市君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泰商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</si>
  <si>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餐后酒（利口酒和烈酒）; 果酒（含酒精）; 苹果酒;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露酒</t>
    </r>
  </si>
  <si>
    <r>
      <t>颜</t>
    </r>
    <r>
      <rPr>
        <sz val="11"/>
        <color theme="1"/>
        <rFont val="ＭＳ Ｐゴシック"/>
        <family val="3"/>
        <charset val="128"/>
        <scheme val="minor"/>
      </rPr>
      <t>府家</t>
    </r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</si>
  <si>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市每沿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</si>
  <si>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</si>
  <si>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典香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</si>
  <si>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</si>
  <si>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八中</t>
    </r>
    <r>
      <rPr>
        <sz val="11"/>
        <color theme="1"/>
        <rFont val="ＭＳ Ｐゴシック"/>
        <family val="3"/>
        <charset val="134"/>
        <scheme val="minor"/>
      </rPr>
      <t>记忆</t>
    </r>
  </si>
  <si>
    <r>
      <t>果酒; 甜酒; 烈酒; 黄酒; 米酒; 白酒; 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</t>
    </r>
  </si>
  <si>
    <t>金幸福名</t>
  </si>
  <si>
    <r>
      <t xml:space="preserve">黄酒; 清酒; 果酒;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米酒</t>
    </r>
  </si>
  <si>
    <t>世外芙蓉</t>
  </si>
  <si>
    <r>
      <t>海南</t>
    </r>
    <r>
      <rPr>
        <sz val="11"/>
        <color theme="1"/>
        <rFont val="ＭＳ Ｐゴシック"/>
        <family val="3"/>
        <charset val="134"/>
        <scheme val="minor"/>
      </rPr>
      <t>银华</t>
    </r>
    <r>
      <rPr>
        <sz val="11"/>
        <color theme="1"/>
        <rFont val="ＭＳ Ｐゴシック"/>
        <family val="3"/>
        <charset val="128"/>
        <scheme val="minor"/>
      </rPr>
      <t>茅香酒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</si>
  <si>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果酒（含酒精）; 黄酒; 葡萄酒; 清酒（日本米酒）;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</si>
  <si>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 xml:space="preserve">梨酒;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葡萄酒; 开胃酒</t>
    </r>
  </si>
  <si>
    <t>姑力柏 GULBAR</t>
  </si>
  <si>
    <r>
      <t>萨</t>
    </r>
    <r>
      <rPr>
        <sz val="11"/>
        <color theme="1"/>
        <rFont val="ＭＳ Ｐゴシック"/>
        <family val="3"/>
        <charset val="128"/>
        <scheme val="minor"/>
      </rPr>
      <t>达木·麦麦提</t>
    </r>
  </si>
  <si>
    <r>
      <t>开胃酒; 葡萄酒; 米酒; 白酒;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苹果酒;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</si>
  <si>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梨酒;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</si>
  <si>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梨酒;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</si>
  <si>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正益</t>
  </si>
  <si>
    <r>
      <t>安徽正益肉</t>
    </r>
    <r>
      <rPr>
        <sz val="11"/>
        <color theme="1"/>
        <rFont val="ＭＳ Ｐゴシック"/>
        <family val="3"/>
        <charset val="134"/>
        <scheme val="minor"/>
      </rPr>
      <t>类</t>
    </r>
    <r>
      <rPr>
        <sz val="11"/>
        <color theme="1"/>
        <rFont val="ＭＳ Ｐゴシック"/>
        <family val="3"/>
        <charset val="128"/>
        <scheme val="minor"/>
      </rPr>
      <t>食品有限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</si>
  <si>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甜酒;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威士忌; 高粱酒;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</si>
  <si>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NEURIO</t>
  </si>
  <si>
    <t>广州奥提瓦生物科技有限公司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</si>
  <si>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果酒; 威士忌;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白干酒（中国白酒）; 白葡萄酒;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</si>
  <si>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尔</t>
    </r>
    <r>
      <rPr>
        <sz val="11"/>
        <color theme="1"/>
        <rFont val="ＭＳ Ｐゴシック"/>
        <family val="3"/>
        <charset val="128"/>
        <scheme val="minor"/>
      </rPr>
      <t>豪</t>
    </r>
    <r>
      <rPr>
        <sz val="11"/>
        <color theme="1"/>
        <rFont val="ＭＳ Ｐゴシック"/>
        <family val="3"/>
        <charset val="134"/>
        <scheme val="minor"/>
      </rPr>
      <t>丝</t>
    </r>
  </si>
  <si>
    <r>
      <t>依米尼江·阿不地卡地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</si>
  <si>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甜果酒; 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</si>
  <si>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HPPGO 皇苹果</t>
  </si>
  <si>
    <r>
      <t>皇苹果家居用品集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</si>
  <si>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烈酒; 清酒（日本米酒）; 黄酒; 米酒; 果酒（含酒精）; 威士忌</t>
    </r>
  </si>
  <si>
    <r>
      <t>尚</t>
    </r>
    <r>
      <rPr>
        <sz val="11"/>
        <color theme="1"/>
        <rFont val="ＭＳ Ｐゴシック"/>
        <family val="3"/>
        <charset val="134"/>
        <scheme val="minor"/>
      </rPr>
      <t>轩</t>
    </r>
  </si>
  <si>
    <t>陈红军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</si>
  <si>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</si>
  <si>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四季礼</t>
    </r>
    <r>
      <rPr>
        <sz val="11"/>
        <color theme="1"/>
        <rFont val="ＭＳ Ｐゴシック"/>
        <family val="3"/>
        <charset val="134"/>
        <scheme val="minor"/>
      </rPr>
      <t>赞</t>
    </r>
  </si>
  <si>
    <r>
      <t>粮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</si>
  <si>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利口酒;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</si>
  <si>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小糊涂仙酒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(集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)有限公司</t>
    </r>
  </si>
  <si>
    <r>
      <t>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</si>
  <si>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查</t>
    </r>
    <r>
      <rPr>
        <sz val="11"/>
        <color theme="1"/>
        <rFont val="ＭＳ Ｐゴシック"/>
        <family val="3"/>
        <charset val="128"/>
        <scheme val="minor"/>
      </rPr>
      <t>氏水酒</t>
    </r>
  </si>
  <si>
    <r>
      <t>查</t>
    </r>
    <r>
      <rPr>
        <sz val="11"/>
        <color theme="1"/>
        <rFont val="ＭＳ Ｐゴシック"/>
        <family val="3"/>
        <charset val="128"/>
        <scheme val="minor"/>
      </rPr>
      <t>永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</si>
  <si>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米酒; 苦艾酒;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开胃酒; 白酒; 白干酒（中国白酒）</t>
    </r>
  </si>
  <si>
    <t>秦阳河</t>
  </si>
  <si>
    <t>潘琪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</si>
  <si>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白酒; 葡萄酒; 果酒; 威士忌; 伏特加酒;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</si>
  <si>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渡小白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</si>
  <si>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市源玖坊酒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</si>
  <si>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餐后酒（利口酒和烈酒）;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苹果酒</t>
    </r>
  </si>
  <si>
    <t>正合老百姓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</si>
  <si>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州土茅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</si>
  <si>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</si>
  <si>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封韵</t>
  </si>
  <si>
    <r>
      <t>顾卫</t>
    </r>
    <r>
      <rPr>
        <sz val="11"/>
        <color theme="1"/>
        <rFont val="ＭＳ Ｐゴシック"/>
        <family val="3"/>
        <charset val="128"/>
        <scheme val="minor"/>
      </rPr>
      <t>峰</t>
    </r>
  </si>
  <si>
    <r>
      <t>果酒（含酒精）; 威士忌;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</t>
    </r>
  </si>
  <si>
    <t>封厚</t>
  </si>
  <si>
    <r>
      <t xml:space="preserve">米酒; 黄酒; 白酒;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</si>
  <si>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常春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</si>
  <si>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定酒厂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</si>
  <si>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利口酒; 葡萄酒;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</si>
  <si>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好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</si>
  <si>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白酒; 威士忌; 米酒; 果酒（含酒精）; 黄酒</t>
    </r>
  </si>
  <si>
    <r>
      <t>年 酒 真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基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</si>
  <si>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汽酒</t>
    </r>
  </si>
  <si>
    <t>佰草猿</t>
  </si>
  <si>
    <r>
      <t>海南星推荐文化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</si>
  <si>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白酒; 黄酒; 果酒（含酒精）; 清酒;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</si>
  <si>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老王</t>
    </r>
    <r>
      <rPr>
        <sz val="11"/>
        <color theme="1"/>
        <rFont val="ＭＳ Ｐゴシック"/>
        <family val="3"/>
        <charset val="134"/>
        <scheme val="minor"/>
      </rPr>
      <t>头</t>
    </r>
  </si>
  <si>
    <r>
      <t>葫芦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市兆国畜牧养殖</t>
    </r>
    <r>
      <rPr>
        <sz val="11"/>
        <color theme="1"/>
        <rFont val="ＭＳ Ｐゴシック"/>
        <family val="3"/>
        <charset val="134"/>
        <scheme val="minor"/>
      </rPr>
      <t>场</t>
    </r>
  </si>
  <si>
    <r>
      <t xml:space="preserve">黄酒; 米酒; 果酒; 麦芽威士忌; 葡萄酒; 烈酒; 高粱酒; 清酒;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</si>
  <si>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鹤</t>
    </r>
    <r>
      <rPr>
        <sz val="11"/>
        <color theme="1"/>
        <rFont val="ＭＳ Ｐゴシック"/>
        <family val="3"/>
        <charset val="128"/>
        <scheme val="minor"/>
      </rPr>
      <t>云里</t>
    </r>
  </si>
  <si>
    <r>
      <t>广州市白云区</t>
    </r>
    <r>
      <rPr>
        <sz val="11"/>
        <color theme="1"/>
        <rFont val="ＭＳ Ｐゴシック"/>
        <family val="3"/>
        <charset val="134"/>
        <scheme val="minor"/>
      </rPr>
      <t>娱记</t>
    </r>
    <r>
      <rPr>
        <sz val="11"/>
        <color theme="1"/>
        <rFont val="ＭＳ Ｐゴシック"/>
        <family val="3"/>
        <charset val="128"/>
        <scheme val="minor"/>
      </rPr>
      <t>茶餐</t>
    </r>
    <r>
      <rPr>
        <sz val="11"/>
        <color theme="1"/>
        <rFont val="ＭＳ Ｐゴシック"/>
        <family val="3"/>
        <charset val="134"/>
        <scheme val="minor"/>
      </rPr>
      <t>厅</t>
    </r>
  </si>
  <si>
    <r>
      <t>果酒（含酒精）; 薄荷酒;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</si>
  <si>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纸</t>
    </r>
    <r>
      <rPr>
        <sz val="11"/>
        <color theme="1"/>
        <rFont val="ＭＳ Ｐゴシック"/>
        <family val="3"/>
        <charset val="128"/>
        <scheme val="minor"/>
      </rPr>
      <t>房酒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</si>
  <si>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州省宏鼎鑫酒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</si>
  <si>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果酒; 黄酒;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</si>
  <si>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群雄逐鹿</t>
  </si>
  <si>
    <r>
      <t>顾</t>
    </r>
    <r>
      <rPr>
        <sz val="11"/>
        <color theme="1"/>
        <rFont val="ＭＳ Ｐゴシック"/>
        <family val="3"/>
        <charset val="128"/>
        <scheme val="minor"/>
      </rPr>
      <t>金奎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</si>
  <si>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白干酒（中国白酒）; 果酒（含酒精）;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</si>
  <si>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将台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</si>
  <si>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果酒（含酒精）;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</si>
  <si>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龙马</t>
    </r>
    <r>
      <rPr>
        <sz val="11"/>
        <color theme="1"/>
        <rFont val="ＭＳ Ｐゴシック"/>
        <family val="3"/>
        <charset val="128"/>
        <scheme val="minor"/>
      </rPr>
      <t>酒庄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</si>
  <si>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蔺县</t>
    </r>
    <r>
      <rPr>
        <sz val="11"/>
        <color theme="1"/>
        <rFont val="ＭＳ Ｐゴシック"/>
        <family val="3"/>
        <charset val="128"/>
        <scheme val="minor"/>
      </rPr>
      <t>久盛投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</si>
  <si>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米酒; 果酒（含酒精）; 开胃酒;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</si>
  <si>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老川</t>
  </si>
  <si>
    <r>
      <t>南京康海商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</si>
  <si>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清酒（日本米酒）</t>
    </r>
  </si>
  <si>
    <t>瑞丰上河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</si>
  <si>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州瑞丰酒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</si>
  <si>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蒸煮提取物（利口酒和烈酒）;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</si>
  <si>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黔王神</t>
  </si>
  <si>
    <r>
      <t>南京李慕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</si>
  <si>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米酒; 食用酒精;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</si>
  <si>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查</t>
    </r>
    <r>
      <rPr>
        <sz val="11"/>
        <color theme="1"/>
        <rFont val="ＭＳ Ｐゴシック"/>
        <family val="3"/>
        <charset val="128"/>
        <scheme val="minor"/>
      </rPr>
      <t>理</t>
    </r>
    <r>
      <rPr>
        <sz val="11"/>
        <color theme="1"/>
        <rFont val="ＭＳ Ｐゴシック"/>
        <family val="3"/>
        <charset val="134"/>
        <scheme val="minor"/>
      </rPr>
      <t>苏</t>
    </r>
  </si>
  <si>
    <r>
      <t>腾讯</t>
    </r>
    <r>
      <rPr>
        <sz val="11"/>
        <color theme="1"/>
        <rFont val="ＭＳ Ｐゴシック"/>
        <family val="3"/>
        <charset val="128"/>
        <scheme val="minor"/>
      </rPr>
      <t>科技（深圳）有限公司</t>
    </r>
  </si>
  <si>
    <r>
      <t xml:space="preserve">米酒;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威士忌</t>
    </r>
  </si>
  <si>
    <r>
      <t>动</t>
    </r>
    <r>
      <rPr>
        <sz val="11"/>
        <color theme="1"/>
        <rFont val="ＭＳ Ｐゴシック"/>
        <family val="3"/>
        <charset val="128"/>
        <scheme val="minor"/>
      </rPr>
      <t>感地</t>
    </r>
    <r>
      <rPr>
        <sz val="11"/>
        <color theme="1"/>
        <rFont val="ＭＳ Ｐゴシック"/>
        <family val="3"/>
        <charset val="134"/>
        <scheme val="minor"/>
      </rPr>
      <t>带</t>
    </r>
  </si>
  <si>
    <r>
      <t>中国移</t>
    </r>
    <r>
      <rPr>
        <sz val="11"/>
        <color theme="1"/>
        <rFont val="ＭＳ Ｐゴシック"/>
        <family val="3"/>
        <charset val="134"/>
        <scheme val="minor"/>
      </rPr>
      <t>动</t>
    </r>
    <r>
      <rPr>
        <sz val="11"/>
        <color theme="1"/>
        <rFont val="ＭＳ Ｐゴシック"/>
        <family val="3"/>
        <charset val="128"/>
        <scheme val="minor"/>
      </rPr>
      <t>通信集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</si>
  <si>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葡萄酒; 白酒; 果酒（含酒精）</t>
    </r>
  </si>
  <si>
    <r>
      <t>九大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</si>
  <si>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</si>
  <si>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 xml:space="preserve">果酒（含酒精）; 葡萄酒; 黄酒;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清酒; 米酒</t>
    </r>
  </si>
  <si>
    <t>方休</t>
  </si>
  <si>
    <r>
      <t>赵</t>
    </r>
    <r>
      <rPr>
        <sz val="11"/>
        <color theme="1"/>
        <rFont val="ＭＳ Ｐゴシック"/>
        <family val="3"/>
        <charset val="128"/>
        <scheme val="minor"/>
      </rPr>
      <t>小利</t>
    </r>
  </si>
  <si>
    <r>
      <t>白干酒（中国白酒）; 果酒;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高粱酒; 白酒</t>
    </r>
  </si>
  <si>
    <t>源之道</t>
  </si>
  <si>
    <r>
      <t>餐后酒（利口酒和烈酒）;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蒸煮提取物（利口酒和烈酒）;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果酒（含酒精）</t>
    </r>
  </si>
  <si>
    <t>老滇山寨</t>
  </si>
  <si>
    <r>
      <t>云南老滇山寨餐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</si>
  <si>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</si>
  <si>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BEYND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</si>
  <si>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州必</t>
    </r>
    <r>
      <rPr>
        <sz val="11"/>
        <color theme="1"/>
        <rFont val="ＭＳ Ｐゴシック"/>
        <family val="3"/>
        <charset val="134"/>
        <scheme val="minor"/>
      </rPr>
      <t>扬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（普通合伙）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</si>
  <si>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果酒（含酒精）; 葡萄酒; 清酒（日本米酒）; 黄酒</t>
    </r>
  </si>
  <si>
    <t>黔溪坊</t>
  </si>
  <si>
    <r>
      <t>万德</t>
    </r>
    <r>
      <rPr>
        <sz val="11"/>
        <color theme="1"/>
        <rFont val="ＭＳ Ｐゴシック"/>
        <family val="3"/>
        <charset val="134"/>
        <scheme val="minor"/>
      </rPr>
      <t>权</t>
    </r>
  </si>
  <si>
    <r>
      <t xml:space="preserve">果酒（含酒精）; 清酒;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</t>
    </r>
  </si>
  <si>
    <r>
      <t>州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</si>
  <si>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市珍品酒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</si>
  <si>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食用酒精; 米酒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</si>
  <si>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食用酒精; 葡萄酒</t>
    </r>
  </si>
  <si>
    <r>
      <t>布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可</t>
    </r>
  </si>
  <si>
    <r>
      <t>上海布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可科技集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</si>
  <si>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威士忌;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苦味酒</t>
    </r>
  </si>
  <si>
    <t>年品 32</t>
  </si>
  <si>
    <r>
      <t>汽酒; 黄酒;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</si>
  <si>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果酒（含酒精）; 葡萄酒</t>
    </r>
  </si>
  <si>
    <r>
      <t>珍</t>
    </r>
    <r>
      <rPr>
        <sz val="11"/>
        <color theme="1"/>
        <rFont val="ＭＳ Ｐゴシック"/>
        <family val="3"/>
        <charset val="134"/>
        <scheme val="minor"/>
      </rPr>
      <t>狮</t>
    </r>
  </si>
  <si>
    <t>邵仁造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</si>
  <si>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</t>
    </r>
  </si>
  <si>
    <t>年份尊崇 崇酒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</si>
  <si>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州最藏酒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</si>
  <si>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</si>
  <si>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唐 古唐年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</si>
  <si>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市涪霆百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店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</si>
  <si>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</t>
    </r>
  </si>
  <si>
    <t>九帝隆</t>
  </si>
  <si>
    <t>邢涛</t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</si>
  <si>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果酒（含酒精）;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黄酒; 葡萄酒</t>
    </r>
  </si>
  <si>
    <r>
      <t>黔窑喜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 xml:space="preserve"> QIAN JIAO XI GUI</t>
    </r>
  </si>
  <si>
    <r>
      <t>余</t>
    </r>
    <r>
      <rPr>
        <sz val="11"/>
        <color theme="1"/>
        <rFont val="ＭＳ Ｐゴシック"/>
        <family val="3"/>
        <charset val="134"/>
        <scheme val="minor"/>
      </rPr>
      <t>庆县</t>
    </r>
    <r>
      <rPr>
        <sz val="11"/>
        <color theme="1"/>
        <rFont val="ＭＳ Ｐゴシック"/>
        <family val="3"/>
        <charset val="128"/>
        <scheme val="minor"/>
      </rPr>
      <t>黔味酒厂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</si>
  <si>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食用酒精; 黄酒; 汽酒;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</t>
    </r>
  </si>
  <si>
    <t>自流泉</t>
  </si>
  <si>
    <t>池海</t>
  </si>
  <si>
    <r>
      <t xml:space="preserve">威士忌; 白酒; 茴芹酒（利口酒）;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果酒（含酒精）; 米酒; 清酒（日本米酒）; 蜂蜜酒; 利口酒</t>
    </r>
  </si>
  <si>
    <t>MONT CYPRES</t>
  </si>
  <si>
    <r>
      <t>北京京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世</t>
    </r>
    <r>
      <rPr>
        <sz val="11"/>
        <color theme="1"/>
        <rFont val="ＭＳ Ｐゴシック"/>
        <family val="3"/>
        <charset val="134"/>
        <scheme val="minor"/>
      </rPr>
      <t>纪贸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</si>
  <si>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食用酒精; 白酒;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</si>
  <si>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将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情</t>
    </r>
  </si>
  <si>
    <r>
      <t>平凉将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生</t>
    </r>
    <r>
      <rPr>
        <sz val="11"/>
        <color theme="1"/>
        <rFont val="ＭＳ Ｐゴシック"/>
        <family val="3"/>
        <charset val="134"/>
        <scheme val="minor"/>
      </rPr>
      <t>态农业发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</si>
  <si>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黄酒;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清酒</t>
    </r>
  </si>
  <si>
    <t>君仙谷</t>
  </si>
  <si>
    <r>
      <t>金寨君仙谷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</si>
  <si>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</t>
    </r>
  </si>
  <si>
    <r>
      <t>紫禁御</t>
    </r>
    <r>
      <rPr>
        <sz val="11"/>
        <color theme="1"/>
        <rFont val="ＭＳ Ｐゴシック"/>
        <family val="3"/>
        <charset val="129"/>
        <scheme val="minor"/>
      </rPr>
      <t>喵</t>
    </r>
    <r>
      <rPr>
        <sz val="11"/>
        <color theme="1"/>
        <rFont val="ＭＳ Ｐゴシック"/>
        <family val="3"/>
        <charset val="128"/>
        <scheme val="minor"/>
      </rPr>
      <t>房 PALACE CATT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</si>
  <si>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事</t>
    </r>
    <r>
      <rPr>
        <sz val="11"/>
        <color theme="1"/>
        <rFont val="ＭＳ Ｐゴシック"/>
        <family val="3"/>
        <charset val="134"/>
        <scheme val="minor"/>
      </rPr>
      <t>宫办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</si>
  <si>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</t>
    </r>
  </si>
  <si>
    <r>
      <t>泸鸣</t>
    </r>
    <r>
      <rPr>
        <sz val="11"/>
        <color theme="1"/>
        <rFont val="ＭＳ Ｐゴシック"/>
        <family val="3"/>
        <charset val="128"/>
        <scheme val="minor"/>
      </rPr>
      <t>春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</si>
  <si>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泸鸣</t>
    </r>
    <r>
      <rPr>
        <sz val="11"/>
        <color theme="1"/>
        <rFont val="ＭＳ Ｐゴシック"/>
        <family val="3"/>
        <charset val="128"/>
        <scheme val="minor"/>
      </rPr>
      <t>春酒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</si>
  <si>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果酒（含酒精）; 白酒; 杜松子酒; 威士忌;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</si>
  <si>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锅</t>
    </r>
    <r>
      <rPr>
        <sz val="11"/>
        <color theme="1"/>
        <rFont val="ＭＳ Ｐゴシック"/>
        <family val="3"/>
        <charset val="128"/>
        <scheme val="minor"/>
      </rPr>
      <t>庄宴液</t>
    </r>
  </si>
  <si>
    <t>四川酒原品牌管理有限公司</t>
  </si>
  <si>
    <r>
      <t>果酒（含酒精）;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黄酒; 开胃酒;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</si>
  <si>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战</t>
    </r>
    <r>
      <rPr>
        <sz val="11"/>
        <color theme="1"/>
        <rFont val="ＭＳ Ｐゴシック"/>
        <family val="3"/>
        <charset val="128"/>
        <scheme val="minor"/>
      </rPr>
      <t>斗</t>
    </r>
    <r>
      <rPr>
        <sz val="11"/>
        <color theme="1"/>
        <rFont val="ＭＳ Ｐゴシック"/>
        <family val="3"/>
        <charset val="134"/>
        <scheme val="minor"/>
      </rPr>
      <t>饮</t>
    </r>
  </si>
  <si>
    <r>
      <t>本草极萃（武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）生物科技有限公司</t>
    </r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</si>
  <si>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</si>
  <si>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t>荣耀九洲</t>
  </si>
  <si>
    <t>万茗堂有限公司</t>
  </si>
  <si>
    <r>
      <t>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</si>
  <si>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美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知己</t>
    </r>
  </si>
  <si>
    <r>
      <t>海南和木文化投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</si>
  <si>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</si>
  <si>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切果 NOW</t>
  </si>
  <si>
    <r>
      <t>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8"/>
        <scheme val="minor"/>
      </rPr>
      <t>切果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</si>
  <si>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汽酒; 清酒（日本米酒）;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</si>
  <si>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JONES KANE</t>
  </si>
  <si>
    <r>
      <t>奥德莱(昌邑)商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</si>
  <si>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加烈葡萄酒; 威末酒; 杜松子酒; 利口酒; 伏特加酒; 朗姆酒; 茴香酒;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</si>
  <si>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r>
      <t>瑜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园</t>
    </r>
  </si>
  <si>
    <r>
      <t>安徽瑾瑜网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信息科技有限公司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</si>
  <si>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青稞酒</t>
    </r>
  </si>
  <si>
    <r>
      <t>四川宜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三江酒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</si>
  <si>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蜂蜜酒;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柑香酒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</si>
  <si>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序</t>
    </r>
  </si>
  <si>
    <r>
      <t>伏特加酒;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白酒; 青稞酒</t>
    </r>
  </si>
  <si>
    <t>耀牌酒 真年耀</t>
  </si>
  <si>
    <r>
      <t>海口</t>
    </r>
    <r>
      <rPr>
        <sz val="11"/>
        <color theme="1"/>
        <rFont val="ＭＳ Ｐゴシック"/>
        <family val="3"/>
        <charset val="134"/>
        <scheme val="minor"/>
      </rPr>
      <t>龙华</t>
    </r>
    <r>
      <rPr>
        <sz val="11"/>
        <color theme="1"/>
        <rFont val="ＭＳ Ｐゴシック"/>
        <family val="3"/>
        <charset val="128"/>
        <scheme val="minor"/>
      </rPr>
      <t>梓莱汪信息咨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</si>
  <si>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</si>
  <si>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朝夕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</si>
  <si>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州朝夕酒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</si>
  <si>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利口酒; 白酒;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</si>
  <si>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凰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天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</si>
  <si>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和</t>
    </r>
    <r>
      <rPr>
        <sz val="11"/>
        <color theme="1"/>
        <rFont val="ＭＳ Ｐゴシック"/>
        <family val="3"/>
        <charset val="134"/>
        <scheme val="minor"/>
      </rPr>
      <t>颐</t>
    </r>
    <r>
      <rPr>
        <sz val="11"/>
        <color theme="1"/>
        <rFont val="ＭＳ Ｐゴシック"/>
        <family val="3"/>
        <charset val="128"/>
        <scheme val="minor"/>
      </rPr>
      <t>康旅信息科技有限公司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</si>
  <si>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果酒（含酒精）; 苦味酒;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</t>
    </r>
  </si>
  <si>
    <t>髙地将</t>
  </si>
  <si>
    <r>
      <t>清酒（日本米酒）;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汽酒</t>
    </r>
  </si>
  <si>
    <t>醴霖</t>
  </si>
  <si>
    <t>纪兴尧</t>
  </si>
  <si>
    <r>
      <t xml:space="preserve">果酒（含酒精）;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青稞酒;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</t>
    </r>
  </si>
  <si>
    <t>悦聚</t>
  </si>
  <si>
    <r>
      <t>茂名市春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秋</t>
    </r>
    <r>
      <rPr>
        <sz val="11"/>
        <color theme="1"/>
        <rFont val="ＭＳ Ｐゴシック"/>
        <family val="3"/>
        <charset val="134"/>
        <scheme val="minor"/>
      </rPr>
      <t>实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</si>
  <si>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</si>
  <si>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藏香呈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</si>
  <si>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醉梦粮原酒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</si>
  <si>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葡萄酒;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</si>
  <si>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叙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</si>
  <si>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果酒; 开胃酒; 朗姆酒; 伏特加酒; 清酒; 青稞酒;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</si>
  <si>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温韵</t>
  </si>
  <si>
    <t>温州市瓯礼文化研究中心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</si>
  <si>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烈酒; 白酒; 清酒（日本米酒）</t>
    </r>
  </si>
  <si>
    <t>鑫世博</t>
  </si>
  <si>
    <r>
      <t>刘燕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</si>
  <si>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白酒;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</si>
  <si>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亮子醇</t>
  </si>
  <si>
    <r>
      <t>曲靖市麒麟区云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酒坊有限公司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</si>
  <si>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</si>
  <si>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祯</t>
    </r>
    <r>
      <rPr>
        <sz val="11"/>
        <color theme="1"/>
        <rFont val="ＭＳ Ｐゴシック"/>
        <family val="3"/>
        <charset val="128"/>
        <scheme val="minor"/>
      </rPr>
      <t>鑫美容有限公司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</si>
  <si>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食用酒精;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</si>
  <si>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茶元</t>
  </si>
  <si>
    <r>
      <t>程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洋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</si>
  <si>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清酒; 高粱酒; 果酒</t>
    </r>
  </si>
  <si>
    <t>赤河近台</t>
  </si>
  <si>
    <r>
      <t>刘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先</t>
    </r>
  </si>
  <si>
    <r>
      <t>青稞酒;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米酒</t>
    </r>
  </si>
  <si>
    <t>南悦春</t>
  </si>
  <si>
    <r>
      <t>酱</t>
    </r>
    <r>
      <rPr>
        <sz val="11"/>
        <color theme="1"/>
        <rFont val="ＭＳ Ｐゴシック"/>
        <family val="3"/>
        <charset val="128"/>
        <scheme val="minor"/>
      </rPr>
      <t>酒园文化（深圳）有限公司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</si>
  <si>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</si>
  <si>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POPULUS</t>
  </si>
  <si>
    <r>
      <t>上海胡</t>
    </r>
    <r>
      <rPr>
        <sz val="11"/>
        <color theme="1"/>
        <rFont val="ＭＳ Ｐゴシック"/>
        <family val="3"/>
        <charset val="134"/>
        <scheme val="minor"/>
      </rPr>
      <t>杨铃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</si>
  <si>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朗姆酒;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杜松子酒;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</si>
  <si>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熊府</t>
  </si>
  <si>
    <r>
      <t>陈</t>
    </r>
    <r>
      <rPr>
        <sz val="11"/>
        <color theme="1"/>
        <rFont val="ＭＳ Ｐゴシック"/>
        <family val="3"/>
        <charset val="128"/>
        <scheme val="minor"/>
      </rPr>
      <t>良勇******************</t>
    </r>
  </si>
  <si>
    <r>
      <t>米酒; 白酒; 清酒;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</si>
  <si>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鸟</t>
    </r>
    <r>
      <rPr>
        <sz val="11"/>
        <color theme="1"/>
        <rFont val="ＭＳ Ｐゴシック"/>
        <family val="3"/>
        <charset val="128"/>
        <scheme val="minor"/>
      </rPr>
      <t>王子</t>
    </r>
  </si>
  <si>
    <r>
      <t>徐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海</t>
    </r>
  </si>
  <si>
    <r>
      <t>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开胃酒; 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</si>
  <si>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小平房</t>
  </si>
  <si>
    <r>
      <t>辽</t>
    </r>
    <r>
      <rPr>
        <sz val="11"/>
        <color theme="1"/>
        <rFont val="ＭＳ Ｐゴシック"/>
        <family val="3"/>
        <charset val="128"/>
        <scheme val="minor"/>
      </rPr>
      <t>宁秀源果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科技开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</si>
  <si>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果酒（含酒精）; 威士忌; 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</si>
  <si>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雀台</t>
    </r>
    <r>
      <rPr>
        <sz val="11"/>
        <color theme="1"/>
        <rFont val="ＭＳ Ｐゴシック"/>
        <family val="3"/>
        <charset val="134"/>
        <scheme val="minor"/>
      </rPr>
      <t>龙窝</t>
    </r>
  </si>
  <si>
    <t>赵鹏凯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</si>
  <si>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</si>
  <si>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酒安泰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</si>
  <si>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市惕</t>
    </r>
    <r>
      <rPr>
        <sz val="11"/>
        <color theme="1"/>
        <rFont val="ＭＳ Ｐゴシック"/>
        <family val="3"/>
        <charset val="134"/>
        <scheme val="minor"/>
      </rPr>
      <t>靓</t>
    </r>
    <r>
      <rPr>
        <sz val="11"/>
        <color theme="1"/>
        <rFont val="ＭＳ Ｐゴシック"/>
        <family val="3"/>
        <charset val="128"/>
        <scheme val="minor"/>
      </rPr>
      <t>广告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工作室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</si>
  <si>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米酒;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</si>
  <si>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卦台</t>
  </si>
  <si>
    <r>
      <t>黄</t>
    </r>
    <r>
      <rPr>
        <sz val="11"/>
        <color theme="1"/>
        <rFont val="ＭＳ Ｐゴシック"/>
        <family val="3"/>
        <charset val="134"/>
        <scheme val="minor"/>
      </rPr>
      <t>爱东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</si>
  <si>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果酒; 葡萄酒;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黄酒; 清酒; 米酒</t>
    </r>
  </si>
  <si>
    <r>
      <t>情景</t>
    </r>
    <r>
      <rPr>
        <sz val="11"/>
        <color theme="1"/>
        <rFont val="ＭＳ Ｐゴシック"/>
        <family val="3"/>
        <charset val="134"/>
        <scheme val="minor"/>
      </rPr>
      <t>亲</t>
    </r>
  </si>
  <si>
    <r>
      <t>汽酒; 黄酒; 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</si>
  <si>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豪都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</si>
  <si>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食用酒精; 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高粱酒</t>
    </r>
  </si>
  <si>
    <t>甑牌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</si>
  <si>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州甑牌酒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</si>
  <si>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白酒; 米酒</t>
    </r>
  </si>
  <si>
    <t>醉珍惜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</si>
  <si>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州尊荣酒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</si>
  <si>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梨酒; 白酒; 利口酒;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果酒（含酒精）; 米酒; 葡萄酒; 苹果酒</t>
    </r>
  </si>
  <si>
    <t>遵坦</t>
  </si>
  <si>
    <r>
      <t>贵</t>
    </r>
    <r>
      <rPr>
        <sz val="11"/>
        <color theme="1"/>
        <rFont val="ＭＳ Ｐゴシック"/>
        <family val="3"/>
        <charset val="128"/>
        <scheme val="minor"/>
      </rPr>
      <t>阳江智</t>
    </r>
    <r>
      <rPr>
        <sz val="11"/>
        <color theme="1"/>
        <rFont val="ＭＳ Ｐゴシック"/>
        <family val="3"/>
        <charset val="134"/>
        <scheme val="minor"/>
      </rPr>
      <t>缘贸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</si>
  <si>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黄酒; 葡萄酒;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汽酒</t>
    </r>
  </si>
  <si>
    <r>
      <t>颖</t>
    </r>
    <r>
      <rPr>
        <sz val="11"/>
        <color theme="1"/>
        <rFont val="ＭＳ Ｐゴシック"/>
        <family val="3"/>
        <charset val="128"/>
        <scheme val="minor"/>
      </rPr>
      <t>瑆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</si>
  <si>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颖</t>
    </r>
    <r>
      <rPr>
        <sz val="11"/>
        <color theme="1"/>
        <rFont val="ＭＳ Ｐゴシック"/>
        <family val="3"/>
        <charset val="128"/>
        <scheme val="minor"/>
      </rPr>
      <t>瑆机</t>
    </r>
    <r>
      <rPr>
        <sz val="11"/>
        <color theme="1"/>
        <rFont val="ＭＳ Ｐゴシック"/>
        <family val="3"/>
        <charset val="134"/>
        <scheme val="minor"/>
      </rPr>
      <t>电设备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</si>
  <si>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白酒; 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杜松子酒; 黄酒</t>
    </r>
  </si>
  <si>
    <r>
      <t>赖</t>
    </r>
    <r>
      <rPr>
        <sz val="11"/>
        <color theme="1"/>
        <rFont val="ＭＳ Ｐゴシック"/>
        <family val="3"/>
        <charset val="128"/>
        <scheme val="minor"/>
      </rPr>
      <t>浦昌</t>
    </r>
  </si>
  <si>
    <t>任瑞海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</si>
  <si>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青稞酒; 清酒; 葡萄酒; 果酒（含酒精）</t>
    </r>
  </si>
  <si>
    <r>
      <t>观</t>
    </r>
    <r>
      <rPr>
        <sz val="11"/>
        <color theme="1"/>
        <rFont val="ＭＳ Ｐゴシック"/>
        <family val="3"/>
        <charset val="129"/>
        <scheme val="minor"/>
      </rPr>
      <t>怀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</si>
  <si>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</si>
  <si>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青稞酒; 米酒;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白酒; 葡萄酒</t>
    </r>
  </si>
  <si>
    <t>黔罐</t>
  </si>
  <si>
    <r>
      <t>利口酒; 葡萄酒; 果酒（含酒精）; 米酒; 青稞酒; 清酒（日本米酒）;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</si>
  <si>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盖世侠客 FURIOUSWARRIOR</t>
  </si>
  <si>
    <t>李忠海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</si>
  <si>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果酒（含酒精）; 葡萄酒; 清酒（日本米酒）; 杜松子酒; 白酒</t>
    </r>
  </si>
  <si>
    <t>葡湃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</si>
  <si>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州澳露雅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</si>
  <si>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苹果酒;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</si>
  <si>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庸城</t>
    </r>
    <r>
      <rPr>
        <sz val="11"/>
        <color theme="1"/>
        <rFont val="ＭＳ Ｐゴシック"/>
        <family val="3"/>
        <charset val="134"/>
        <scheme val="minor"/>
      </rPr>
      <t>铭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</si>
  <si>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声斗</t>
    </r>
  </si>
  <si>
    <r>
      <t>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</t>
    </r>
  </si>
  <si>
    <r>
      <t>丰年</t>
    </r>
    <r>
      <rPr>
        <sz val="11"/>
        <color theme="1"/>
        <rFont val="ＭＳ Ｐゴシック"/>
        <family val="3"/>
        <charset val="134"/>
        <scheme val="minor"/>
      </rPr>
      <t>龙鉴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</si>
  <si>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亚</t>
    </r>
  </si>
  <si>
    <r>
      <t xml:space="preserve">白干酒（中国白酒）;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烈酒; 露酒; 白酒;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草莓酒</t>
    </r>
  </si>
  <si>
    <t>众品景熠</t>
  </si>
  <si>
    <r>
      <t>张</t>
    </r>
    <r>
      <rPr>
        <sz val="11"/>
        <color theme="1"/>
        <rFont val="ＭＳ Ｐゴシック"/>
        <family val="3"/>
        <charset val="128"/>
        <scheme val="minor"/>
      </rPr>
      <t>萍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</si>
  <si>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杜松子酒; 利口酒; 伏特加酒; 朗姆酒; 白酒; 苦味酒; 黄酒; 餐后酒（利口酒和烈酒）</t>
    </r>
  </si>
  <si>
    <t>XINGTIANJIAN</t>
  </si>
  <si>
    <r>
      <t>行天健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</si>
  <si>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烈酒; 葡萄酒; 佐餐酒;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</t>
    </r>
  </si>
  <si>
    <r>
      <t>广州茶咖世家餐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</si>
  <si>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茴香酒（利口酒）;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</si>
  <si>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伴人伴</t>
  </si>
  <si>
    <r>
      <t>河南德信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</si>
  <si>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开胃酒;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果酒; 米酒; 白酒</t>
    </r>
  </si>
  <si>
    <t>禛牌 年藏禛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</si>
  <si>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养心殿酒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</si>
  <si>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</t>
    </r>
  </si>
  <si>
    <t>弘圣禾</t>
  </si>
  <si>
    <t>常州弘圣科技有限公司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</si>
  <si>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</si>
  <si>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沾金</t>
  </si>
  <si>
    <r>
      <t>广州君越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本管理有限公司</t>
    </r>
  </si>
  <si>
    <r>
      <t xml:space="preserve">葡萄酒; 威士忌;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</si>
  <si>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慈金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</si>
  <si>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安徽慈金商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</si>
  <si>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开胃酒;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甜酒; 果酒; 黄酒;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</si>
  <si>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烧巭</t>
  </si>
  <si>
    <r>
      <t>马</t>
    </r>
    <r>
      <rPr>
        <sz val="11"/>
        <color theme="1"/>
        <rFont val="ＭＳ Ｐゴシック"/>
        <family val="3"/>
        <charset val="128"/>
        <scheme val="minor"/>
      </rPr>
      <t>呈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</si>
  <si>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米酒; 黄酒</t>
    </r>
  </si>
  <si>
    <t>依牧欧 YMO</t>
  </si>
  <si>
    <r>
      <t>三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峡市</t>
    </r>
    <r>
      <rPr>
        <sz val="11"/>
        <color theme="1"/>
        <rFont val="ＭＳ Ｐゴシック"/>
        <family val="3"/>
        <charset val="134"/>
        <scheme val="minor"/>
      </rPr>
      <t>诚汇</t>
    </r>
    <r>
      <rPr>
        <sz val="11"/>
        <color theme="1"/>
        <rFont val="ＭＳ Ｐゴシック"/>
        <family val="3"/>
        <charset val="128"/>
        <scheme val="minor"/>
      </rPr>
      <t>鑫林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</si>
  <si>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薄荷酒;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开胃酒;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</si>
  <si>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r>
      <t>问</t>
    </r>
    <r>
      <rPr>
        <sz val="11"/>
        <color theme="1"/>
        <rFont val="ＭＳ Ｐゴシック"/>
        <family val="3"/>
        <charset val="128"/>
        <scheme val="minor"/>
      </rPr>
      <t>青天</t>
    </r>
  </si>
  <si>
    <r>
      <t>四川中品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道国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</si>
  <si>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清酒; 白酒; 果酒; 果酒（含酒精）; 梅酒</t>
    </r>
  </si>
  <si>
    <t>沁福宴</t>
  </si>
  <si>
    <r>
      <t>山西</t>
    </r>
    <r>
      <rPr>
        <sz val="11"/>
        <color theme="1"/>
        <rFont val="ＭＳ Ｐゴシック"/>
        <family val="3"/>
        <charset val="134"/>
        <scheme val="minor"/>
      </rPr>
      <t>东风</t>
    </r>
    <r>
      <rPr>
        <sz val="11"/>
        <color theme="1"/>
        <rFont val="ＭＳ Ｐゴシック"/>
        <family val="3"/>
        <charset val="128"/>
        <scheme val="minor"/>
      </rPr>
      <t>湖生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</si>
  <si>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青稞酒</t>
    </r>
  </si>
  <si>
    <t>菩悦康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</si>
  <si>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嘉航健康管理有限公司</t>
    </r>
  </si>
  <si>
    <r>
      <t>青稞酒; 葡萄酒; 果酒（含酒精）;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蜂蜜酒;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</si>
  <si>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拾伍</t>
    </r>
    <r>
      <rPr>
        <sz val="11"/>
        <color theme="1"/>
        <rFont val="ＭＳ Ｐゴシック"/>
        <family val="3"/>
        <charset val="134"/>
        <scheme val="minor"/>
      </rPr>
      <t>贰</t>
    </r>
    <r>
      <rPr>
        <sz val="11"/>
        <color theme="1"/>
        <rFont val="ＭＳ Ｐゴシック"/>
        <family val="3"/>
        <charset val="128"/>
        <scheme val="minor"/>
      </rPr>
      <t>拾</t>
    </r>
  </si>
  <si>
    <r>
      <t>成都果之王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</si>
  <si>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酸酒（低等葡萄酒）;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果酒; 白酒; 苹果酒; 葡萄酒; 威士忌</t>
    </r>
  </si>
  <si>
    <t>运粮河</t>
  </si>
  <si>
    <r>
      <t>北京运粮河酒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</si>
  <si>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米酒;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</t>
    </r>
  </si>
  <si>
    <t>乾裕</t>
  </si>
  <si>
    <t>北极狐有限公司</t>
  </si>
  <si>
    <r>
      <t>利口酒; 白酒; 清酒（日本米酒）;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青稞酒</t>
    </r>
  </si>
  <si>
    <r>
      <t>久</t>
    </r>
    <r>
      <rPr>
        <sz val="11"/>
        <color theme="1"/>
        <rFont val="ＭＳ Ｐゴシック"/>
        <family val="3"/>
        <charset val="134"/>
        <scheme val="minor"/>
      </rPr>
      <t>驿</t>
    </r>
  </si>
  <si>
    <r>
      <t>永善</t>
    </r>
    <r>
      <rPr>
        <sz val="11"/>
        <color theme="1"/>
        <rFont val="ＭＳ Ｐゴシック"/>
        <family val="3"/>
        <charset val="134"/>
        <scheme val="minor"/>
      </rPr>
      <t>县驿</t>
    </r>
    <r>
      <rPr>
        <sz val="11"/>
        <color theme="1"/>
        <rFont val="ＭＳ Ｐゴシック"/>
        <family val="3"/>
        <charset val="128"/>
        <scheme val="minor"/>
      </rPr>
      <t>园造</t>
    </r>
    <r>
      <rPr>
        <sz val="11"/>
        <color theme="1"/>
        <rFont val="ＭＳ Ｐゴシック"/>
        <family val="3"/>
        <charset val="134"/>
        <scheme val="minor"/>
      </rPr>
      <t>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</si>
  <si>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蜂蜜酒;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</t>
    </r>
  </si>
  <si>
    <r>
      <t>太一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</si>
  <si>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太一技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（太原）有限公司</t>
    </r>
  </si>
  <si>
    <r>
      <t>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</si>
  <si>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大夏王者</t>
  </si>
  <si>
    <r>
      <t>和聚名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（温州）有限公司</t>
    </r>
  </si>
  <si>
    <r>
      <t>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白酒; 起泡白葡萄酒;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黄酒; 高粱酒; 麦芽威士忌; 威士忌; 葡萄酒; 白葡萄酒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</si>
  <si>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舍克腊 ASHIKLAR</t>
    </r>
  </si>
  <si>
    <r>
      <t>夏扎提古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·海比布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</si>
  <si>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葡萄酒; 朗姆酒;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伏特加酒; 威士忌; 果酒（含酒精）; 黄酒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</si>
  <si>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溪河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</si>
  <si>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溪河食品（集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</si>
  <si>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葡萄酒; 食用酒精; 果酒（含酒精）;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</si>
  <si>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方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 xml:space="preserve"> 淡雅大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</si>
  <si>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方</t>
    </r>
    <r>
      <rPr>
        <sz val="11"/>
        <color theme="1"/>
        <rFont val="ＭＳ Ｐゴシック"/>
        <family val="3"/>
        <charset val="134"/>
        <scheme val="minor"/>
      </rPr>
      <t>缘酿</t>
    </r>
    <r>
      <rPr>
        <sz val="11"/>
        <color theme="1"/>
        <rFont val="ＭＳ Ｐゴシック"/>
        <family val="3"/>
        <charset val="128"/>
        <scheme val="minor"/>
      </rPr>
      <t>酒股份有限公司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</si>
  <si>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威士忌</t>
    </r>
  </si>
  <si>
    <t>酙酒坊 POUR JIU FANG</t>
  </si>
  <si>
    <r>
      <t>四川罐子酒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</si>
  <si>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青梅酒; 白干酒（中国白酒）;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</si>
  <si>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PAFEOBAW 柏菲堡</t>
  </si>
  <si>
    <r>
      <t>酒香网（上海）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</si>
  <si>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</si>
  <si>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MUFG</t>
  </si>
  <si>
    <r>
      <t>三菱日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金融集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</si>
  <si>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豫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启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</si>
  <si>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启医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</si>
  <si>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威士忌;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</si>
  <si>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CHOU CHOU LAND</t>
  </si>
  <si>
    <r>
      <t>巨星文</t>
    </r>
    <r>
      <rPr>
        <sz val="11"/>
        <color theme="1"/>
        <rFont val="ＭＳ Ｐゴシック"/>
        <family val="3"/>
        <charset val="134"/>
        <scheme val="minor"/>
      </rPr>
      <t>创发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</si>
  <si>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葡萄酒; 白酒; 青稞酒; 咖啡利口酒;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果酒（含酒精）; 苦味酒;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</si>
  <si>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r>
      <t>提比价吾</t>
    </r>
    <r>
      <rPr>
        <sz val="11"/>
        <color theme="1"/>
        <rFont val="ＭＳ Ｐゴシック"/>
        <family val="3"/>
        <charset val="134"/>
        <scheme val="minor"/>
      </rPr>
      <t>兰</t>
    </r>
  </si>
  <si>
    <r>
      <t>和田</t>
    </r>
    <r>
      <rPr>
        <sz val="11"/>
        <color theme="1"/>
        <rFont val="ＭＳ Ｐゴシック"/>
        <family val="3"/>
        <charset val="129"/>
        <scheme val="minor"/>
      </rPr>
      <t>翱</t>
    </r>
    <r>
      <rPr>
        <sz val="11"/>
        <color theme="1"/>
        <rFont val="ＭＳ Ｐゴシック"/>
        <family val="3"/>
        <charset val="128"/>
        <scheme val="minor"/>
      </rPr>
      <t>翔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</si>
  <si>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杜松子酒;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混合威士忌酒; 汽酒;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茴香酒</t>
    </r>
  </si>
  <si>
    <t>康巴渠德</t>
  </si>
  <si>
    <r>
      <t>道孚渠德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特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品开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</si>
  <si>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果酒; 烈酒</t>
    </r>
  </si>
  <si>
    <t>孟日森格</t>
  </si>
  <si>
    <r>
      <t>迭部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孟日森格养殖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民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</si>
  <si>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青稞酒; 葡萄酒</t>
    </r>
  </si>
  <si>
    <r>
      <t>纳</t>
    </r>
    <r>
      <rPr>
        <sz val="11"/>
        <color theme="1"/>
        <rFont val="ＭＳ Ｐゴシック"/>
        <family val="3"/>
        <charset val="128"/>
        <scheme val="minor"/>
      </rPr>
      <t>如玖比</t>
    </r>
  </si>
  <si>
    <r>
      <t>西藏江孜</t>
    </r>
    <r>
      <rPr>
        <sz val="11"/>
        <color theme="1"/>
        <rFont val="ＭＳ Ｐゴシック"/>
        <family val="3"/>
        <charset val="134"/>
        <scheme val="minor"/>
      </rPr>
      <t>县纳</t>
    </r>
    <r>
      <rPr>
        <sz val="11"/>
        <color theme="1"/>
        <rFont val="ＭＳ Ｐゴシック"/>
        <family val="3"/>
        <charset val="128"/>
        <scheme val="minor"/>
      </rPr>
      <t>如玖比食品商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</si>
  <si>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烈酒;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甜酒; 葡萄酒</t>
    </r>
  </si>
  <si>
    <t>青花瓷天韵</t>
  </si>
  <si>
    <r>
      <t>青花瓷酒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</si>
  <si>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开胃酒;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利口酒</t>
    </r>
  </si>
  <si>
    <r>
      <t>威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 xml:space="preserve"> 欧斐 原汁白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</si>
  <si>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威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葡萄酒股份有限公司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</si>
  <si>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</t>
    </r>
  </si>
  <si>
    <t>港中坪</t>
  </si>
  <si>
    <r>
      <t>鼎城区</t>
    </r>
    <r>
      <rPr>
        <sz val="11"/>
        <color theme="1"/>
        <rFont val="ＭＳ Ｐゴシック"/>
        <family val="3"/>
        <charset val="134"/>
        <scheme val="minor"/>
      </rPr>
      <t>谢</t>
    </r>
    <r>
      <rPr>
        <sz val="11"/>
        <color theme="1"/>
        <rFont val="ＭＳ Ｐゴシック"/>
        <family val="3"/>
        <charset val="128"/>
        <scheme val="minor"/>
      </rPr>
      <t>家</t>
    </r>
    <r>
      <rPr>
        <sz val="11"/>
        <color theme="1"/>
        <rFont val="ＭＳ Ｐゴシック"/>
        <family val="3"/>
        <charset val="134"/>
        <scheme val="minor"/>
      </rPr>
      <t>铺镇</t>
    </r>
    <r>
      <rPr>
        <sz val="11"/>
        <color theme="1"/>
        <rFont val="ＭＳ Ｐゴシック"/>
        <family val="3"/>
        <charset val="128"/>
        <scheme val="minor"/>
      </rPr>
      <t>港中坪村</t>
    </r>
    <r>
      <rPr>
        <sz val="11"/>
        <color theme="1"/>
        <rFont val="ＭＳ Ｐゴシック"/>
        <family val="3"/>
        <charset val="134"/>
        <scheme val="minor"/>
      </rPr>
      <t>经济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</si>
  <si>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</si>
  <si>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ONESUN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</si>
  <si>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西斯达防爆安全科技股份有限公司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</si>
  <si>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蜂蜜酒;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</si>
  <si>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医</t>
    </r>
    <r>
      <rPr>
        <sz val="11"/>
        <color theme="1"/>
        <rFont val="ＭＳ Ｐゴシック"/>
        <family val="3"/>
        <charset val="134"/>
        <scheme val="minor"/>
      </rPr>
      <t>链</t>
    </r>
    <r>
      <rPr>
        <sz val="11"/>
        <color theme="1"/>
        <rFont val="ＭＳ Ｐゴシック"/>
        <family val="3"/>
        <charset val="128"/>
        <scheme val="minor"/>
      </rPr>
      <t>祥数</t>
    </r>
  </si>
  <si>
    <r>
      <t>深圳市隆石运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</si>
  <si>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薄荷酒; 苦味酒; 茴芹酒（利口酒）; 伏特加酒; 酸酒（低等葡萄酒）;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杜松子酒; 威士忌; 开胃酒</t>
    </r>
  </si>
  <si>
    <t>GIRARDWINERY</t>
  </si>
  <si>
    <t>李成林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</si>
  <si>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</si>
  <si>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仓</t>
    </r>
    <r>
      <rPr>
        <sz val="11"/>
        <color theme="1"/>
        <rFont val="ＭＳ Ｐゴシック"/>
        <family val="3"/>
        <charset val="128"/>
        <scheme val="minor"/>
      </rPr>
      <t>酒庄 酒</t>
    </r>
  </si>
  <si>
    <r>
      <t>海南云</t>
    </r>
    <r>
      <rPr>
        <sz val="11"/>
        <color theme="1"/>
        <rFont val="ＭＳ Ｐゴシック"/>
        <family val="3"/>
        <charset val="134"/>
        <scheme val="minor"/>
      </rPr>
      <t>仓</t>
    </r>
    <r>
      <rPr>
        <sz val="11"/>
        <color theme="1"/>
        <rFont val="ＭＳ Ｐゴシック"/>
        <family val="3"/>
        <charset val="128"/>
        <scheme val="minor"/>
      </rPr>
      <t>酒庄有限公司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</si>
  <si>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开胃酒; 黄酒</t>
    </r>
  </si>
  <si>
    <r>
      <t>寒</t>
    </r>
    <r>
      <rPr>
        <sz val="11"/>
        <color theme="1"/>
        <rFont val="ＭＳ Ｐゴシック"/>
        <family val="3"/>
        <charset val="134"/>
        <scheme val="minor"/>
      </rPr>
      <t>绿轩</t>
    </r>
  </si>
  <si>
    <r>
      <t xml:space="preserve">果酒（含酒精）; 葡萄酒; 白酒; 高粱酒; 青梅酒;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</si>
  <si>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t>篇留洞</t>
  </si>
  <si>
    <r>
      <t>汽酒; 白酒; 青梅酒; 黄酒; 高粱酒;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</si>
  <si>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智宇晨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</si>
  <si>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城服智造供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</si>
  <si>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柑香酒;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威士忌</t>
    </r>
  </si>
  <si>
    <r>
      <t>拓</t>
    </r>
    <r>
      <rPr>
        <sz val="11"/>
        <color theme="1"/>
        <rFont val="ＭＳ Ｐゴシック"/>
        <family val="3"/>
        <charset val="134"/>
        <scheme val="minor"/>
      </rPr>
      <t>岗</t>
    </r>
    <r>
      <rPr>
        <sz val="11"/>
        <color theme="1"/>
        <rFont val="ＭＳ Ｐゴシック"/>
        <family val="3"/>
        <charset val="128"/>
        <scheme val="minor"/>
      </rPr>
      <t>博</t>
    </r>
  </si>
  <si>
    <r>
      <t>嘉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拓</t>
    </r>
    <r>
      <rPr>
        <sz val="11"/>
        <color theme="1"/>
        <rFont val="ＭＳ Ｐゴシック"/>
        <family val="3"/>
        <charset val="134"/>
        <scheme val="minor"/>
      </rPr>
      <t>岗</t>
    </r>
    <r>
      <rPr>
        <sz val="11"/>
        <color theme="1"/>
        <rFont val="ＭＳ Ｐゴシック"/>
        <family val="3"/>
        <charset val="128"/>
        <scheme val="minor"/>
      </rPr>
      <t>博商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</si>
  <si>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五加皮酒（中国混合烈酒）;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</si>
  <si>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睿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</si>
  <si>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>甘</t>
    </r>
    <r>
      <rPr>
        <sz val="11"/>
        <color theme="1"/>
        <rFont val="ＭＳ Ｐゴシック"/>
        <family val="3"/>
        <charset val="134"/>
        <scheme val="minor"/>
      </rPr>
      <t>肃</t>
    </r>
    <r>
      <rPr>
        <sz val="11"/>
        <color theme="1"/>
        <rFont val="ＭＳ Ｐゴシック"/>
        <family val="3"/>
        <charset val="128"/>
        <scheme val="minor"/>
      </rPr>
      <t>云星辰科技有限公司</t>
    </r>
  </si>
  <si>
    <r>
      <t>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</si>
  <si>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小鹿有你</t>
  </si>
  <si>
    <r>
      <t>李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星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</si>
  <si>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高粱酒; 果酒（含酒精）; 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露酒; 黄酒; 白酒; 葡萄酒</t>
    </r>
  </si>
  <si>
    <r>
      <t>骋</t>
    </r>
    <r>
      <rPr>
        <sz val="11"/>
        <color theme="1"/>
        <rFont val="ＭＳ Ｐゴシック"/>
        <family val="3"/>
        <charset val="128"/>
        <scheme val="minor"/>
      </rPr>
      <t>疆</t>
    </r>
  </si>
  <si>
    <r>
      <t>林秀</t>
    </r>
    <r>
      <rPr>
        <sz val="11"/>
        <color theme="1"/>
        <rFont val="ＭＳ Ｐゴシック"/>
        <family val="3"/>
        <charset val="134"/>
        <scheme val="minor"/>
      </rPr>
      <t>纯</t>
    </r>
  </si>
  <si>
    <r>
      <t xml:space="preserve">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</t>
    </r>
  </si>
  <si>
    <t>香村大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</si>
  <si>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香村餐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</si>
  <si>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葡萄酒;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果酒（含酒精）</t>
    </r>
  </si>
  <si>
    <r>
      <t>稻花</t>
    </r>
    <r>
      <rPr>
        <sz val="11"/>
        <color theme="1"/>
        <rFont val="ＭＳ Ｐゴシック"/>
        <family val="3"/>
        <charset val="134"/>
        <scheme val="minor"/>
      </rPr>
      <t>边</t>
    </r>
  </si>
  <si>
    <r>
      <t>潜江市</t>
    </r>
    <r>
      <rPr>
        <sz val="11"/>
        <color theme="1"/>
        <rFont val="ＭＳ Ｐゴシック"/>
        <family val="3"/>
        <charset val="134"/>
        <scheme val="minor"/>
      </rPr>
      <t>农发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</si>
  <si>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</si>
  <si>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虎</t>
    </r>
    <r>
      <rPr>
        <sz val="11"/>
        <color theme="1"/>
        <rFont val="ＭＳ Ｐゴシック"/>
        <family val="3"/>
        <charset val="134"/>
        <scheme val="minor"/>
      </rPr>
      <t>啸</t>
    </r>
    <r>
      <rPr>
        <sz val="11"/>
        <color theme="1"/>
        <rFont val="ＭＳ Ｐゴシック"/>
        <family val="3"/>
        <charset val="128"/>
        <scheme val="minor"/>
      </rPr>
      <t>江河</t>
    </r>
  </si>
  <si>
    <r>
      <t>曾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</si>
  <si>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果酒（含酒精）; 黄酒;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梅酒; 高粱酒;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</t>
    </r>
  </si>
  <si>
    <r>
      <t>念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奥拉玉</t>
    </r>
    <r>
      <rPr>
        <sz val="11"/>
        <color theme="1"/>
        <rFont val="ＭＳ Ｐゴシック"/>
        <family val="3"/>
        <charset val="134"/>
        <scheme val="minor"/>
      </rPr>
      <t>则</t>
    </r>
  </si>
  <si>
    <r>
      <t>夏河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心想事成商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</si>
  <si>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青稞酒;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</si>
  <si>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家家俄</t>
  </si>
  <si>
    <r>
      <t>辽</t>
    </r>
    <r>
      <rPr>
        <sz val="11"/>
        <color theme="1"/>
        <rFont val="ＭＳ Ｐゴシック"/>
        <family val="3"/>
        <charset val="128"/>
        <scheme val="minor"/>
      </rPr>
      <t>宁中合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</si>
  <si>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</si>
  <si>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金种子酒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 xml:space="preserve"> ANHUI GOLDEN SEED WINERY CO.</t>
    </r>
  </si>
  <si>
    <r>
      <t>安徽金种子酒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</si>
  <si>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</si>
  <si>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</si>
  <si>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t>CHILLMORE</t>
  </si>
  <si>
    <t>杭州未可品牌管理有限公司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</si>
  <si>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青稞酒; 黄酒;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</si>
  <si>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CHILL MORE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</si>
  <si>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开胃酒; 白酒; 黄酒</t>
    </r>
  </si>
  <si>
    <t>福棠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</si>
  <si>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岛伟伦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</si>
  <si>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</si>
  <si>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酒班</t>
    </r>
  </si>
  <si>
    <r>
      <t>新疆小白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</si>
  <si>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</si>
  <si>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北京歌</t>
    </r>
    <r>
      <rPr>
        <sz val="11"/>
        <color theme="1"/>
        <rFont val="ＭＳ Ｐゴシック"/>
        <family val="3"/>
        <charset val="134"/>
        <scheme val="minor"/>
      </rPr>
      <t>华设计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</si>
  <si>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米酒</t>
    </r>
  </si>
  <si>
    <t>CAREUOKIN</t>
  </si>
  <si>
    <t>梁勇奇</t>
  </si>
  <si>
    <r>
      <t>黄酒;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梨酒;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</si>
  <si>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UOKIN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</si>
  <si>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米酒; 果酒; 梨酒;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</si>
  <si>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华东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</si>
  <si>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岛华东</t>
    </r>
    <r>
      <rPr>
        <sz val="11"/>
        <color theme="1"/>
        <rFont val="ＭＳ Ｐゴシック"/>
        <family val="3"/>
        <charset val="128"/>
        <scheme val="minor"/>
      </rPr>
      <t>葡萄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</si>
  <si>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不起泡葡萄酒;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加烈葡萄酒; 葡萄酒</t>
    </r>
  </si>
  <si>
    <r>
      <t>壹加</t>
    </r>
    <r>
      <rPr>
        <sz val="11"/>
        <color theme="1"/>
        <rFont val="ＭＳ Ｐゴシック"/>
        <family val="3"/>
        <charset val="134"/>
        <scheme val="minor"/>
      </rPr>
      <t>靓</t>
    </r>
  </si>
  <si>
    <r>
      <t>壹加</t>
    </r>
    <r>
      <rPr>
        <sz val="11"/>
        <color theme="1"/>
        <rFont val="ＭＳ Ｐゴシック"/>
        <family val="3"/>
        <charset val="134"/>
        <scheme val="minor"/>
      </rPr>
      <t>靓</t>
    </r>
    <r>
      <rPr>
        <sz val="11"/>
        <color theme="1"/>
        <rFont val="ＭＳ Ｐゴシック"/>
        <family val="3"/>
        <charset val="128"/>
        <scheme val="minor"/>
      </rPr>
      <t>（昆明）商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</si>
  <si>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果酒; 食用酒精;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</si>
  <si>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放</t>
  </si>
  <si>
    <r>
      <t>宁夏</t>
    </r>
    <r>
      <rPr>
        <sz val="11"/>
        <color theme="1"/>
        <rFont val="ＭＳ Ｐゴシック"/>
        <family val="3"/>
        <charset val="134"/>
        <scheme val="minor"/>
      </rPr>
      <t>乐乐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</si>
  <si>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白酒; 利口酒; 米酒; 葡萄酒; 果酒; 开胃酒</t>
    </r>
  </si>
  <si>
    <r>
      <t>国家体育</t>
    </r>
    <r>
      <rPr>
        <sz val="11"/>
        <color theme="1"/>
        <rFont val="ＭＳ Ｐゴシック"/>
        <family val="3"/>
        <charset val="134"/>
        <scheme val="minor"/>
      </rPr>
      <t>场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</si>
  <si>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</si>
  <si>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SMART HORTICULTURE</t>
  </si>
  <si>
    <r>
      <t>浙江光禾智谷生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</si>
  <si>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白酒; 黄酒</t>
    </r>
  </si>
  <si>
    <t>擎之源</t>
  </si>
  <si>
    <t>杨汉东</t>
  </si>
  <si>
    <r>
      <t xml:space="preserve">黄酒;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清酒（日本米酒）; 果酒（含酒精）;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</si>
  <si>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风</t>
    </r>
    <r>
      <rPr>
        <sz val="11"/>
        <color theme="1"/>
        <rFont val="ＭＳ Ｐゴシック"/>
        <family val="3"/>
        <charset val="128"/>
        <scheme val="minor"/>
      </rPr>
      <t>柜</t>
    </r>
  </si>
  <si>
    <t>尹磊</t>
  </si>
  <si>
    <r>
      <t>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薄荷酒; 茴香酒（利口酒）;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米酒; 清酒（日本米酒）</t>
    </r>
  </si>
  <si>
    <r>
      <t>岗坚</t>
    </r>
    <r>
      <rPr>
        <sz val="11"/>
        <color theme="1"/>
        <rFont val="ＭＳ Ｐゴシック"/>
        <family val="3"/>
        <charset val="128"/>
        <scheme val="minor"/>
      </rPr>
      <t>博卓</t>
    </r>
  </si>
  <si>
    <r>
      <t>洛</t>
    </r>
    <r>
      <rPr>
        <sz val="11"/>
        <color theme="1"/>
        <rFont val="ＭＳ Ｐゴシック"/>
        <family val="3"/>
        <charset val="134"/>
        <scheme val="minor"/>
      </rPr>
      <t>让</t>
    </r>
    <r>
      <rPr>
        <sz val="11"/>
        <color theme="1"/>
        <rFont val="ＭＳ Ｐゴシック"/>
        <family val="3"/>
        <charset val="128"/>
        <scheme val="minor"/>
      </rPr>
      <t>金巴</t>
    </r>
  </si>
  <si>
    <r>
      <t>果酒（含酒精）; 高粱酒;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米酒; 黑覆盆子酒; 开胃酒; 蜂蜜酒; 甜酒</t>
    </r>
  </si>
  <si>
    <r>
      <t>沙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仙子 黄酒</t>
    </r>
  </si>
  <si>
    <r>
      <t>吴江</t>
    </r>
    <r>
      <rPr>
        <sz val="11"/>
        <color theme="1"/>
        <rFont val="ＭＳ Ｐゴシック"/>
        <family val="3"/>
        <charset val="134"/>
        <scheme val="minor"/>
      </rPr>
      <t>经济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区网尚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易商行</t>
    </r>
  </si>
  <si>
    <r>
      <t xml:space="preserve">果酒（含酒精）; 葡萄酒; 米酒; 白酒; 黄酒; 利口酒; 食用酒精;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</si>
  <si>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花氿</t>
    </r>
  </si>
  <si>
    <r>
      <t>山西清花瓷酒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</si>
  <si>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白酒;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黄酒; 白干酒（中国白酒）</t>
    </r>
  </si>
  <si>
    <r>
      <t>梅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竹菊</t>
    </r>
  </si>
  <si>
    <r>
      <t>崔清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</si>
  <si>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果酒; 葡萄酒; 黄酒; 食用酒精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</si>
  <si>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米酒</t>
    </r>
  </si>
  <si>
    <r>
      <t xml:space="preserve">SILK·E </t>
    </r>
    <r>
      <rPr>
        <sz val="11"/>
        <color theme="1"/>
        <rFont val="ＭＳ Ｐゴシック"/>
        <family val="3"/>
        <charset val="134"/>
        <scheme val="minor"/>
      </rPr>
      <t>丝绸</t>
    </r>
    <r>
      <rPr>
        <sz val="11"/>
        <color theme="1"/>
        <rFont val="ＭＳ Ｐゴシック"/>
        <family val="3"/>
        <charset val="128"/>
        <scheme val="minor"/>
      </rPr>
      <t>之鄂</t>
    </r>
  </si>
  <si>
    <r>
      <t>新疆</t>
    </r>
    <r>
      <rPr>
        <sz val="11"/>
        <color theme="1"/>
        <rFont val="ＭＳ Ｐゴシック"/>
        <family val="3"/>
        <charset val="134"/>
        <scheme val="minor"/>
      </rPr>
      <t>丝绸</t>
    </r>
    <r>
      <rPr>
        <sz val="11"/>
        <color theme="1"/>
        <rFont val="ＭＳ Ｐゴシック"/>
        <family val="3"/>
        <charset val="128"/>
        <scheme val="minor"/>
      </rPr>
      <t>之鄂石油化工有限公司</t>
    </r>
  </si>
  <si>
    <r>
      <t xml:space="preserve">露酒; 米酒; 果酒（含酒精）; 汽酒; 白酒; 葡萄酒; 清酒; 高粱酒;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</si>
  <si>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一醉</t>
    </r>
    <r>
      <rPr>
        <sz val="11"/>
        <color theme="1"/>
        <rFont val="ＭＳ Ｐゴシック"/>
        <family val="3"/>
        <charset val="134"/>
        <scheme val="minor"/>
      </rPr>
      <t>欢</t>
    </r>
  </si>
  <si>
    <t>刘士博</t>
  </si>
  <si>
    <r>
      <t xml:space="preserve">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果酒; 葡萄酒; 白酒; 黄酒; 威士忌; 米酒; 伏特加酒</t>
    </r>
  </si>
  <si>
    <r>
      <t>乌</t>
    </r>
    <r>
      <rPr>
        <sz val="11"/>
        <color theme="1"/>
        <rFont val="ＭＳ Ｐゴシック"/>
        <family val="3"/>
        <charset val="128"/>
        <scheme val="minor"/>
      </rPr>
      <t>毡帽冰雕</t>
    </r>
  </si>
  <si>
    <r>
      <t>乌</t>
    </r>
    <r>
      <rPr>
        <sz val="11"/>
        <color theme="1"/>
        <rFont val="ＭＳ Ｐゴシック"/>
        <family val="3"/>
        <charset val="128"/>
        <scheme val="minor"/>
      </rPr>
      <t>毡帽酒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</si>
  <si>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蜂蜜酒; 汽酒;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</si>
  <si>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御疆</t>
  </si>
  <si>
    <r>
      <t>广州美台酒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</si>
  <si>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青稞酒; 白酒; 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清酒; 葡萄酒</t>
    </r>
  </si>
  <si>
    <r>
      <t>榞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鹿</t>
    </r>
  </si>
  <si>
    <r>
      <t>云南</t>
    </r>
    <r>
      <rPr>
        <sz val="11"/>
        <color theme="1"/>
        <rFont val="ＭＳ Ｐゴシック"/>
        <family val="3"/>
        <charset val="129"/>
        <scheme val="minor"/>
      </rPr>
      <t>榞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鹿商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</si>
  <si>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苹果酒; 餐后酒（利口酒和烈酒）; 果酒;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白干酒（中国白酒）</t>
    </r>
  </si>
  <si>
    <t>紫梦坊</t>
  </si>
  <si>
    <r>
      <t>山西大</t>
    </r>
    <r>
      <rPr>
        <sz val="11"/>
        <color theme="1"/>
        <rFont val="ＭＳ Ｐゴシック"/>
        <family val="3"/>
        <charset val="134"/>
        <scheme val="minor"/>
      </rPr>
      <t>奖</t>
    </r>
    <r>
      <rPr>
        <sz val="11"/>
        <color theme="1"/>
        <rFont val="ＭＳ Ｐゴシック"/>
        <family val="3"/>
        <charset val="128"/>
        <scheme val="minor"/>
      </rPr>
      <t>章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</si>
  <si>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清酒（日本米酒）; 食用酒精;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伏特加酒;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</si>
  <si>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HAISHIWEI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</si>
  <si>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开胃酒; 利口酒; 威士忌; 米酒; 食用酒精</t>
    </r>
  </si>
  <si>
    <r>
      <t>胡</t>
    </r>
    <r>
      <rPr>
        <sz val="11"/>
        <color theme="1"/>
        <rFont val="ＭＳ Ｐゴシック"/>
        <family val="3"/>
        <charset val="134"/>
        <scheme val="minor"/>
      </rPr>
      <t>爷赐财</t>
    </r>
  </si>
  <si>
    <r>
      <t>四川中科</t>
    </r>
    <r>
      <rPr>
        <sz val="11"/>
        <color theme="1"/>
        <rFont val="ＭＳ Ｐゴシック"/>
        <family val="3"/>
        <charset val="134"/>
        <scheme val="minor"/>
      </rPr>
      <t>华软</t>
    </r>
    <r>
      <rPr>
        <sz val="11"/>
        <color theme="1"/>
        <rFont val="ＭＳ Ｐゴシック"/>
        <family val="3"/>
        <charset val="128"/>
        <scheme val="minor"/>
      </rPr>
      <t>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</si>
  <si>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高粱酒; 薄荷酒; 蜂蜜酒;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黄酒</t>
    </r>
  </si>
  <si>
    <r>
      <t>福</t>
    </r>
    <r>
      <rPr>
        <sz val="11"/>
        <color theme="1"/>
        <rFont val="ＭＳ Ｐゴシック"/>
        <family val="3"/>
        <charset val="134"/>
        <scheme val="minor"/>
      </rPr>
      <t>龙腾飞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</si>
  <si>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东汉</t>
    </r>
    <r>
      <rPr>
        <sz val="11"/>
        <color theme="1"/>
        <rFont val="ＭＳ Ｐゴシック"/>
        <family val="3"/>
        <charset val="128"/>
        <scheme val="minor"/>
      </rPr>
      <t>将成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</si>
  <si>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清酒（日本米酒）;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</si>
  <si>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r>
      <t xml:space="preserve">COEUR DE NARDOU 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9"/>
        <scheme val="minor"/>
      </rPr>
      <t>朵</t>
    </r>
    <r>
      <rPr>
        <sz val="11"/>
        <color theme="1"/>
        <rFont val="ＭＳ Ｐゴシック"/>
        <family val="3"/>
        <charset val="128"/>
        <scheme val="minor"/>
      </rPr>
      <t>之心</t>
    </r>
  </si>
  <si>
    <r>
      <t>纳</t>
    </r>
    <r>
      <rPr>
        <sz val="11"/>
        <color theme="1"/>
        <rFont val="ＭＳ Ｐゴシック"/>
        <family val="3"/>
        <charset val="129"/>
        <scheme val="minor"/>
      </rPr>
      <t>朵</t>
    </r>
    <r>
      <rPr>
        <sz val="11"/>
        <color theme="1"/>
        <rFont val="ＭＳ Ｐゴシック"/>
        <family val="3"/>
        <charset val="128"/>
        <scheme val="minor"/>
      </rPr>
      <t>酒庄</t>
    </r>
    <r>
      <rPr>
        <sz val="11"/>
        <color theme="1"/>
        <rFont val="ＭＳ Ｐゴシック"/>
        <family val="3"/>
        <charset val="134"/>
        <scheme val="minor"/>
      </rPr>
      <t>简</t>
    </r>
    <r>
      <rPr>
        <sz val="11"/>
        <color theme="1"/>
        <rFont val="ＭＳ Ｐゴシック"/>
        <family val="3"/>
        <charset val="128"/>
        <scheme val="minor"/>
      </rPr>
      <t>化股份有限公司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</si>
  <si>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</si>
  <si>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r>
      <t>胡</t>
    </r>
    <r>
      <rPr>
        <sz val="11"/>
        <color theme="1"/>
        <rFont val="ＭＳ Ｐゴシック"/>
        <family val="3"/>
        <charset val="134"/>
        <scheme val="minor"/>
      </rPr>
      <t>爷赐</t>
    </r>
    <r>
      <rPr>
        <sz val="11"/>
        <color theme="1"/>
        <rFont val="ＭＳ Ｐゴシック"/>
        <family val="3"/>
        <charset val="128"/>
        <scheme val="minor"/>
      </rPr>
      <t>囍</t>
    </r>
  </si>
  <si>
    <r>
      <t xml:space="preserve">高粱酒;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薄荷酒; 米酒; 黄酒</t>
    </r>
  </si>
  <si>
    <t>ROJOMOMA WINES</t>
  </si>
  <si>
    <r>
      <t>澳晟</t>
    </r>
    <r>
      <rPr>
        <sz val="11"/>
        <color theme="1"/>
        <rFont val="ＭＳ Ｐゴシック"/>
        <family val="3"/>
        <charset val="134"/>
        <scheme val="minor"/>
      </rPr>
      <t>经济贸</t>
    </r>
    <r>
      <rPr>
        <sz val="11"/>
        <color theme="1"/>
        <rFont val="ＭＳ Ｐゴシック"/>
        <family val="3"/>
        <charset val="128"/>
        <scheme val="minor"/>
      </rPr>
      <t>易（南通）有限公司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</si>
  <si>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威士忌; 果酒;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</si>
  <si>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八郡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黄</t>
    </r>
  </si>
  <si>
    <r>
      <t>邓</t>
    </r>
    <r>
      <rPr>
        <sz val="11"/>
        <color theme="1"/>
        <rFont val="ＭＳ Ｐゴシック"/>
        <family val="3"/>
        <charset val="128"/>
        <scheme val="minor"/>
      </rPr>
      <t>州市佳浩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副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品种植加工服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</si>
  <si>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葡萄酒; 草莓酒; 米酒; 甜酒; 果酒（含酒精）; 白酒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</si>
  <si>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疆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府</t>
    </r>
  </si>
  <si>
    <t>唐玉梅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</si>
  <si>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</si>
  <si>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洒然亭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</si>
  <si>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汽酒; 果酒（含酒精）; 高粱酒; 黄酒; 米酒; 青梅酒;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</si>
  <si>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鹤</t>
    </r>
    <r>
      <rPr>
        <sz val="11"/>
        <color theme="1"/>
        <rFont val="ＭＳ Ｐゴシック"/>
        <family val="3"/>
        <charset val="128"/>
        <scheme val="minor"/>
      </rPr>
      <t>柴</t>
    </r>
  </si>
  <si>
    <r>
      <t xml:space="preserve">高粱酒;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青梅酒;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果酒（含酒精）; 白酒</t>
    </r>
  </si>
  <si>
    <r>
      <t>鸟</t>
    </r>
    <r>
      <rPr>
        <sz val="11"/>
        <color theme="1"/>
        <rFont val="ＭＳ Ｐゴシック"/>
        <family val="3"/>
        <charset val="128"/>
        <scheme val="minor"/>
      </rPr>
      <t>隅亭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</si>
  <si>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高粱酒; 青梅酒; 黄酒; 葡萄酒; 米酒; 白酒</t>
    </r>
  </si>
  <si>
    <t>煨芋</t>
  </si>
  <si>
    <r>
      <t>葡萄酒; 青梅酒; 高粱酒;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汽酒</t>
    </r>
  </si>
  <si>
    <t>兆田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</si>
  <si>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兆田生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</si>
  <si>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汽酒; 黄酒; 白干酒（中国白酒）; 果酒; 薄荷酒; 葡萄酒; 白酒; 高粱酒; 米酒; 蜂蜜酒;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</si>
  <si>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篆窠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</si>
  <si>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米酒; 汽酒;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青梅酒; 高粱酒</t>
    </r>
  </si>
  <si>
    <r>
      <t>康</t>
    </r>
    <r>
      <rPr>
        <sz val="11"/>
        <color theme="1"/>
        <rFont val="ＭＳ Ｐゴシック"/>
        <family val="3"/>
        <charset val="134"/>
        <scheme val="minor"/>
      </rPr>
      <t>赟</t>
    </r>
  </si>
  <si>
    <r>
      <t>深圳市旭森供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</si>
  <si>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黑醋栗酒;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加烈葡萄酒; 烈酒; 清酒; 苦艾酒;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草莓酒; 青稞酒; 食用酒精;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烈性干酒;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混合威士忌酒; 露酒;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青梅酒; 白酒; 白干酒（中国白酒）; 甜酒; 梅酒; 松叶酒; 高粱酒; 蝮蛇酒; 果酒</t>
    </r>
  </si>
  <si>
    <r>
      <t>家馨</t>
    </r>
    <r>
      <rPr>
        <sz val="11"/>
        <color theme="1"/>
        <rFont val="ＭＳ Ｐゴシック"/>
        <family val="3"/>
        <charset val="134"/>
        <scheme val="minor"/>
      </rPr>
      <t>圆</t>
    </r>
  </si>
  <si>
    <t>封莉花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</si>
  <si>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</si>
  <si>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劲</t>
    </r>
    <r>
      <rPr>
        <sz val="11"/>
        <color theme="1"/>
        <rFont val="ＭＳ Ｐゴシック"/>
        <family val="3"/>
        <charset val="128"/>
        <scheme val="minor"/>
      </rPr>
      <t>道</t>
    </r>
  </si>
  <si>
    <r>
      <t>宜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食品工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</si>
  <si>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葡萄酒; 白酒;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</si>
  <si>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爹坊</t>
    </r>
  </si>
  <si>
    <r>
      <t>盐</t>
    </r>
    <r>
      <rPr>
        <sz val="11"/>
        <color theme="1"/>
        <rFont val="ＭＳ Ｐゴシック"/>
        <family val="3"/>
        <charset val="128"/>
        <scheme val="minor"/>
      </rPr>
      <t>城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氏食品有限公司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</si>
  <si>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黄酒; 白酒; 甜酒; 米酒;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</si>
  <si>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牛三娘</t>
  </si>
  <si>
    <r>
      <t>北京牛三娘餐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</si>
  <si>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高粱酒; 梅酒; 白酒;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</si>
  <si>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 XOMT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</si>
  <si>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将</t>
    </r>
    <r>
      <rPr>
        <sz val="11"/>
        <color theme="1"/>
        <rFont val="ＭＳ Ｐゴシック"/>
        <family val="3"/>
        <charset val="134"/>
        <scheme val="minor"/>
      </rPr>
      <t>军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</si>
  <si>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</si>
  <si>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风</t>
    </r>
    <r>
      <rPr>
        <sz val="11"/>
        <color theme="1"/>
        <rFont val="ＭＳ Ｐゴシック"/>
        <family val="3"/>
        <charset val="128"/>
        <scheme val="minor"/>
      </rPr>
      <t>雪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家岭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</si>
  <si>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代博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</si>
  <si>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</si>
  <si>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立冬一花</t>
  </si>
  <si>
    <t>唐甜甜</t>
  </si>
  <si>
    <t>白干酒（中国白酒）; 葡萄酒; 露酒; 高粱酒; 清酒; 米酒; 青稞酒; 食用酒精; 果酒; 白酒</t>
  </si>
  <si>
    <t>儒孟之家</t>
  </si>
  <si>
    <t>朋礼加</t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</si>
  <si>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餐后酒（利口酒和烈酒）; 黄酒;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果酒（含酒精）; 露酒</t>
    </r>
  </si>
  <si>
    <t>芝炁</t>
  </si>
  <si>
    <t>深圳共原生物科技有限公司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</si>
  <si>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</si>
  <si>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颐帧</t>
  </si>
  <si>
    <r>
      <t>北京星期</t>
    </r>
    <r>
      <rPr>
        <sz val="11"/>
        <color theme="1"/>
        <rFont val="ＭＳ Ｐゴシック"/>
        <family val="3"/>
        <charset val="134"/>
        <scheme val="minor"/>
      </rPr>
      <t>叁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</si>
  <si>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食用酒精; 威士忌;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葡萄酒;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</si>
  <si>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t>味品堂</t>
  </si>
  <si>
    <r>
      <t>大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未来食品有限公司</t>
    </r>
  </si>
  <si>
    <r>
      <t xml:space="preserve">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高粱酒; 青梅酒;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清酒</t>
    </r>
  </si>
  <si>
    <t>粱爆 酒</t>
  </si>
  <si>
    <r>
      <t>山西杏花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</si>
  <si>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白酒; 青稞酒; 果酒（含酒精）;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</si>
  <si>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薛</t>
    </r>
    <r>
      <rPr>
        <sz val="11"/>
        <color theme="1"/>
        <rFont val="ＭＳ Ｐゴシック"/>
        <family val="3"/>
        <charset val="134"/>
        <scheme val="minor"/>
      </rPr>
      <t>妈妈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</si>
  <si>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海舒商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</si>
  <si>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</t>
    </r>
  </si>
  <si>
    <t>潜憨直</t>
  </si>
  <si>
    <r>
      <t>友</t>
    </r>
    <r>
      <rPr>
        <sz val="11"/>
        <color theme="1"/>
        <rFont val="ＭＳ Ｐゴシック"/>
        <family val="3"/>
        <charset val="134"/>
        <scheme val="minor"/>
      </rPr>
      <t>锅</t>
    </r>
    <r>
      <rPr>
        <sz val="11"/>
        <color theme="1"/>
        <rFont val="ＭＳ Ｐゴシック"/>
        <family val="3"/>
        <charset val="128"/>
        <scheme val="minor"/>
      </rPr>
      <t>食品(湖北)股份有限公司</t>
    </r>
  </si>
  <si>
    <r>
      <t>餐后酒（利口酒和烈酒）;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果酒（含酒精）</t>
    </r>
  </si>
  <si>
    <t>德行八桂</t>
  </si>
  <si>
    <r>
      <t>唐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成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</si>
  <si>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蝮蛇酒; 葡萄酒; 露酒; 米酒; 刺五加酒;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</si>
  <si>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夏芷利通</t>
    </r>
  </si>
  <si>
    <t>胡洋</t>
  </si>
  <si>
    <r>
      <t xml:space="preserve">烈酒; 高粱酒; 白酒; 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梨酒; 米酒;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清酒</t>
    </r>
  </si>
  <si>
    <t>双盛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</si>
  <si>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江双盛米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</si>
  <si>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汽酒; 葡萄酒; 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</si>
  <si>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听酒当歌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</si>
  <si>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盈众鑫科技有限公司</t>
    </r>
  </si>
  <si>
    <r>
      <t xml:space="preserve">清酒（日本米酒）;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</si>
  <si>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t>粤云台</t>
  </si>
  <si>
    <r>
      <t>邓铁</t>
    </r>
    <r>
      <rPr>
        <sz val="11"/>
        <color theme="1"/>
        <rFont val="ＭＳ Ｐゴシック"/>
        <family val="3"/>
        <charset val="128"/>
        <scheme val="minor"/>
      </rPr>
      <t>虎</t>
    </r>
  </si>
  <si>
    <r>
      <t>开胃酒; 果酒（含酒精）;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</si>
  <si>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r>
      <t>喵</t>
    </r>
    <r>
      <rPr>
        <sz val="11"/>
        <color theme="1"/>
        <rFont val="ＭＳ Ｐゴシック"/>
        <family val="3"/>
        <charset val="134"/>
        <scheme val="minor"/>
      </rPr>
      <t>斋</t>
    </r>
    <r>
      <rPr>
        <sz val="11"/>
        <color theme="1"/>
        <rFont val="ＭＳ Ｐゴシック"/>
        <family val="3"/>
        <charset val="128"/>
        <scheme val="minor"/>
      </rPr>
      <t>妙哉</t>
    </r>
  </si>
  <si>
    <r>
      <t>四川版途天下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到文化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</si>
  <si>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烈酒; 葡萄酒; 米酒; 汽酒; 果酒; 青稞酒; 梅酒</t>
    </r>
  </si>
  <si>
    <t>楚岸臻宝</t>
  </si>
  <si>
    <r>
      <t>安徽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家通供</t>
    </r>
    <r>
      <rPr>
        <sz val="11"/>
        <color theme="1"/>
        <rFont val="ＭＳ Ｐゴシック"/>
        <family val="3"/>
        <charset val="134"/>
        <scheme val="minor"/>
      </rPr>
      <t>销电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</si>
  <si>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葡萄酒; 食用酒精</t>
    </r>
  </si>
  <si>
    <t>蒙和益</t>
  </si>
  <si>
    <r>
      <t>内蒙古草园</t>
    </r>
    <r>
      <rPr>
        <sz val="11"/>
        <color theme="1"/>
        <rFont val="ＭＳ Ｐゴシック"/>
        <family val="3"/>
        <charset val="134"/>
        <scheme val="minor"/>
      </rPr>
      <t>丝</t>
    </r>
    <r>
      <rPr>
        <sz val="11"/>
        <color theme="1"/>
        <rFont val="ＭＳ Ｐゴシック"/>
        <family val="3"/>
        <charset val="128"/>
        <scheme val="minor"/>
      </rPr>
      <t>路生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建</t>
    </r>
    <r>
      <rPr>
        <sz val="11"/>
        <color theme="1"/>
        <rFont val="ＭＳ Ｐゴシック"/>
        <family val="3"/>
        <charset val="134"/>
        <scheme val="minor"/>
      </rPr>
      <t>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</si>
  <si>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果酒（含酒精）; 白酒;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清酒（日本米酒）; 葡萄酒</t>
    </r>
  </si>
  <si>
    <t>家运多</t>
  </si>
  <si>
    <t>郭趁趁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</si>
  <si>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黄酒; 米酒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</si>
  <si>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渤万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</si>
  <si>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栏</t>
    </r>
    <r>
      <rPr>
        <sz val="11"/>
        <color theme="1"/>
        <rFont val="ＭＳ Ｐゴシック"/>
        <family val="3"/>
        <charset val="128"/>
        <scheme val="minor"/>
      </rPr>
      <t>望文化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</si>
  <si>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白酒; 伏特加酒;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米酒; 清酒（日本米酒）</t>
    </r>
  </si>
  <si>
    <r>
      <t>岚</t>
    </r>
    <r>
      <rPr>
        <sz val="11"/>
        <color theme="1"/>
        <rFont val="ＭＳ Ｐゴシック"/>
        <family val="3"/>
        <charset val="128"/>
        <scheme val="minor"/>
      </rPr>
      <t>博万</t>
    </r>
  </si>
  <si>
    <r>
      <t>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威士忌; 米酒; 果酒（含酒精）; 开胃酒</t>
    </r>
  </si>
  <si>
    <r>
      <t>绵</t>
    </r>
    <r>
      <rPr>
        <sz val="11"/>
        <color theme="1"/>
        <rFont val="ＭＳ Ｐゴシック"/>
        <family val="3"/>
        <charset val="128"/>
        <scheme val="minor"/>
      </rPr>
      <t>阳市文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</si>
  <si>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利口酒; 葡萄酒;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</t>
    </r>
  </si>
  <si>
    <r>
      <t>劲</t>
    </r>
    <r>
      <rPr>
        <sz val="11"/>
        <color theme="1"/>
        <rFont val="ＭＳ Ｐゴシック"/>
        <family val="3"/>
        <charset val="128"/>
        <scheme val="minor"/>
      </rPr>
      <t>牌一人方</t>
    </r>
  </si>
  <si>
    <r>
      <t>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露酒; 果酒（含酒精）</t>
    </r>
  </si>
  <si>
    <r>
      <t>玉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妃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</si>
  <si>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玉英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</si>
  <si>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清酒（日本米酒）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</si>
  <si>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樽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帝</t>
    </r>
  </si>
  <si>
    <r>
      <t>米酒; 威士忌; 白酒;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清酒（日本米酒）;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青梅酒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</si>
  <si>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马轩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</si>
  <si>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葡萄酒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（宁夏）有限公司</t>
    </r>
  </si>
  <si>
    <r>
      <t>食用酒精;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</si>
  <si>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源</t>
    </r>
    <r>
      <rPr>
        <sz val="11"/>
        <color theme="1"/>
        <rFont val="ＭＳ Ｐゴシック"/>
        <family val="3"/>
        <charset val="134"/>
        <scheme val="minor"/>
      </rPr>
      <t>头</t>
    </r>
  </si>
  <si>
    <r>
      <t>德化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我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食品行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</si>
  <si>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薄荷酒</t>
    </r>
  </si>
  <si>
    <r>
      <t>源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旧</t>
    </r>
  </si>
  <si>
    <r>
      <t>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薄荷酒;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威士忌</t>
    </r>
  </si>
  <si>
    <t>DOEDD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</si>
  <si>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市因吹四挺影</t>
    </r>
    <r>
      <rPr>
        <sz val="11"/>
        <color theme="1"/>
        <rFont val="ＭＳ Ｐゴシック"/>
        <family val="3"/>
        <charset val="134"/>
        <scheme val="minor"/>
      </rPr>
      <t>视</t>
    </r>
    <r>
      <rPr>
        <sz val="11"/>
        <color theme="1"/>
        <rFont val="ＭＳ Ｐゴシック"/>
        <family val="3"/>
        <charset val="128"/>
        <scheme val="minor"/>
      </rPr>
      <t>文化工作室</t>
    </r>
  </si>
  <si>
    <r>
      <t>清酒; 米酒; 伏特加酒;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威士忌; 葡萄酒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</si>
  <si>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葡萄酒; 薄荷酒; 威士忌; 黄酒; 米酒</t>
    </r>
  </si>
  <si>
    <r>
      <t>举</t>
    </r>
    <r>
      <rPr>
        <sz val="11"/>
        <color theme="1"/>
        <rFont val="ＭＳ Ｐゴシック"/>
        <family val="3"/>
        <charset val="128"/>
        <scheme val="minor"/>
      </rPr>
      <t>杯有道</t>
    </r>
  </si>
  <si>
    <r>
      <t>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清酒（日本米酒）; 果酒（含酒精）; 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白酒</t>
    </r>
  </si>
  <si>
    <t>新油道</t>
  </si>
  <si>
    <r>
      <t>湖南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生活食品科技有限公司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</si>
  <si>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开胃酒;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</si>
  <si>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青杰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</si>
  <si>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露酒; 果酒; 葡萄酒; 黄酒; 白酒; 白干酒（中国白酒）</t>
    </r>
  </si>
  <si>
    <t>非常壹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</si>
  <si>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齐</t>
    </r>
    <r>
      <rPr>
        <sz val="11"/>
        <color theme="1"/>
        <rFont val="ＭＳ Ｐゴシック"/>
        <family val="3"/>
        <charset val="128"/>
        <scheme val="minor"/>
      </rPr>
      <t>珩</t>
    </r>
    <r>
      <rPr>
        <sz val="11"/>
        <color theme="1"/>
        <rFont val="ＭＳ Ｐゴシック"/>
        <family val="3"/>
        <charset val="134"/>
        <scheme val="minor"/>
      </rPr>
      <t>玺闻</t>
    </r>
    <r>
      <rPr>
        <sz val="11"/>
        <color theme="1"/>
        <rFont val="ＭＳ Ｐゴシック"/>
        <family val="3"/>
        <charset val="128"/>
        <scheme val="minor"/>
      </rPr>
      <t>文旅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</si>
  <si>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果酒（含酒精）; 高粱酒; 白干酒（中国白酒）; 甜果酒;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果酒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</si>
  <si>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达</t>
    </r>
    <r>
      <rPr>
        <sz val="11"/>
        <color theme="1"/>
        <rFont val="ＭＳ Ｐゴシック"/>
        <family val="3"/>
        <charset val="134"/>
        <scheme val="minor"/>
      </rPr>
      <t>邮轮</t>
    </r>
  </si>
  <si>
    <r>
      <t>中船</t>
    </r>
    <r>
      <rPr>
        <sz val="11"/>
        <color theme="1"/>
        <rFont val="ＭＳ Ｐゴシック"/>
        <family val="3"/>
        <charset val="134"/>
        <scheme val="minor"/>
      </rPr>
      <t>邮轮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</si>
  <si>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餐后酒（利口酒和烈酒）; 蜂蜜酒;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</si>
  <si>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盘</t>
    </r>
    <r>
      <rPr>
        <sz val="11"/>
        <color theme="1"/>
        <rFont val="ＭＳ Ｐゴシック"/>
        <family val="3"/>
        <charset val="128"/>
        <scheme val="minor"/>
      </rPr>
      <t>破</t>
    </r>
    <r>
      <rPr>
        <sz val="11"/>
        <color theme="1"/>
        <rFont val="ＭＳ Ｐゴシック"/>
        <family val="3"/>
        <charset val="134"/>
        <scheme val="minor"/>
      </rPr>
      <t>门</t>
    </r>
  </si>
  <si>
    <t>冷超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</si>
  <si>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威士忌;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蜂蜜酒; 果酒（含酒精）</t>
    </r>
  </si>
  <si>
    <t>YOCA CORP.</t>
  </si>
  <si>
    <r>
      <t>深圳有咖互</t>
    </r>
    <r>
      <rPr>
        <sz val="11"/>
        <color theme="1"/>
        <rFont val="ＭＳ Ｐゴシック"/>
        <family val="3"/>
        <charset val="134"/>
        <scheme val="minor"/>
      </rPr>
      <t>动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</si>
  <si>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混合威士忌酒</t>
    </r>
  </si>
  <si>
    <t>甘杰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</si>
  <si>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果酒; 黄酒; 葡萄酒; 露酒; 高粱酒;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</si>
  <si>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州省退役</t>
    </r>
    <r>
      <rPr>
        <sz val="11"/>
        <color theme="1"/>
        <rFont val="ＭＳ Ｐゴシック"/>
        <family val="3"/>
        <charset val="134"/>
        <scheme val="minor"/>
      </rPr>
      <t>军</t>
    </r>
    <r>
      <rPr>
        <sz val="11"/>
        <color theme="1"/>
        <rFont val="ＭＳ Ｐゴシック"/>
        <family val="3"/>
        <charset val="128"/>
        <scheme val="minor"/>
      </rPr>
      <t>人就</t>
    </r>
    <r>
      <rPr>
        <sz val="11"/>
        <color theme="1"/>
        <rFont val="ＭＳ Ｐゴシック"/>
        <family val="3"/>
        <charset val="134"/>
        <scheme val="minor"/>
      </rPr>
      <t>业创业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促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</si>
  <si>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蒸煮提取物（利口酒和烈酒）; 食用酒精; 高粱酒;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</si>
  <si>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雄</t>
    </r>
    <r>
      <rPr>
        <sz val="11"/>
        <color theme="1"/>
        <rFont val="ＭＳ Ｐゴシック"/>
        <family val="3"/>
        <charset val="134"/>
        <scheme val="minor"/>
      </rPr>
      <t>鉴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</si>
  <si>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白酒; 烈酒; 露酒; 果酒（含酒精）;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葡萄酒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</si>
  <si>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择</t>
    </r>
  </si>
  <si>
    <t>态轻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</si>
  <si>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东态轻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</si>
  <si>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白酒;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果酒（含酒精）; 葡萄酒;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</si>
  <si>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奈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特 NIVACOTT</t>
    </r>
  </si>
  <si>
    <t>麦爵杏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</si>
  <si>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汽酒;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白酒; 葡萄酒</t>
    </r>
  </si>
  <si>
    <t>同喜来</t>
  </si>
  <si>
    <t>周佳佳</t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</si>
  <si>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白酒; 青稞酒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</si>
  <si>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方</t>
    </r>
    <r>
      <rPr>
        <sz val="11"/>
        <color theme="1"/>
        <rFont val="ＭＳ Ｐゴシック"/>
        <family val="3"/>
        <charset val="134"/>
        <scheme val="minor"/>
      </rPr>
      <t>劲</t>
    </r>
  </si>
  <si>
    <r>
      <t>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食用酒精; 露酒;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</si>
  <si>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台</t>
    </r>
  </si>
  <si>
    <t>蔡程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</si>
  <si>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烈酒;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白干酒（中国白酒）; 葡萄酒</t>
    </r>
  </si>
  <si>
    <r>
      <t>雄</t>
    </r>
    <r>
      <rPr>
        <sz val="11"/>
        <color theme="1"/>
        <rFont val="ＭＳ Ｐゴシック"/>
        <family val="3"/>
        <charset val="134"/>
        <scheme val="minor"/>
      </rPr>
      <t>牦</t>
    </r>
    <r>
      <rPr>
        <sz val="11"/>
        <color theme="1"/>
        <rFont val="ＭＳ Ｐゴシック"/>
        <family val="3"/>
        <charset val="128"/>
        <scheme val="minor"/>
      </rPr>
      <t>清潭</t>
    </r>
  </si>
  <si>
    <r>
      <t xml:space="preserve">青稞酒; 果酒（含酒精）;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</si>
  <si>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雄</t>
    </r>
    <r>
      <rPr>
        <sz val="11"/>
        <color theme="1"/>
        <rFont val="ＭＳ Ｐゴシック"/>
        <family val="3"/>
        <charset val="134"/>
        <scheme val="minor"/>
      </rPr>
      <t>牦</t>
    </r>
    <r>
      <rPr>
        <sz val="11"/>
        <color theme="1"/>
        <rFont val="ＭＳ Ｐゴシック"/>
        <family val="3"/>
        <charset val="128"/>
        <scheme val="minor"/>
      </rPr>
      <t>金樽</t>
    </r>
  </si>
  <si>
    <r>
      <t xml:space="preserve">青稞酒;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食用酒精; 米酒</t>
    </r>
  </si>
  <si>
    <r>
      <t>诚</t>
    </r>
    <r>
      <rPr>
        <sz val="11"/>
        <color theme="1"/>
        <rFont val="ＭＳ Ｐゴシック"/>
        <family val="3"/>
        <charset val="128"/>
        <scheme val="minor"/>
      </rPr>
      <t>品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</t>
    </r>
  </si>
  <si>
    <t>曹袁</t>
  </si>
  <si>
    <r>
      <t>清酒; 甜果酒; 白干酒（中国白酒）; 葡萄酒;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</si>
  <si>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散花君品</t>
  </si>
  <si>
    <r>
      <t>石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市妙妤</t>
    </r>
    <r>
      <rPr>
        <sz val="11"/>
        <color theme="1"/>
        <rFont val="ＭＳ Ｐゴシック"/>
        <family val="3"/>
        <charset val="134"/>
        <scheme val="minor"/>
      </rPr>
      <t>柠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</si>
  <si>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葡萄酒; 烈酒; 黄酒; 米酒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</si>
  <si>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鑫泉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</si>
  <si>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隆</t>
    </r>
  </si>
  <si>
    <r>
      <t>利口酒; 果酒;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白葡萄酒</t>
    </r>
  </si>
  <si>
    <r>
      <t>赢</t>
    </r>
    <r>
      <rPr>
        <sz val="11"/>
        <color theme="1"/>
        <rFont val="ＭＳ Ｐゴシック"/>
        <family val="3"/>
        <charset val="128"/>
        <scheme val="minor"/>
      </rPr>
      <t>七洲</t>
    </r>
  </si>
  <si>
    <r>
      <t>袁小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</si>
  <si>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</si>
  <si>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FIFTH</t>
  </si>
  <si>
    <t>广州市芭曲形象策划有限公司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</si>
  <si>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</si>
  <si>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t>晶耀</t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</si>
  <si>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威士忌</t>
    </r>
  </si>
  <si>
    <t>@AL21</t>
  </si>
  <si>
    <r>
      <t>库尔</t>
    </r>
    <r>
      <rPr>
        <sz val="11"/>
        <color theme="1"/>
        <rFont val="ＭＳ Ｐゴシック"/>
        <family val="3"/>
        <charset val="128"/>
        <scheme val="minor"/>
      </rPr>
      <t>科技集</t>
    </r>
    <r>
      <rPr>
        <sz val="11"/>
        <color theme="1"/>
        <rFont val="ＭＳ Ｐゴシック"/>
        <family val="3"/>
        <charset val="134"/>
        <scheme val="minor"/>
      </rPr>
      <t>团</t>
    </r>
  </si>
  <si>
    <r>
      <t xml:space="preserve">清酒（日本米酒）; 米酒; 白酒;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</si>
  <si>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美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小象</t>
    </r>
  </si>
  <si>
    <t>北京三快科技有限公司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</si>
  <si>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米酒; 开胃酒; 白酒</t>
    </r>
  </si>
  <si>
    <r>
      <t>木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海</t>
    </r>
  </si>
  <si>
    <r>
      <t>莆田木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品牌运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</si>
  <si>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白酒; 汽酒;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</si>
  <si>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浙江省美好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村文化振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研究院 MEIHAO RURAL CULTURE REVITALIZATION INSTITUTE OF ZHEJIANG</t>
    </r>
  </si>
  <si>
    <r>
      <t>浙江省美好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村文化振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研究院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</si>
  <si>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</si>
  <si>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 xml:space="preserve">LTV 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广</t>
    </r>
    <r>
      <rPr>
        <sz val="11"/>
        <color theme="1"/>
        <rFont val="ＭＳ Ｐゴシック"/>
        <family val="3"/>
        <charset val="134"/>
        <scheme val="minor"/>
      </rPr>
      <t>电</t>
    </r>
  </si>
  <si>
    <r>
      <t>连</t>
    </r>
    <r>
      <rPr>
        <sz val="11"/>
        <color theme="1"/>
        <rFont val="ＭＳ Ｐゴシック"/>
        <family val="3"/>
        <charset val="128"/>
        <scheme val="minor"/>
      </rPr>
      <t>云港市广播</t>
    </r>
    <r>
      <rPr>
        <sz val="11"/>
        <color theme="1"/>
        <rFont val="ＭＳ Ｐゴシック"/>
        <family val="3"/>
        <charset val="134"/>
        <scheme val="minor"/>
      </rPr>
      <t>电视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</si>
  <si>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开胃酒; 米酒; 汽酒;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威士忌; 葡萄酒</t>
    </r>
  </si>
  <si>
    <r>
      <t>禾得酒 禾以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得 JZC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</si>
  <si>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州醉禾商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</si>
  <si>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</si>
  <si>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燕</t>
    </r>
    <r>
      <rPr>
        <sz val="11"/>
        <color theme="1"/>
        <rFont val="ＭＳ Ｐゴシック"/>
        <family val="3"/>
        <charset val="134"/>
        <scheme val="minor"/>
      </rPr>
      <t>鳐鱼</t>
    </r>
  </si>
  <si>
    <r>
      <t>安徽文</t>
    </r>
    <r>
      <rPr>
        <sz val="11"/>
        <color theme="1"/>
        <rFont val="ＭＳ Ｐゴシック"/>
        <family val="3"/>
        <charset val="134"/>
        <scheme val="minor"/>
      </rPr>
      <t>鳐鱼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</si>
  <si>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黄酒</t>
    </r>
  </si>
  <si>
    <t>墨 墨汐</t>
  </si>
  <si>
    <r>
      <t>福州市鼓楼区墨汐商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</si>
  <si>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烈酒;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开胃酒; 高粱酒</t>
    </r>
  </si>
  <si>
    <r>
      <t>和海</t>
    </r>
    <r>
      <rPr>
        <sz val="11"/>
        <color theme="1"/>
        <rFont val="ＭＳ Ｐゴシック"/>
        <family val="3"/>
        <charset val="134"/>
        <scheme val="minor"/>
      </rPr>
      <t>荟</t>
    </r>
  </si>
  <si>
    <r>
      <t>上海康大供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</si>
  <si>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苹果酒;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</t>
    </r>
  </si>
  <si>
    <t>青粒一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</si>
  <si>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厚冠商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</si>
  <si>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薄荷酒; 开胃酒;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</si>
  <si>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帝盟典藏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</si>
  <si>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州金久酒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</si>
  <si>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威士忌; 黄酒; 葡萄酒; 苹果酒</t>
    </r>
  </si>
  <si>
    <t>春旺先生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</si>
  <si>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欣旺达餐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</si>
  <si>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开胃酒; 清酒（日本米酒）;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</si>
  <si>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t>李杜会</t>
  </si>
  <si>
    <r>
      <t>济</t>
    </r>
    <r>
      <rPr>
        <sz val="11"/>
        <color theme="1"/>
        <rFont val="ＭＳ Ｐゴシック"/>
        <family val="3"/>
        <charset val="128"/>
        <scheme val="minor"/>
      </rPr>
      <t>宁市独角</t>
    </r>
    <r>
      <rPr>
        <sz val="11"/>
        <color theme="1"/>
        <rFont val="ＭＳ Ｐゴシック"/>
        <family val="3"/>
        <charset val="134"/>
        <scheme val="minor"/>
      </rPr>
      <t>兽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</si>
  <si>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清酒; 青稞酒; 食用酒精; 果酒; 白酒; 草莓酒;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烈酒</t>
    </r>
  </si>
  <si>
    <t>WESAIS</t>
  </si>
  <si>
    <r>
      <t>广州</t>
    </r>
    <r>
      <rPr>
        <sz val="11"/>
        <color theme="1"/>
        <rFont val="ＭＳ Ｐゴシック"/>
        <family val="3"/>
        <charset val="134"/>
        <scheme val="minor"/>
      </rPr>
      <t>篮鲸</t>
    </r>
    <r>
      <rPr>
        <sz val="11"/>
        <color theme="1"/>
        <rFont val="ＭＳ Ｐゴシック"/>
        <family val="3"/>
        <charset val="128"/>
        <scheme val="minor"/>
      </rPr>
      <t>体育有限公司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</si>
  <si>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朗姆酒; 葡萄酒; 米酒;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</si>
  <si>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西王台</t>
  </si>
  <si>
    <t>李玉平</t>
  </si>
  <si>
    <r>
      <t>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</t>
    </r>
  </si>
  <si>
    <t>大福楼酒魂DAFULOU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</si>
  <si>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州植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</si>
  <si>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开胃酒;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清酒（日本米酒）; 米酒; 果酒（含酒精）</t>
    </r>
  </si>
  <si>
    <r>
      <t>归</t>
    </r>
    <r>
      <rPr>
        <sz val="11"/>
        <color theme="1"/>
        <rFont val="ＭＳ Ｐゴシック"/>
        <family val="3"/>
        <charset val="128"/>
        <scheme val="minor"/>
      </rPr>
      <t>旅</t>
    </r>
  </si>
  <si>
    <r>
      <t>李智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</si>
  <si>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 xml:space="preserve">果酒（含酒精）; 米酒;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</si>
  <si>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刘叔心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</si>
  <si>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北京新柏熠文化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</si>
  <si>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葡萄酒; 白酒; 高粱酒;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</si>
  <si>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根祖清花</t>
  </si>
  <si>
    <r>
      <t xml:space="preserve">露酒;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</si>
  <si>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缑</t>
    </r>
    <r>
      <rPr>
        <sz val="11"/>
        <color theme="1"/>
        <rFont val="ＭＳ Ｐゴシック"/>
        <family val="3"/>
        <charset val="128"/>
        <scheme val="minor"/>
      </rPr>
      <t>城六必酒</t>
    </r>
    <r>
      <rPr>
        <sz val="11"/>
        <color theme="1"/>
        <rFont val="ＭＳ Ｐゴシック"/>
        <family val="3"/>
        <charset val="134"/>
        <scheme val="minor"/>
      </rPr>
      <t>经</t>
    </r>
  </si>
  <si>
    <r>
      <t>宁波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喜食品有限公司</t>
    </r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</si>
  <si>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苹果酒; 葡萄酒; 白酒</t>
    </r>
  </si>
  <si>
    <t>需台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</si>
  <si>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忆刚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</si>
  <si>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苹果酒;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餐后酒（利口酒和烈酒）;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</t>
    </r>
  </si>
  <si>
    <t>CONSTANT RESPECT SOUL</t>
  </si>
  <si>
    <r>
      <t>深圳豪瑞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</si>
  <si>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利口酒; 食用酒精; 葡萄酒; 开胃酒;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</si>
  <si>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MONAZI</t>
  </si>
  <si>
    <r>
      <t>陈晓</t>
    </r>
    <r>
      <rPr>
        <sz val="11"/>
        <color theme="1"/>
        <rFont val="ＭＳ Ｐゴシック"/>
        <family val="3"/>
        <charset val="128"/>
        <scheme val="minor"/>
      </rPr>
      <t>杰</t>
    </r>
  </si>
  <si>
    <r>
      <t xml:space="preserve">果酒（含酒精）; 开胃酒;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柑香酒</t>
    </r>
  </si>
  <si>
    <t>老辛粮液</t>
  </si>
  <si>
    <r>
      <t>国</t>
    </r>
    <r>
      <rPr>
        <sz val="11"/>
        <color theme="1"/>
        <rFont val="ＭＳ Ｐゴシック"/>
        <family val="3"/>
        <charset val="134"/>
        <scheme val="minor"/>
      </rPr>
      <t>华鹏</t>
    </r>
    <r>
      <rPr>
        <sz val="11"/>
        <color theme="1"/>
        <rFont val="ＭＳ Ｐゴシック"/>
        <family val="3"/>
        <charset val="128"/>
        <scheme val="minor"/>
      </rPr>
      <t>源股份有限公司</t>
    </r>
  </si>
  <si>
    <r>
      <t>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果酒（含酒精）;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开胃酒</t>
    </r>
  </si>
  <si>
    <t>仙崖湾</t>
  </si>
  <si>
    <r>
      <t>河南伏羲山旅游开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</si>
  <si>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</si>
  <si>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金禾之吻</t>
  </si>
  <si>
    <r>
      <t>张</t>
    </r>
    <r>
      <rPr>
        <sz val="11"/>
        <color theme="1"/>
        <rFont val="ＭＳ Ｐゴシック"/>
        <family val="3"/>
        <charset val="128"/>
        <scheme val="minor"/>
      </rPr>
      <t>礼国</t>
    </r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</si>
  <si>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清酒; 果酒; 白酒; 米酒; 葡萄酒; 黄酒</t>
    </r>
  </si>
  <si>
    <r>
      <t>旅行物</t>
    </r>
    <r>
      <rPr>
        <sz val="11"/>
        <color theme="1"/>
        <rFont val="ＭＳ Ｐゴシック"/>
        <family val="3"/>
        <charset val="134"/>
        <scheme val="minor"/>
      </rPr>
      <t>语</t>
    </r>
  </si>
  <si>
    <t>南京楷宸生物科技有限公司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</si>
  <si>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蜂蜜酒;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伏特加酒</t>
    </r>
  </si>
  <si>
    <r>
      <t>应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34"/>
        <scheme val="minor"/>
      </rPr>
      <t>问</t>
    </r>
    <r>
      <rPr>
        <sz val="11"/>
        <color theme="1"/>
        <rFont val="ＭＳ Ｐゴシック"/>
        <family val="3"/>
        <charset val="128"/>
        <scheme val="minor"/>
      </rPr>
      <t>礼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</si>
  <si>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旭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</si>
  <si>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蜂蜜酒;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</si>
  <si>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辞穗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</si>
  <si>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黄酒;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</si>
  <si>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煤油灯回</t>
    </r>
    <r>
      <rPr>
        <sz val="11"/>
        <color theme="1"/>
        <rFont val="ＭＳ Ｐゴシック"/>
        <family val="3"/>
        <charset val="134"/>
        <scheme val="minor"/>
      </rPr>
      <t>忆</t>
    </r>
  </si>
  <si>
    <r>
      <t>廖小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</si>
  <si>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含酒精的气泡水;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米酒; 露酒</t>
    </r>
  </si>
  <si>
    <r>
      <t>很</t>
    </r>
    <r>
      <rPr>
        <sz val="11"/>
        <color theme="1"/>
        <rFont val="ＭＳ Ｐゴシック"/>
        <family val="3"/>
        <charset val="134"/>
        <scheme val="minor"/>
      </rPr>
      <t>爷</t>
    </r>
  </si>
  <si>
    <t>肖禄明</t>
  </si>
  <si>
    <r>
      <t>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米酒; 威士忌</t>
    </r>
  </si>
  <si>
    <r>
      <t>胶</t>
    </r>
    <r>
      <rPr>
        <sz val="11"/>
        <color theme="1"/>
        <rFont val="ＭＳ Ｐゴシック"/>
        <family val="3"/>
        <charset val="134"/>
        <scheme val="minor"/>
      </rPr>
      <t>东鲅渔</t>
    </r>
    <r>
      <rPr>
        <sz val="11"/>
        <color theme="1"/>
        <rFont val="ＭＳ Ｐゴシック"/>
        <family val="3"/>
        <charset val="128"/>
        <scheme val="minor"/>
      </rPr>
      <t>姐</t>
    </r>
  </si>
  <si>
    <r>
      <t>闫</t>
    </r>
    <r>
      <rPr>
        <sz val="11"/>
        <color theme="1"/>
        <rFont val="ＭＳ Ｐゴシック"/>
        <family val="3"/>
        <charset val="128"/>
        <scheme val="minor"/>
      </rPr>
      <t>璐雯</t>
    </r>
  </si>
  <si>
    <r>
      <t xml:space="preserve">葡萄酒; 米酒; 白酒; 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</si>
  <si>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京城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道粮</t>
    </r>
  </si>
  <si>
    <r>
      <t>京城酒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（天津）有限公司</t>
    </r>
  </si>
  <si>
    <r>
      <t>黄酒;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果酒</t>
    </r>
  </si>
  <si>
    <t>MASTER ARBOR</t>
  </si>
  <si>
    <r>
      <t>澳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</si>
  <si>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>酒; 清酒（日本米酒）; 黄酒;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</si>
  <si>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开大船</t>
  </si>
  <si>
    <r>
      <t>江西省中小企</t>
    </r>
    <r>
      <rPr>
        <sz val="11"/>
        <color theme="1"/>
        <rFont val="ＭＳ Ｐゴシック"/>
        <family val="3"/>
        <charset val="134"/>
        <scheme val="minor"/>
      </rPr>
      <t>业协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</si>
  <si>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米酒; 威士忌; 果酒（含酒精）;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</si>
  <si>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觉</t>
    </r>
    <r>
      <rPr>
        <sz val="11"/>
        <color theme="1"/>
        <rFont val="ＭＳ Ｐゴシック"/>
        <family val="3"/>
        <charset val="128"/>
        <scheme val="minor"/>
      </rPr>
      <t>山紫香</t>
    </r>
  </si>
  <si>
    <r>
      <t>抚</t>
    </r>
    <r>
      <rPr>
        <sz val="11"/>
        <color theme="1"/>
        <rFont val="ＭＳ Ｐゴシック"/>
        <family val="3"/>
        <charset val="128"/>
        <scheme val="minor"/>
      </rPr>
      <t>州市紫源</t>
    </r>
    <r>
      <rPr>
        <sz val="11"/>
        <color theme="1"/>
        <rFont val="ＭＳ Ｐゴシック"/>
        <family val="3"/>
        <charset val="134"/>
        <scheme val="minor"/>
      </rPr>
      <t>农业综</t>
    </r>
    <r>
      <rPr>
        <sz val="11"/>
        <color theme="1"/>
        <rFont val="ＭＳ Ｐゴシック"/>
        <family val="3"/>
        <charset val="128"/>
        <scheme val="minor"/>
      </rPr>
      <t>合开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</si>
  <si>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蒸煮提取物（利口酒和烈酒）; 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天然汽酒; 甜果酒; 烈性干酒</t>
    </r>
  </si>
  <si>
    <r>
      <t>毕</t>
    </r>
    <r>
      <rPr>
        <sz val="11"/>
        <color theme="1"/>
        <rFont val="ＭＳ Ｐゴシック"/>
        <family val="3"/>
        <charset val="128"/>
        <scheme val="minor"/>
      </rPr>
      <t>家湾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</si>
  <si>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连毕</t>
    </r>
    <r>
      <rPr>
        <sz val="11"/>
        <color theme="1"/>
        <rFont val="ＭＳ Ｐゴシック"/>
        <family val="3"/>
        <charset val="128"/>
        <scheme val="minor"/>
      </rPr>
      <t>家湾海洋生物科技有限公司</t>
    </r>
  </si>
  <si>
    <r>
      <t xml:space="preserve">青梅酒; 高粱酒;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</si>
  <si>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潭域酒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</si>
  <si>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赵鹏</t>
    </r>
    <r>
      <rPr>
        <sz val="11"/>
        <color theme="1"/>
        <rFont val="ＭＳ Ｐゴシック"/>
        <family val="3"/>
        <charset val="128"/>
        <scheme val="minor"/>
      </rPr>
      <t>宇</t>
    </r>
  </si>
  <si>
    <r>
      <t>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</si>
  <si>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洋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花</t>
    </r>
  </si>
  <si>
    <r>
      <t>西咸新区空港新城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水系百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店</t>
    </r>
  </si>
  <si>
    <r>
      <t>清酒（日本米酒）; 果酒（含酒精）;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</si>
  <si>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中海E昇</t>
  </si>
  <si>
    <r>
      <t>大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瑞</t>
    </r>
    <r>
      <rPr>
        <sz val="11"/>
        <color theme="1"/>
        <rFont val="ＭＳ Ｐゴシック"/>
        <family val="3"/>
        <charset val="134"/>
        <scheme val="minor"/>
      </rPr>
      <t>亿罗</t>
    </r>
    <r>
      <rPr>
        <sz val="11"/>
        <color theme="1"/>
        <rFont val="ＭＳ Ｐゴシック"/>
        <family val="3"/>
        <charset val="128"/>
        <scheme val="minor"/>
      </rPr>
      <t>拉国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</si>
  <si>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露酒; 葡萄酒; 高粱酒; 汽酒; 白葡萄酒; 黄酒; 蜂蜜酒; 清酒; 白酒</t>
    </r>
  </si>
  <si>
    <r>
      <t>春</t>
    </r>
    <r>
      <rPr>
        <sz val="11"/>
        <color theme="1"/>
        <rFont val="ＭＳ Ｐゴシック"/>
        <family val="3"/>
        <charset val="129"/>
        <scheme val="minor"/>
      </rPr>
      <t>燊</t>
    </r>
    <r>
      <rPr>
        <sz val="11"/>
        <color theme="1"/>
        <rFont val="ＭＳ Ｐゴシック"/>
        <family val="3"/>
        <charset val="128"/>
        <scheme val="minor"/>
      </rPr>
      <t>窖</t>
    </r>
  </si>
  <si>
    <r>
      <t>吕</t>
    </r>
    <r>
      <rPr>
        <sz val="11"/>
        <color theme="1"/>
        <rFont val="ＭＳ Ｐゴシック"/>
        <family val="3"/>
        <charset val="128"/>
        <scheme val="minor"/>
      </rPr>
      <t>启波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</si>
  <si>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白酒; 开胃酒; 葡萄酒</t>
    </r>
  </si>
  <si>
    <r>
      <t>酒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巧合</t>
    </r>
  </si>
  <si>
    <r>
      <t>庄茂</t>
    </r>
    <r>
      <rPr>
        <sz val="11"/>
        <color theme="1"/>
        <rFont val="ＭＳ Ｐゴシック"/>
        <family val="3"/>
        <charset val="134"/>
        <scheme val="minor"/>
      </rPr>
      <t>权</t>
    </r>
  </si>
  <si>
    <r>
      <t>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</t>
    </r>
  </si>
  <si>
    <t>QIARU</t>
  </si>
  <si>
    <r>
      <t>广州恰如供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</si>
  <si>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薄荷酒;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酸酒（低等葡萄酒）;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开胃酒; 汽酒</t>
    </r>
  </si>
  <si>
    <r>
      <t>玉玲</t>
    </r>
    <r>
      <rPr>
        <sz val="11"/>
        <color theme="1"/>
        <rFont val="ＭＳ Ｐゴシック"/>
        <family val="3"/>
        <charset val="134"/>
        <scheme val="minor"/>
      </rPr>
      <t>珑</t>
    </r>
  </si>
  <si>
    <r>
      <t>库</t>
    </r>
    <r>
      <rPr>
        <sz val="11"/>
        <color theme="1"/>
        <rFont val="ＭＳ Ｐゴシック"/>
        <family val="3"/>
        <charset val="128"/>
        <scheme val="minor"/>
      </rPr>
      <t>玉如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</si>
  <si>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食用酒精; 黄酒; 清酒; 米酒; 白干酒（中国白酒）;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</si>
  <si>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r>
      <t>柒</t>
    </r>
    <r>
      <rPr>
        <sz val="11"/>
        <color theme="1"/>
        <rFont val="ＭＳ Ｐゴシック"/>
        <family val="3"/>
        <charset val="134"/>
        <scheme val="minor"/>
      </rPr>
      <t>俩</t>
    </r>
    <r>
      <rPr>
        <sz val="11"/>
        <color theme="1"/>
        <rFont val="ＭＳ Ｐゴシック"/>
        <family val="3"/>
        <charset val="128"/>
        <scheme val="minor"/>
      </rPr>
      <t>柒</t>
    </r>
    <r>
      <rPr>
        <sz val="11"/>
        <color theme="1"/>
        <rFont val="ＭＳ Ｐゴシック"/>
        <family val="3"/>
        <charset val="134"/>
        <scheme val="minor"/>
      </rPr>
      <t>酿</t>
    </r>
  </si>
  <si>
    <t>曾小敏</t>
  </si>
  <si>
    <r>
      <t xml:space="preserve">米酒; 开胃酒; 葡萄酒;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</si>
  <si>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九乘八</t>
  </si>
  <si>
    <t>屈政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</si>
  <si>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威士忌;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</si>
  <si>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涛祥</t>
    </r>
    <r>
      <rPr>
        <sz val="11"/>
        <color theme="1"/>
        <rFont val="ＭＳ Ｐゴシック"/>
        <family val="3"/>
        <charset val="134"/>
        <scheme val="minor"/>
      </rPr>
      <t>龙赐</t>
    </r>
    <r>
      <rPr>
        <sz val="11"/>
        <color theme="1"/>
        <rFont val="ＭＳ Ｐゴシック"/>
        <family val="3"/>
        <charset val="128"/>
        <scheme val="minor"/>
      </rPr>
      <t>福</t>
    </r>
  </si>
  <si>
    <r>
      <t>四川省</t>
    </r>
    <r>
      <rPr>
        <sz val="11"/>
        <color theme="1"/>
        <rFont val="ＭＳ Ｐゴシック"/>
        <family val="3"/>
        <charset val="134"/>
        <scheme val="minor"/>
      </rPr>
      <t>泸</t>
    </r>
    <r>
      <rPr>
        <sz val="11"/>
        <color theme="1"/>
        <rFont val="ＭＳ Ｐゴシック"/>
        <family val="3"/>
        <charset val="128"/>
        <scheme val="minor"/>
      </rPr>
      <t>涛酒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</si>
  <si>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食用酒精;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开胃酒</t>
    </r>
  </si>
  <si>
    <r>
      <t>柒</t>
    </r>
    <r>
      <rPr>
        <sz val="11"/>
        <color theme="1"/>
        <rFont val="ＭＳ Ｐゴシック"/>
        <family val="3"/>
        <charset val="134"/>
        <scheme val="minor"/>
      </rPr>
      <t>俩</t>
    </r>
    <r>
      <rPr>
        <sz val="11"/>
        <color theme="1"/>
        <rFont val="ＭＳ Ｐゴシック"/>
        <family val="3"/>
        <charset val="128"/>
        <scheme val="minor"/>
      </rPr>
      <t>玖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</si>
  <si>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开胃酒; 葡萄酒</t>
    </r>
  </si>
  <si>
    <t>屏方 55</t>
  </si>
  <si>
    <r>
      <t>珠海再生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园运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</si>
  <si>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</si>
  <si>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柒</t>
    </r>
    <r>
      <rPr>
        <sz val="11"/>
        <color theme="1"/>
        <rFont val="ＭＳ Ｐゴシック"/>
        <family val="3"/>
        <charset val="134"/>
        <scheme val="minor"/>
      </rPr>
      <t>俩</t>
    </r>
    <r>
      <rPr>
        <sz val="11"/>
        <color theme="1"/>
        <rFont val="ＭＳ Ｐゴシック"/>
        <family val="3"/>
        <charset val="128"/>
        <scheme val="minor"/>
      </rPr>
      <t>拾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</si>
  <si>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米酒; 清酒（日本米酒）;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葡萄酒;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</si>
  <si>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康笙园</t>
  </si>
  <si>
    <r>
      <t>郑</t>
    </r>
    <r>
      <rPr>
        <sz val="11"/>
        <color theme="1"/>
        <rFont val="ＭＳ Ｐゴシック"/>
        <family val="3"/>
        <charset val="128"/>
        <scheme val="minor"/>
      </rPr>
      <t>名</t>
    </r>
    <r>
      <rPr>
        <sz val="11"/>
        <color theme="1"/>
        <rFont val="ＭＳ Ｐゴシック"/>
        <family val="3"/>
        <charset val="134"/>
        <scheme val="minor"/>
      </rPr>
      <t>维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</si>
  <si>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梨酒; 薄荷酒;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</si>
  <si>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金鼎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涎春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</si>
  <si>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太和春酒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</si>
  <si>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甜酒;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</t>
    </r>
  </si>
  <si>
    <t>YUAN JIANG JIA JIU</t>
  </si>
  <si>
    <r>
      <t>郑</t>
    </r>
    <r>
      <rPr>
        <sz val="11"/>
        <color theme="1"/>
        <rFont val="ＭＳ Ｐゴシック"/>
        <family val="3"/>
        <charset val="128"/>
        <scheme val="minor"/>
      </rPr>
      <t>洪娟</t>
    </r>
  </si>
  <si>
    <r>
      <t>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</si>
  <si>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南洲 9797</t>
  </si>
  <si>
    <r>
      <t>湖南南洲酒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</si>
  <si>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果酒（含酒精）;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青稞酒; 白酒</t>
    </r>
  </si>
  <si>
    <t>甜美豆</t>
  </si>
  <si>
    <t>范勇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</si>
  <si>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梅酒;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露酒; 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</si>
  <si>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源丰元</t>
  </si>
  <si>
    <r>
      <t>陈</t>
    </r>
    <r>
      <rPr>
        <sz val="11"/>
        <color theme="1"/>
        <rFont val="ＭＳ Ｐゴシック"/>
        <family val="3"/>
        <charset val="128"/>
        <scheme val="minor"/>
      </rPr>
      <t>清从</t>
    </r>
  </si>
  <si>
    <r>
      <t>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葡萄酒; 果酒; 高粱酒; 薄荷酒; 白酒; 威士忌</t>
    </r>
  </si>
  <si>
    <t>福多原</t>
  </si>
  <si>
    <r>
      <t>龙</t>
    </r>
    <r>
      <rPr>
        <sz val="11"/>
        <color theme="1"/>
        <rFont val="ＭＳ Ｐゴシック"/>
        <family val="3"/>
        <charset val="128"/>
        <scheme val="minor"/>
      </rPr>
      <t>洪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</si>
  <si>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葡萄酒; 白酒; 清酒（日本米酒）; 果酒（含酒精）;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</si>
  <si>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甜集</t>
  </si>
  <si>
    <r>
      <t>李</t>
    </r>
    <r>
      <rPr>
        <sz val="11"/>
        <color theme="1"/>
        <rFont val="ＭＳ Ｐゴシック"/>
        <family val="3"/>
        <charset val="134"/>
        <scheme val="minor"/>
      </rPr>
      <t>赛</t>
    </r>
  </si>
  <si>
    <t>开胃酒; 果酒; 食用酒精; 黄酒; 葡萄酒; 清酒; 甜酒; 白酒; 米酒; 汽酒</t>
  </si>
  <si>
    <t>益道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</si>
  <si>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州益家人企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</si>
  <si>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葡萄酒;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</si>
  <si>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DAMING</t>
  </si>
  <si>
    <r>
      <t>大明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子股份有限公司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</si>
  <si>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薄荷酒;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利口酒</t>
    </r>
  </si>
  <si>
    <t>六慎</t>
  </si>
  <si>
    <r>
      <t>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米酒; 开胃酒; 蒸煮提取物（利口酒和烈酒）;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</si>
  <si>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中境·徽宗体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</si>
  <si>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鱼鳅</t>
    </r>
    <r>
      <rPr>
        <sz val="11"/>
        <color theme="1"/>
        <rFont val="ＭＳ Ｐゴシック"/>
        <family val="3"/>
        <charset val="128"/>
        <scheme val="minor"/>
      </rPr>
      <t>寨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</si>
  <si>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葡萄酒; 米酒; 伏特加酒;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</t>
    </r>
  </si>
  <si>
    <t>勰和天下</t>
  </si>
  <si>
    <r>
      <t>安徽御玖醇酒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</si>
  <si>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食用酒精;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蒸煮提取物（利口酒和烈酒）; 葡萄酒; 露酒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</si>
  <si>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开胃酒</t>
    </r>
  </si>
  <si>
    <t>SEAME WINDWE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</si>
  <si>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开胃酒; 梨酒;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</t>
    </r>
  </si>
  <si>
    <r>
      <t>凤酿</t>
    </r>
    <r>
      <rPr>
        <sz val="11"/>
        <color theme="1"/>
        <rFont val="ＭＳ Ｐゴシック"/>
        <family val="3"/>
        <charset val="128"/>
        <scheme val="minor"/>
      </rPr>
      <t>御品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</si>
  <si>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火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（四川）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</si>
  <si>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葡萄酒; 白酒; 果酒（含酒精）;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</si>
  <si>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磐</t>
    </r>
    <r>
      <rPr>
        <sz val="11"/>
        <color theme="1"/>
        <rFont val="ＭＳ Ｐゴシック"/>
        <family val="3"/>
        <charset val="134"/>
        <scheme val="minor"/>
      </rPr>
      <t>龙荟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</si>
  <si>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州天翊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</si>
  <si>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白酒; 葡萄酒;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青稞酒;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梅酒</t>
    </r>
  </si>
  <si>
    <t>斯宅高山</t>
  </si>
  <si>
    <r>
      <t>元儒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科技（</t>
    </r>
    <r>
      <rPr>
        <sz val="11"/>
        <color theme="1"/>
        <rFont val="ＭＳ Ｐゴシック"/>
        <family val="3"/>
        <charset val="134"/>
        <scheme val="minor"/>
      </rPr>
      <t>诸</t>
    </r>
    <r>
      <rPr>
        <sz val="11"/>
        <color theme="1"/>
        <rFont val="ＭＳ Ｐゴシック"/>
        <family val="3"/>
        <charset val="129"/>
        <scheme val="minor"/>
      </rPr>
      <t>暨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</si>
  <si>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果酒; 黄酒; 朗姆酒;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</si>
  <si>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 xml:space="preserve">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</si>
  <si>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大古石</t>
    </r>
    <r>
      <rPr>
        <sz val="11"/>
        <color theme="1"/>
        <rFont val="ＭＳ Ｐゴシック"/>
        <family val="3"/>
        <charset val="134"/>
        <scheme val="minor"/>
      </rPr>
      <t>峁</t>
    </r>
  </si>
  <si>
    <r>
      <t>神木市怡仁商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</si>
  <si>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白酒; 黄酒; 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</t>
    </r>
  </si>
  <si>
    <r>
      <t>吾比</t>
    </r>
    <r>
      <rPr>
        <sz val="11"/>
        <color theme="1"/>
        <rFont val="ＭＳ Ｐゴシック"/>
        <family val="3"/>
        <charset val="134"/>
        <scheme val="minor"/>
      </rPr>
      <t>红</t>
    </r>
  </si>
  <si>
    <t>郭雨鑫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</si>
  <si>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白酒; 米酒;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</si>
  <si>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斟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志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</si>
  <si>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广菊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</si>
  <si>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威士忌; 果酒（含酒精）; 葡萄酒; 黄酒; 高粱酒;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</si>
  <si>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黔必稻</t>
  </si>
  <si>
    <t>郭政隆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</si>
  <si>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黄酒; 白酒; 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</si>
  <si>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无酩池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</si>
  <si>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食用酒精; 白酒; 米酒; 果酒（含酒精）; 黄酒</t>
    </r>
  </si>
  <si>
    <t>无酩稻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</si>
  <si>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黄酒; 果酒（含酒精）</t>
    </r>
  </si>
  <si>
    <t>疆火火</t>
  </si>
  <si>
    <r>
      <t>河南省佰熠信餐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</si>
  <si>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高粱酒</t>
    </r>
  </si>
  <si>
    <t>蘅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</si>
  <si>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跳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</si>
  <si>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白酒;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</t>
    </r>
  </si>
  <si>
    <t>弘虎</t>
  </si>
  <si>
    <t>韩凯</t>
  </si>
  <si>
    <r>
      <t xml:space="preserve">白酒; 葡萄酒; 米酒;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</si>
  <si>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数粮合</t>
  </si>
  <si>
    <t>姜良瑞</t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</si>
  <si>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蜂蜜酒</t>
    </r>
  </si>
  <si>
    <t>卉晟府</t>
  </si>
  <si>
    <r>
      <t>赵</t>
    </r>
    <r>
      <rPr>
        <sz val="11"/>
        <color theme="1"/>
        <rFont val="ＭＳ Ｐゴシック"/>
        <family val="3"/>
        <charset val="128"/>
        <scheme val="minor"/>
      </rPr>
      <t>英利</t>
    </r>
  </si>
  <si>
    <r>
      <t xml:space="preserve">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烈酒</t>
    </r>
  </si>
  <si>
    <r>
      <t>调</t>
    </r>
    <r>
      <rPr>
        <sz val="11"/>
        <color theme="1"/>
        <rFont val="ＭＳ Ｐゴシック"/>
        <family val="3"/>
        <charset val="128"/>
        <scheme val="minor"/>
      </rPr>
      <t>己</t>
    </r>
  </si>
  <si>
    <r>
      <t>广西南宁心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</si>
  <si>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蜂蜜酒; 白酒; 黄酒; 米酒; 朗姆酒;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</si>
  <si>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快易幸福万家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</si>
  <si>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快易</t>
    </r>
    <r>
      <rPr>
        <sz val="11"/>
        <color theme="1"/>
        <rFont val="ＭＳ Ｐゴシック"/>
        <family val="3"/>
        <charset val="134"/>
        <scheme val="minor"/>
      </rPr>
      <t>换</t>
    </r>
    <r>
      <rPr>
        <sz val="11"/>
        <color theme="1"/>
        <rFont val="ＭＳ Ｐゴシック"/>
        <family val="3"/>
        <charset val="128"/>
        <scheme val="minor"/>
      </rPr>
      <t>梯</t>
    </r>
    <r>
      <rPr>
        <sz val="11"/>
        <color theme="1"/>
        <rFont val="ＭＳ Ｐゴシック"/>
        <family val="3"/>
        <charset val="134"/>
        <scheme val="minor"/>
      </rPr>
      <t>设备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</si>
  <si>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甜酒;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</si>
  <si>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荣十八子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</si>
  <si>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中酒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</si>
  <si>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蒸煮提取物（利口酒和烈酒）; 威士忌; 黄酒</t>
    </r>
  </si>
  <si>
    <t>岳苗堂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</si>
  <si>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州苗元祥健康管理有限公司</t>
    </r>
  </si>
  <si>
    <r>
      <t>黄酒; 酸酒（低等葡萄酒）; 烈酒; 甜果酒; 葡萄酒; 白酒;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</si>
  <si>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t>SUPER BAND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</si>
  <si>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州王家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</si>
  <si>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起泡白葡萄酒; 米酒; 高粱酒; 果酒; 白葡萄酒; 露酒; 清酒; 果酒（含酒精）; 清酒（日本米酒）;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汽酒;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</si>
  <si>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色丹迪美 CERTAN DE MAY</t>
  </si>
  <si>
    <r>
      <t>昆山晟</t>
    </r>
    <r>
      <rPr>
        <sz val="11"/>
        <color theme="1"/>
        <rFont val="ＭＳ Ｐゴシック"/>
        <family val="3"/>
        <charset val="134"/>
        <scheme val="minor"/>
      </rPr>
      <t>烨轩电</t>
    </r>
    <r>
      <rPr>
        <sz val="11"/>
        <color theme="1"/>
        <rFont val="ＭＳ Ｐゴシック"/>
        <family val="3"/>
        <charset val="128"/>
        <scheme val="minor"/>
      </rPr>
      <t>子科技有限公司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</si>
  <si>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朗姆酒; 米酒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</si>
  <si>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屏春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</si>
  <si>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仙杯白酒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造有限公司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</si>
  <si>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白酒;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</t>
    </r>
  </si>
  <si>
    <r>
      <t>大唐富</t>
    </r>
    <r>
      <rPr>
        <sz val="11"/>
        <color theme="1"/>
        <rFont val="ＭＳ Ｐゴシック"/>
        <family val="3"/>
        <charset val="134"/>
        <scheme val="minor"/>
      </rPr>
      <t>塬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</si>
  <si>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西富</t>
    </r>
    <r>
      <rPr>
        <sz val="11"/>
        <color theme="1"/>
        <rFont val="ＭＳ Ｐゴシック"/>
        <family val="3"/>
        <charset val="134"/>
        <scheme val="minor"/>
      </rPr>
      <t>塬农业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</si>
  <si>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葡萄酒; 苹果酒; 白酒; 黄酒;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</si>
  <si>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化十村</t>
  </si>
  <si>
    <t>佛山市一沁生物科技有限公司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</si>
  <si>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米酒; 黄酒; 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</si>
  <si>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t>太平䄊禧</t>
  </si>
  <si>
    <r>
      <t>北京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信影</t>
    </r>
    <r>
      <rPr>
        <sz val="11"/>
        <color theme="1"/>
        <rFont val="ＭＳ Ｐゴシック"/>
        <family val="3"/>
        <charset val="134"/>
        <scheme val="minor"/>
      </rPr>
      <t>视传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</si>
  <si>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威士忌;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果酒; 白酒</t>
    </r>
  </si>
  <si>
    <t>常丰堂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</si>
  <si>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映象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皮有限公司</t>
    </r>
  </si>
  <si>
    <r>
      <t xml:space="preserve">果酒（含酒精）; 利口酒;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</si>
  <si>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r>
      <t>独秀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哥</t>
    </r>
  </si>
  <si>
    <t>杨东</t>
  </si>
  <si>
    <r>
      <t xml:space="preserve">清酒;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蜂蜜酒;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</t>
    </r>
  </si>
  <si>
    <r>
      <t>广州市蝶婉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</si>
  <si>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果酒;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</si>
  <si>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武妃圣酒</t>
  </si>
  <si>
    <r>
      <t>山西百年青瓷老酒坊酒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</si>
  <si>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</si>
  <si>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欢闹</t>
    </r>
    <r>
      <rPr>
        <sz val="11"/>
        <color theme="1"/>
        <rFont val="ＭＳ Ｐゴシック"/>
        <family val="3"/>
        <charset val="128"/>
        <scheme val="minor"/>
      </rPr>
      <t>集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</si>
  <si>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现</t>
    </r>
    <r>
      <rPr>
        <sz val="11"/>
        <color theme="1"/>
        <rFont val="ＭＳ Ｐゴシック"/>
        <family val="3"/>
        <charset val="128"/>
        <scheme val="minor"/>
      </rPr>
      <t>磊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</si>
  <si>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葡萄酒; 黄酒; 梅酒; 高粱酒; 米酒; 露酒; 果酒; 利口酒</t>
    </r>
  </si>
  <si>
    <r>
      <t>藏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源</t>
    </r>
  </si>
  <si>
    <t>李晨曦</t>
  </si>
  <si>
    <r>
      <t>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甜酒; 葡萄酒;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</si>
  <si>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儒圣</t>
    </r>
    <r>
      <rPr>
        <sz val="11"/>
        <color theme="1"/>
        <rFont val="ＭＳ Ｐゴシック"/>
        <family val="3"/>
        <charset val="134"/>
        <scheme val="minor"/>
      </rPr>
      <t>书</t>
    </r>
    <r>
      <rPr>
        <sz val="11"/>
        <color theme="1"/>
        <rFont val="ＭＳ Ｐゴシック"/>
        <family val="3"/>
        <charset val="128"/>
        <scheme val="minor"/>
      </rPr>
      <t>苑</t>
    </r>
  </si>
  <si>
    <r>
      <t xml:space="preserve">利口酒; 白酒; 米酒; 梅酒; 葡萄酒; 露酒; 果酒; 高粱酒;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</si>
  <si>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HN</t>
  </si>
  <si>
    <r>
      <t>成都好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酒庄有限公司</t>
    </r>
  </si>
  <si>
    <r>
      <t>开胃酒;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米酒; 白酒</t>
    </r>
  </si>
  <si>
    <r>
      <t>HEAD EMPEROR PALACE GOLD DIAMOND 人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皇皇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金</t>
    </r>
    <r>
      <rPr>
        <sz val="11"/>
        <color theme="1"/>
        <rFont val="ＭＳ Ｐゴシック"/>
        <family val="3"/>
        <charset val="134"/>
        <scheme val="minor"/>
      </rPr>
      <t>钻</t>
    </r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</si>
  <si>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市五粮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</si>
  <si>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清酒; 白酒; 果酒; 葡萄酒; 烈酒;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</si>
  <si>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晋侯宴 左邑</t>
  </si>
  <si>
    <r>
      <t>果酒; 烈酒;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白干酒（中国白酒）</t>
    </r>
  </si>
  <si>
    <r>
      <t>嘚驾</t>
    </r>
    <r>
      <rPr>
        <sz val="11"/>
        <color theme="1"/>
        <rFont val="ＭＳ Ｐゴシック"/>
        <family val="3"/>
        <charset val="128"/>
        <scheme val="minor"/>
      </rPr>
      <t>喔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</si>
  <si>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葡萄酒; 果酒（含酒精）;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</si>
  <si>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彭文凭</t>
  </si>
  <si>
    <t>彭文平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</si>
  <si>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果酒（含酒精）</t>
    </r>
  </si>
  <si>
    <r>
      <t>河原酒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 xml:space="preserve"> HEYUAN LIQUOR</t>
    </r>
  </si>
  <si>
    <r>
      <t>付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</si>
  <si>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 xml:space="preserve">果酒;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青稞酒; 高粱酒;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</si>
  <si>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中志投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</si>
  <si>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州新</t>
    </r>
    <r>
      <rPr>
        <sz val="11"/>
        <color theme="1"/>
        <rFont val="ＭＳ Ｐゴシック"/>
        <family val="3"/>
        <charset val="134"/>
        <scheme val="minor"/>
      </rPr>
      <t>识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</si>
  <si>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食用酒精; 葡萄酒;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白干酒（中国白酒）; 白酒; 黄酒; 开胃酒</t>
    </r>
  </si>
  <si>
    <t>中青京窖</t>
  </si>
  <si>
    <r>
      <t>中青京茶茶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（云南）有限公司</t>
    </r>
  </si>
  <si>
    <r>
      <t>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</si>
  <si>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宁霄</t>
  </si>
  <si>
    <r>
      <t>齐</t>
    </r>
    <r>
      <rPr>
        <sz val="11"/>
        <color theme="1"/>
        <rFont val="ＭＳ Ｐゴシック"/>
        <family val="3"/>
        <charset val="128"/>
        <scheme val="minor"/>
      </rPr>
      <t>俊宁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</si>
  <si>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杜松子酒; 黄酒; 米酒; 开胃酒; 蒸煮提取物（利口酒和烈酒）; 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</si>
  <si>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世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丰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</si>
  <si>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高粱酒;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白酒; 黄酒; 果酒; 佐餐酒;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</si>
  <si>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礼</t>
    </r>
    <r>
      <rPr>
        <sz val="11"/>
        <color theme="1"/>
        <rFont val="ＭＳ Ｐゴシック"/>
        <family val="3"/>
        <charset val="134"/>
        <scheme val="minor"/>
      </rPr>
      <t>忆</t>
    </r>
  </si>
  <si>
    <r>
      <t>清酒;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青稞酒; 白酒; 高粱酒; 黄酒;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</si>
  <si>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t>万策</t>
  </si>
  <si>
    <r>
      <t>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佐餐酒; 果酒;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高粱酒;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</si>
  <si>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礼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</si>
  <si>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烈酒; 清酒; 青稞酒;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白酒; 高粱酒; 米酒</t>
    </r>
  </si>
  <si>
    <t>百末清平</t>
  </si>
  <si>
    <r>
      <t>张</t>
    </r>
    <r>
      <rPr>
        <sz val="11"/>
        <color theme="1"/>
        <rFont val="ＭＳ Ｐゴシック"/>
        <family val="3"/>
        <charset val="128"/>
        <scheme val="minor"/>
      </rPr>
      <t>芝虎</t>
    </r>
  </si>
  <si>
    <r>
      <t xml:space="preserve">白酒;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</si>
  <si>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并州新</t>
    </r>
    <r>
      <rPr>
        <sz val="11"/>
        <color theme="1"/>
        <rFont val="ＭＳ Ｐゴシック"/>
        <family val="3"/>
        <charset val="134"/>
        <scheme val="minor"/>
      </rPr>
      <t>报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</si>
  <si>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念国</t>
    </r>
  </si>
  <si>
    <r>
      <t xml:space="preserve">果酒（含酒精）; 开胃酒; 米酒;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</si>
  <si>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图</t>
    </r>
    <r>
      <rPr>
        <sz val="11"/>
        <color theme="1"/>
        <rFont val="ＭＳ Ｐゴシック"/>
        <family val="3"/>
        <charset val="128"/>
        <scheme val="minor"/>
      </rPr>
      <t>布信</t>
    </r>
  </si>
  <si>
    <r>
      <t>问</t>
    </r>
    <r>
      <rPr>
        <sz val="11"/>
        <color theme="1"/>
        <rFont val="ＭＳ Ｐゴシック"/>
        <family val="3"/>
        <charset val="128"/>
        <scheme val="minor"/>
      </rPr>
      <t>阳科技（北京）有限公司</t>
    </r>
  </si>
  <si>
    <r>
      <t>威士忌; 朗姆酒; 黄酒; 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</si>
  <si>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软</t>
    </r>
    <r>
      <rPr>
        <sz val="11"/>
        <color theme="1"/>
        <rFont val="ＭＳ Ｐゴシック"/>
        <family val="3"/>
        <charset val="128"/>
        <scheme val="minor"/>
      </rPr>
      <t>坑</t>
    </r>
    <r>
      <rPr>
        <sz val="11"/>
        <color theme="1"/>
        <rFont val="ＭＳ Ｐゴシック"/>
        <family val="3"/>
        <charset val="134"/>
        <scheme val="minor"/>
      </rPr>
      <t>农</t>
    </r>
  </si>
  <si>
    <r>
      <t>钟伟</t>
    </r>
    <r>
      <rPr>
        <sz val="11"/>
        <color theme="1"/>
        <rFont val="ＭＳ Ｐゴシック"/>
        <family val="3"/>
        <charset val="128"/>
        <scheme val="minor"/>
      </rPr>
      <t>添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</si>
  <si>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白酒</t>
    </r>
  </si>
  <si>
    <r>
      <t>楚</t>
    </r>
    <r>
      <rPr>
        <sz val="11"/>
        <color theme="1"/>
        <rFont val="ＭＳ Ｐゴシック"/>
        <family val="3"/>
        <charset val="134"/>
        <scheme val="minor"/>
      </rPr>
      <t>郧</t>
    </r>
  </si>
  <si>
    <r>
      <t>郧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古</t>
    </r>
    <r>
      <rPr>
        <sz val="11"/>
        <color theme="1"/>
        <rFont val="ＭＳ Ｐゴシック"/>
        <family val="3"/>
        <charset val="134"/>
        <scheme val="minor"/>
      </rPr>
      <t>庙</t>
    </r>
    <r>
      <rPr>
        <sz val="11"/>
        <color theme="1"/>
        <rFont val="ＭＳ Ｐゴシック"/>
        <family val="3"/>
        <charset val="128"/>
        <scheme val="minor"/>
      </rPr>
      <t>山生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养殖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</si>
  <si>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t>汽酒; 开胃酒; 葡萄酒; 米酒; 果酒; 清酒; 梅酒; 果酒（含酒精）; 黄酒; 白酒</t>
  </si>
  <si>
    <r>
      <t>楚雄楷信商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</si>
  <si>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青梅酒;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威士忌; 米酒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</si>
  <si>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市名谷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</si>
  <si>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伏特加酒; 清酒（日本米酒）;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威士忌</t>
    </r>
  </si>
  <si>
    <t>酷刻</t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</si>
  <si>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果酒（含酒精）; 米酒</t>
    </r>
  </si>
  <si>
    <t>NAVIANTE</t>
  </si>
  <si>
    <r>
      <t>菲</t>
    </r>
    <r>
      <rPr>
        <sz val="11"/>
        <color theme="1"/>
        <rFont val="ＭＳ Ｐゴシック"/>
        <family val="3"/>
        <charset val="134"/>
        <scheme val="minor"/>
      </rPr>
      <t>亚罗</t>
    </r>
    <r>
      <rPr>
        <sz val="11"/>
        <color theme="1"/>
        <rFont val="ＭＳ Ｐゴシック"/>
        <family val="3"/>
        <charset val="128"/>
        <scheme val="minor"/>
      </rPr>
      <t>科西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博特酒庄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</si>
  <si>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白朝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族自治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虎眼万年青生物科技有限公司</t>
    </r>
  </si>
  <si>
    <r>
      <t>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开胃酒; 黄酒; 苦味酒; 含酒精的气泡水; 蝮蛇酒</t>
    </r>
  </si>
  <si>
    <r>
      <t>誉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十五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</si>
  <si>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荣仔</t>
    </r>
  </si>
  <si>
    <r>
      <t>葡萄酒;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五加皮酒（中国混合烈酒）;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</si>
  <si>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富淳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达</t>
    </r>
  </si>
  <si>
    <r>
      <t>冯</t>
    </r>
    <r>
      <rPr>
        <sz val="11"/>
        <color theme="1"/>
        <rFont val="ＭＳ Ｐゴシック"/>
        <family val="3"/>
        <charset val="128"/>
        <scheme val="minor"/>
      </rPr>
      <t>吉春</t>
    </r>
  </si>
  <si>
    <r>
      <t xml:space="preserve">白酒;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水果汽酒;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朗姆酒</t>
    </r>
  </si>
  <si>
    <r>
      <t>团圆</t>
    </r>
    <r>
      <rPr>
        <sz val="11"/>
        <color theme="1"/>
        <rFont val="ＭＳ Ｐゴシック"/>
        <family val="3"/>
        <charset val="128"/>
        <scheme val="minor"/>
      </rPr>
      <t>情</t>
    </r>
  </si>
  <si>
    <t>应义锋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</si>
  <si>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白干酒（中国白酒）; 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</si>
  <si>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小浪</t>
    </r>
  </si>
  <si>
    <r>
      <t>果酒（含酒精）; 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利口酒; 米酒</t>
    </r>
  </si>
  <si>
    <t>卡利托</t>
  </si>
  <si>
    <r>
      <t>迪艾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</si>
  <si>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</t>
    </r>
  </si>
  <si>
    <t>DOMAINE DU METEORE</t>
  </si>
  <si>
    <r>
      <t>米拓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酒庄</t>
    </r>
  </si>
  <si>
    <r>
      <t>加烈葡萄酒;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白葡萄酒; 威士忌;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起泡白葡萄酒</t>
    </r>
  </si>
  <si>
    <r>
      <t>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威士忌; 白酒; 黄酒;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</t>
    </r>
  </si>
  <si>
    <t>ULIKING</t>
  </si>
  <si>
    <t>刘梓琪</t>
  </si>
  <si>
    <r>
      <t xml:space="preserve">开胃酒; 黄酒; 苹果酒; 米酒; 蜂蜜酒; 酸酒（低等葡萄酒）;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</si>
  <si>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味便利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</si>
  <si>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百味商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</si>
  <si>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肆意三千里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</si>
  <si>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</si>
  <si>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五加皮酒（中国混合烈酒）; 蒸煮提取物（利口酒和烈酒）;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米酒; 烈酒;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烈性干酒</t>
    </r>
  </si>
  <si>
    <t>堂和源</t>
  </si>
  <si>
    <r>
      <t>陈</t>
    </r>
    <r>
      <rPr>
        <sz val="11"/>
        <color theme="1"/>
        <rFont val="ＭＳ Ｐゴシック"/>
        <family val="3"/>
        <charset val="128"/>
        <scheme val="minor"/>
      </rPr>
      <t>秋林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</si>
  <si>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白干酒（中国白酒）;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</si>
  <si>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烹谷生活</t>
  </si>
  <si>
    <r>
      <t>陈锦</t>
    </r>
    <r>
      <rPr>
        <sz val="11"/>
        <color theme="1"/>
        <rFont val="ＭＳ Ｐゴシック"/>
        <family val="3"/>
        <charset val="128"/>
        <scheme val="minor"/>
      </rPr>
      <t>源</t>
    </r>
  </si>
  <si>
    <r>
      <t>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白酒; 蝮蛇酒;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甜酒; 米酒; 清酒; 高粱酒; 白干酒（中国白酒）; 梨酒</t>
    </r>
  </si>
  <si>
    <t>稻花香金丰收</t>
  </si>
  <si>
    <r>
      <t>开胃酒; 白酒; 烈酒; 葡萄酒; 黄酒;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</si>
  <si>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THE WILD BLUE</t>
  </si>
  <si>
    <r>
      <t>黛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吉奥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格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</si>
  <si>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福味健</t>
  </si>
  <si>
    <r>
      <t>陈</t>
    </r>
    <r>
      <rPr>
        <sz val="11"/>
        <color theme="1"/>
        <rFont val="ＭＳ Ｐゴシック"/>
        <family val="3"/>
        <charset val="128"/>
        <scheme val="minor"/>
      </rPr>
      <t>功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</si>
  <si>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</si>
  <si>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云港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</si>
  <si>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果酒（含酒精）;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黄酒</t>
    </r>
  </si>
  <si>
    <t>粮大亨</t>
  </si>
  <si>
    <r>
      <t>山西粮大亨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</si>
  <si>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黄酒</t>
    </r>
  </si>
  <si>
    <t>涎天下</t>
  </si>
  <si>
    <r>
      <t>鲁</t>
    </r>
    <r>
      <rPr>
        <sz val="11"/>
        <color theme="1"/>
        <rFont val="ＭＳ Ｐゴシック"/>
        <family val="3"/>
        <charset val="128"/>
        <scheme val="minor"/>
      </rPr>
      <t>康星</t>
    </r>
  </si>
  <si>
    <r>
      <t>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威士忌; 开胃酒; 清酒（日本米酒）; 果酒</t>
    </r>
  </si>
  <si>
    <r>
      <t>FUGUE NOTE 福德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章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</si>
  <si>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</si>
  <si>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威士忌;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</si>
  <si>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前旗</t>
  </si>
  <si>
    <r>
      <t>赵铁</t>
    </r>
    <r>
      <rPr>
        <sz val="11"/>
        <color theme="1"/>
        <rFont val="ＭＳ Ｐゴシック"/>
        <family val="3"/>
        <charset val="128"/>
        <scheme val="minor"/>
      </rPr>
      <t>岩</t>
    </r>
  </si>
  <si>
    <r>
      <t>食用酒精;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米酒</t>
    </r>
  </si>
  <si>
    <t>炎黄泰斗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</si>
  <si>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清酒（日本米酒）</t>
    </r>
  </si>
  <si>
    <r>
      <t>随行</t>
    </r>
    <r>
      <rPr>
        <sz val="11"/>
        <color theme="1"/>
        <rFont val="ＭＳ Ｐゴシック"/>
        <family val="3"/>
        <charset val="134"/>
        <scheme val="minor"/>
      </rPr>
      <t>驿</t>
    </r>
  </si>
  <si>
    <r>
      <t>四川欣玥睿航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新科技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</si>
  <si>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蒸煮提取物（利口酒和烈酒）; 露酒; 果酒（含酒精）; 甜酒;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葡萄酒</t>
    </r>
  </si>
  <si>
    <r>
      <t>掼龙</t>
    </r>
    <r>
      <rPr>
        <sz val="11"/>
        <color theme="1"/>
        <rFont val="ＭＳ Ｐゴシック"/>
        <family val="3"/>
        <charset val="128"/>
        <scheme val="minor"/>
      </rPr>
      <t>蛋</t>
    </r>
  </si>
  <si>
    <r>
      <t>北京世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双得利广告有限公司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</si>
  <si>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伏特加酒; 白酒;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米酒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</si>
  <si>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寿益</t>
    </r>
  </si>
  <si>
    <r>
      <t>陈贡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</si>
  <si>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 xml:space="preserve">果酒; 清酒;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青梅酒; 甜酒; 高粱酒; 苹果酒; 白酒; 葡萄酒</t>
    </r>
  </si>
  <si>
    <r>
      <t>鹿芝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</si>
  <si>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元</t>
    </r>
  </si>
  <si>
    <r>
      <t>葡萄酒; 烈酒; 黄酒;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清酒（日本米酒）</t>
    </r>
  </si>
  <si>
    <r>
      <t>应</t>
    </r>
    <r>
      <rPr>
        <sz val="11"/>
        <color theme="1"/>
        <rFont val="ＭＳ Ｐゴシック"/>
        <family val="3"/>
        <charset val="128"/>
        <scheme val="minor"/>
      </rPr>
      <t>想</t>
    </r>
  </si>
  <si>
    <t>应伟标</t>
  </si>
  <si>
    <r>
      <t xml:space="preserve">黄酒;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蒸煮提取物（利口酒和烈酒）; 烈酒; 白酒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</si>
  <si>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麦</t>
    </r>
  </si>
  <si>
    <r>
      <t>深圳市白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麦</t>
    </r>
    <r>
      <rPr>
        <sz val="11"/>
        <color theme="1"/>
        <rFont val="ＭＳ Ｐゴシック"/>
        <family val="3"/>
        <charset val="134"/>
        <scheme val="minor"/>
      </rPr>
      <t>电业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</si>
  <si>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白酒; 威士忌; 朗姆酒;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</si>
  <si>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怡</t>
    </r>
    <r>
      <rPr>
        <sz val="11"/>
        <color theme="1"/>
        <rFont val="ＭＳ Ｐゴシック"/>
        <family val="3"/>
        <charset val="134"/>
        <scheme val="minor"/>
      </rPr>
      <t>颗</t>
    </r>
    <r>
      <rPr>
        <sz val="11"/>
        <color theme="1"/>
        <rFont val="ＭＳ Ｐゴシック"/>
        <family val="3"/>
        <charset val="128"/>
        <scheme val="minor"/>
      </rPr>
      <t>楂</t>
    </r>
  </si>
  <si>
    <t>王莉侠</t>
  </si>
  <si>
    <t>白酒; 开胃酒; 果酒; 汽酒; 葡萄酒; 黄酒; 甜酒; 米酒; 清酒; 食用酒精</t>
  </si>
  <si>
    <t>崂顺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</si>
  <si>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岛崂顺</t>
    </r>
    <r>
      <rPr>
        <sz val="11"/>
        <color theme="1"/>
        <rFont val="ＭＳ Ｐゴシック"/>
        <family val="3"/>
        <charset val="128"/>
        <scheme val="minor"/>
      </rPr>
      <t>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</si>
  <si>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</si>
  <si>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鸢</t>
    </r>
    <r>
      <rPr>
        <sz val="11"/>
        <color theme="1"/>
        <rFont val="ＭＳ Ｐゴシック"/>
        <family val="3"/>
        <charset val="128"/>
        <scheme val="minor"/>
      </rPr>
      <t>裕金樽</t>
    </r>
  </si>
  <si>
    <t>于均洋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</si>
  <si>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伏特加酒;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</si>
  <si>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t>慷慨山河</t>
  </si>
  <si>
    <r>
      <t>张</t>
    </r>
    <r>
      <rPr>
        <sz val="11"/>
        <color theme="1"/>
        <rFont val="ＭＳ Ｐゴシック"/>
        <family val="3"/>
        <charset val="128"/>
        <scheme val="minor"/>
      </rPr>
      <t>松武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</si>
  <si>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米酒; 葡萄酒; 白酒; 开胃酒</t>
    </r>
  </si>
  <si>
    <r>
      <t>维</t>
    </r>
    <r>
      <rPr>
        <sz val="11"/>
        <color theme="1"/>
        <rFont val="ＭＳ Ｐゴシック"/>
        <family val="3"/>
        <charset val="128"/>
        <scheme val="minor"/>
      </rPr>
      <t>范</t>
    </r>
    <r>
      <rPr>
        <sz val="11"/>
        <color theme="1"/>
        <rFont val="ＭＳ Ｐゴシック"/>
        <family val="3"/>
        <charset val="134"/>
        <scheme val="minor"/>
      </rPr>
      <t>缔</t>
    </r>
    <r>
      <rPr>
        <sz val="11"/>
        <color theme="1"/>
        <rFont val="ＭＳ Ｐゴシック"/>
        <family val="3"/>
        <charset val="128"/>
        <scheme val="minor"/>
      </rPr>
      <t>斯</t>
    </r>
  </si>
  <si>
    <r>
      <t>维</t>
    </r>
    <r>
      <rPr>
        <sz val="11"/>
        <color theme="1"/>
        <rFont val="ＭＳ Ｐゴシック"/>
        <family val="3"/>
        <charset val="128"/>
        <scheme val="minor"/>
      </rPr>
      <t>范</t>
    </r>
    <r>
      <rPr>
        <sz val="11"/>
        <color theme="1"/>
        <rFont val="ＭＳ Ｐゴシック"/>
        <family val="3"/>
        <charset val="134"/>
        <scheme val="minor"/>
      </rPr>
      <t>缔</t>
    </r>
    <r>
      <rPr>
        <sz val="11"/>
        <color theme="1"/>
        <rFont val="ＭＳ Ｐゴシック"/>
        <family val="3"/>
        <charset val="128"/>
        <scheme val="minor"/>
      </rPr>
      <t>斯（上海）国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</si>
  <si>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伏特加酒; 杜松子酒; 开胃酒;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餐后酒（利口酒和烈酒）; 果酒（含酒精）</t>
    </r>
  </si>
  <si>
    <r>
      <t>亮</t>
    </r>
    <r>
      <rPr>
        <sz val="11"/>
        <color theme="1"/>
        <rFont val="ＭＳ Ｐゴシック"/>
        <family val="3"/>
        <charset val="129"/>
        <scheme val="minor"/>
      </rPr>
      <t>龘</t>
    </r>
  </si>
  <si>
    <r>
      <t>宝亮物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</si>
  <si>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米酒;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白酒; 高粱酒</t>
    </r>
  </si>
  <si>
    <r>
      <t>铭</t>
    </r>
    <r>
      <rPr>
        <sz val="11"/>
        <color theme="1"/>
        <rFont val="ＭＳ Ｐゴシック"/>
        <family val="3"/>
        <charset val="128"/>
        <scheme val="minor"/>
      </rPr>
      <t>浩同学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</si>
  <si>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庆铭</t>
    </r>
    <r>
      <rPr>
        <sz val="11"/>
        <color theme="1"/>
        <rFont val="ＭＳ Ｐゴシック"/>
        <family val="3"/>
        <charset val="128"/>
        <scheme val="minor"/>
      </rPr>
      <t>浩同学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</si>
  <si>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甜酒;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果酒; 青梅酒; 烈酒; 米酒; 葡萄酒</t>
    </r>
  </si>
  <si>
    <t>BACH MELODY</t>
  </si>
  <si>
    <r>
      <t>蒋</t>
    </r>
    <r>
      <rPr>
        <sz val="11"/>
        <color theme="1"/>
        <rFont val="ＭＳ Ｐゴシック"/>
        <family val="3"/>
        <charset val="134"/>
        <scheme val="minor"/>
      </rPr>
      <t>琼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</si>
  <si>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</si>
  <si>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r>
      <t>百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</si>
  <si>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百尺台酒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</si>
  <si>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清酒; 葡萄酒; 米酒</t>
    </r>
  </si>
  <si>
    <t>参天策</t>
  </si>
  <si>
    <t>董肖敬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</si>
  <si>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果酒（含酒精）; 蜂蜜酒; 葡萄酒</t>
    </r>
  </si>
  <si>
    <t>傣彝醉</t>
  </si>
  <si>
    <r>
      <t>润</t>
    </r>
    <r>
      <rPr>
        <sz val="11"/>
        <color theme="1"/>
        <rFont val="ＭＳ Ｐゴシック"/>
        <family val="3"/>
        <charset val="128"/>
        <scheme val="minor"/>
      </rPr>
      <t>宝（云南）供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</si>
  <si>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杜松子酒;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青稞酒; 黄酒; 白酒; 米酒</t>
    </r>
  </si>
  <si>
    <r>
      <t>小田夫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</si>
  <si>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子</t>
    </r>
    <r>
      <rPr>
        <sz val="11"/>
        <color theme="1"/>
        <rFont val="ＭＳ Ｐゴシック"/>
        <family val="3"/>
        <charset val="134"/>
        <scheme val="minor"/>
      </rPr>
      <t>归</t>
    </r>
    <r>
      <rPr>
        <sz val="11"/>
        <color theme="1"/>
        <rFont val="ＭＳ Ｐゴシック"/>
        <family val="3"/>
        <charset val="128"/>
        <scheme val="minor"/>
      </rPr>
      <t>星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（福建）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</si>
  <si>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葡萄酒; 黄酒; 米酒; 白酒; 果酒（含酒精）</t>
    </r>
  </si>
  <si>
    <t>赤哥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</si>
  <si>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州黔仙樽酒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</si>
  <si>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食用酒精; 烈酒; 利口酒; 米酒; 青稞酒;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</t>
    </r>
  </si>
  <si>
    <r>
      <t>维</t>
    </r>
    <r>
      <rPr>
        <sz val="11"/>
        <color theme="1"/>
        <rFont val="ＭＳ Ｐゴシック"/>
        <family val="3"/>
        <charset val="128"/>
        <scheme val="minor"/>
      </rPr>
      <t>雕</t>
    </r>
  </si>
  <si>
    <r>
      <t>浙江</t>
    </r>
    <r>
      <rPr>
        <sz val="11"/>
        <color theme="1"/>
        <rFont val="ＭＳ Ｐゴシック"/>
        <family val="3"/>
        <charset val="134"/>
        <scheme val="minor"/>
      </rPr>
      <t>颂</t>
    </r>
    <r>
      <rPr>
        <sz val="11"/>
        <color theme="1"/>
        <rFont val="ＭＳ Ｐゴシック"/>
        <family val="3"/>
        <charset val="128"/>
        <scheme val="minor"/>
      </rPr>
      <t>阳明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念品有限公司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</si>
  <si>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蜂蜜酒; 米酒; 五加皮酒（中国混合烈酒）; 黄酒; 白酒; 蝮蛇酒; 清酒; 汽酒</t>
    </r>
  </si>
  <si>
    <r>
      <t>久</t>
    </r>
    <r>
      <rPr>
        <sz val="11"/>
        <color theme="1"/>
        <rFont val="ＭＳ Ｐゴシック"/>
        <family val="3"/>
        <charset val="134"/>
        <scheme val="minor"/>
      </rPr>
      <t>硕</t>
    </r>
    <r>
      <rPr>
        <sz val="11"/>
        <color theme="1"/>
        <rFont val="ＭＳ Ｐゴシック"/>
        <family val="3"/>
        <charset val="128"/>
        <scheme val="minor"/>
      </rPr>
      <t>名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</si>
  <si>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市久</t>
    </r>
    <r>
      <rPr>
        <sz val="11"/>
        <color theme="1"/>
        <rFont val="ＭＳ Ｐゴシック"/>
        <family val="3"/>
        <charset val="134"/>
        <scheme val="minor"/>
      </rPr>
      <t>硕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</si>
  <si>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清酒</t>
    </r>
  </si>
  <si>
    <t>席地坊</t>
  </si>
  <si>
    <r>
      <t>泗洪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双沟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金双酒厂</t>
    </r>
  </si>
  <si>
    <r>
      <t xml:space="preserve">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利口酒; 米酒; 果酒（含酒精）</t>
    </r>
  </si>
  <si>
    <t>唯控</t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</si>
  <si>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市唯控酒</t>
    </r>
    <r>
      <rPr>
        <sz val="11"/>
        <color theme="1"/>
        <rFont val="ＭＳ Ｐゴシック"/>
        <family val="3"/>
        <charset val="134"/>
        <scheme val="minor"/>
      </rPr>
      <t>类经营</t>
    </r>
    <r>
      <rPr>
        <sz val="11"/>
        <color theme="1"/>
        <rFont val="ＭＳ Ｐゴシック"/>
        <family val="3"/>
        <charset val="128"/>
        <scheme val="minor"/>
      </rPr>
      <t>部（个体工商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</si>
  <si>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烈酒; 葡萄酒;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</t>
    </r>
  </si>
  <si>
    <t>谷液福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</si>
  <si>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州谷液福酒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</si>
  <si>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清酒（日本米酒）;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</si>
  <si>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祭本祭</t>
  </si>
  <si>
    <r>
      <t>郑</t>
    </r>
    <r>
      <rPr>
        <sz val="11"/>
        <color theme="1"/>
        <rFont val="ＭＳ Ｐゴシック"/>
        <family val="3"/>
        <charset val="128"/>
        <scheme val="minor"/>
      </rPr>
      <t>冰杰</t>
    </r>
  </si>
  <si>
    <r>
      <t>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米酒; 青稞酒; 黄酒; 白酒; 高粱酒; 甜酒; 葡萄酒</t>
    </r>
  </si>
  <si>
    <t>石上英</t>
  </si>
  <si>
    <r>
      <t>武夷山君</t>
    </r>
    <r>
      <rPr>
        <sz val="11"/>
        <color theme="1"/>
        <rFont val="ＭＳ Ｐゴシック"/>
        <family val="3"/>
        <charset val="134"/>
        <scheme val="minor"/>
      </rPr>
      <t>顶</t>
    </r>
    <r>
      <rPr>
        <sz val="11"/>
        <color theme="1"/>
        <rFont val="ＭＳ Ｐゴシック"/>
        <family val="3"/>
        <charset val="128"/>
        <scheme val="minor"/>
      </rPr>
      <t>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</si>
  <si>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威士忌; 果酒（含酒精）</t>
    </r>
  </si>
  <si>
    <t>云刺福</t>
  </si>
  <si>
    <r>
      <t>云南天根生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</si>
  <si>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水果汽酒; 开胃酒;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梨酒</t>
    </r>
  </si>
  <si>
    <t>羡安坊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</si>
  <si>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州市管城回族区小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商行（个体工商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</si>
  <si>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黄酒;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甜酒; 烈性干酒;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</si>
  <si>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本事哥</t>
  </si>
  <si>
    <r>
      <t>河南鼎真供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</si>
  <si>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白干酒（中国白酒）; 黄酒;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白葡萄酒</t>
    </r>
  </si>
  <si>
    <r>
      <t>林平康医</t>
    </r>
    <r>
      <rPr>
        <sz val="11"/>
        <color theme="1"/>
        <rFont val="ＭＳ Ｐゴシック"/>
        <family val="3"/>
        <charset val="134"/>
        <scheme val="minor"/>
      </rPr>
      <t>药</t>
    </r>
  </si>
  <si>
    <r>
      <t>云南林平康医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</si>
  <si>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高粱酒;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米酒; 黄酒; 白酒; 葡萄酒;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</si>
  <si>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四宴台</t>
  </si>
  <si>
    <r>
      <t>张</t>
    </r>
    <r>
      <rPr>
        <sz val="11"/>
        <color theme="1"/>
        <rFont val="ＭＳ Ｐゴシック"/>
        <family val="3"/>
        <charset val="128"/>
        <scheme val="minor"/>
      </rPr>
      <t>运富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</si>
  <si>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米酒; 清酒（日本米酒）;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</si>
  <si>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久</t>
    </r>
    <r>
      <rPr>
        <sz val="11"/>
        <color theme="1"/>
        <rFont val="ＭＳ Ｐゴシック"/>
        <family val="3"/>
        <charset val="134"/>
        <scheme val="minor"/>
      </rPr>
      <t>硕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</si>
  <si>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</si>
  <si>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青雨每每</t>
  </si>
  <si>
    <r>
      <t>聂</t>
    </r>
    <r>
      <rPr>
        <sz val="11"/>
        <color theme="1"/>
        <rFont val="ＭＳ Ｐゴシック"/>
        <family val="3"/>
        <charset val="128"/>
        <scheme val="minor"/>
      </rPr>
      <t>日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</si>
  <si>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青梅酒; 高粱酒; 米酒;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</si>
  <si>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久</t>
    </r>
    <r>
      <rPr>
        <sz val="11"/>
        <color theme="1"/>
        <rFont val="ＭＳ Ｐゴシック"/>
        <family val="3"/>
        <charset val="134"/>
        <scheme val="minor"/>
      </rPr>
      <t>硕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</si>
  <si>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</si>
  <si>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八窖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</si>
  <si>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梅酒; 清酒（日本米酒）;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</si>
  <si>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固真上工</t>
  </si>
  <si>
    <r>
      <t>王</t>
    </r>
    <r>
      <rPr>
        <sz val="11"/>
        <color theme="1"/>
        <rFont val="ＭＳ Ｐゴシック"/>
        <family val="3"/>
        <charset val="134"/>
        <scheme val="minor"/>
      </rPr>
      <t>硕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</si>
  <si>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含酒精的气泡水; 黄酒; 白酒; 苦味酒;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</si>
  <si>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北</t>
    </r>
    <r>
      <rPr>
        <sz val="11"/>
        <color theme="1"/>
        <rFont val="ＭＳ Ｐゴシック"/>
        <family val="3"/>
        <charset val="134"/>
        <scheme val="minor"/>
      </rPr>
      <t>济</t>
    </r>
  </si>
  <si>
    <r>
      <t>湖南福方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</si>
  <si>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威士忌;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葡萄酒; 青稞酒;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</si>
  <si>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高粱酒; 黄酒;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果酒; 葡萄酒; 青稞酒</t>
    </r>
  </si>
  <si>
    <r>
      <t>蕴</t>
    </r>
    <r>
      <rPr>
        <sz val="11"/>
        <color theme="1"/>
        <rFont val="ＭＳ Ｐゴシック"/>
        <family val="3"/>
        <charset val="128"/>
        <scheme val="minor"/>
      </rPr>
      <t>千樽</t>
    </r>
  </si>
  <si>
    <r>
      <t>米酒;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</si>
  <si>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凡运酒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</si>
  <si>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刺五加酒; 露酒; 果酒（含酒精）; 白干酒（中国白酒）; 白酒</t>
    </r>
  </si>
  <si>
    <t>寻财</t>
  </si>
  <si>
    <t>金允磊</t>
  </si>
  <si>
    <r>
      <t>利口酒; 白酒;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烈酒; 米酒; 果酒;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</si>
  <si>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合</t>
    </r>
    <r>
      <rPr>
        <sz val="11"/>
        <color theme="1"/>
        <rFont val="ＭＳ Ｐゴシック"/>
        <family val="3"/>
        <charset val="134"/>
        <scheme val="minor"/>
      </rPr>
      <t>跃</t>
    </r>
    <r>
      <rPr>
        <sz val="11"/>
        <color theme="1"/>
        <rFont val="ＭＳ Ｐゴシック"/>
        <family val="3"/>
        <charset val="128"/>
        <scheme val="minor"/>
      </rPr>
      <t>酒庄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</si>
  <si>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市醉</t>
    </r>
    <r>
      <rPr>
        <sz val="11"/>
        <color theme="1"/>
        <rFont val="ＭＳ Ｐゴシック"/>
        <family val="3"/>
        <charset val="134"/>
        <scheme val="minor"/>
      </rPr>
      <t>满缘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</si>
  <si>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黄酒; 青稞酒;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</si>
  <si>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r>
      <t>丛</t>
    </r>
    <r>
      <rPr>
        <sz val="11"/>
        <color theme="1"/>
        <rFont val="ＭＳ Ｐゴシック"/>
        <family val="3"/>
        <charset val="128"/>
        <scheme val="minor"/>
      </rPr>
      <t>歌 SOOGOER</t>
    </r>
  </si>
  <si>
    <t>深圳市磨卡科技有限公司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</si>
  <si>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麦芽威士忌; 白葡萄酒;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威士忌;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</si>
  <si>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元作</t>
  </si>
  <si>
    <r>
      <t>厚承元作（</t>
    </r>
    <r>
      <rPr>
        <sz val="11"/>
        <color theme="1"/>
        <rFont val="ＭＳ Ｐゴシック"/>
        <family val="3"/>
        <charset val="134"/>
        <scheme val="minor"/>
      </rPr>
      <t>陕</t>
    </r>
    <r>
      <rPr>
        <sz val="11"/>
        <color theme="1"/>
        <rFont val="ＭＳ Ｐゴシック"/>
        <family val="3"/>
        <charset val="128"/>
        <scheme val="minor"/>
      </rPr>
      <t>西）酒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</si>
  <si>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青稞酒</t>
    </r>
  </si>
  <si>
    <r>
      <t>棠邑小白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</si>
  <si>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南京市八两酒酒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</si>
  <si>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葡萄酒; 米酒;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高粱酒; 黄酒</t>
    </r>
  </si>
  <si>
    <t>武藤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</si>
  <si>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州若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</si>
  <si>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</si>
  <si>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姬</t>
    </r>
    <r>
      <rPr>
        <sz val="11"/>
        <color theme="1"/>
        <rFont val="ＭＳ Ｐゴシック"/>
        <family val="3"/>
        <charset val="128"/>
        <scheme val="minor"/>
      </rPr>
      <t>莉</t>
    </r>
    <r>
      <rPr>
        <sz val="11"/>
        <color theme="1"/>
        <rFont val="ＭＳ Ｐゴシック"/>
        <family val="3"/>
        <charset val="134"/>
        <scheme val="minor"/>
      </rPr>
      <t>爱玛</t>
    </r>
    <r>
      <rPr>
        <sz val="11"/>
        <color theme="1"/>
        <rFont val="ＭＳ Ｐゴシック"/>
        <family val="3"/>
        <charset val="128"/>
        <scheme val="minor"/>
      </rPr>
      <t>士</t>
    </r>
  </si>
  <si>
    <r>
      <t>海南宝达供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</si>
  <si>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开胃酒; 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酸酒（低等葡萄酒）</t>
    </r>
  </si>
  <si>
    <t>蠙城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</si>
  <si>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大明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</si>
  <si>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潘小勇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</si>
  <si>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蒸煮提取物（利口酒和烈酒）; 开胃酒;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</si>
  <si>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花冠酒庄开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</si>
  <si>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 xml:space="preserve">果酒（含酒精）;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</si>
  <si>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窖礼·</t>
    </r>
    <r>
      <rPr>
        <sz val="11"/>
        <color theme="1"/>
        <rFont val="ＭＳ Ｐゴシック"/>
        <family val="3"/>
        <charset val="129"/>
        <scheme val="minor"/>
      </rPr>
      <t>龘</t>
    </r>
    <r>
      <rPr>
        <sz val="11"/>
        <color theme="1"/>
        <rFont val="ＭＳ Ｐゴシック"/>
        <family val="3"/>
        <charset val="128"/>
        <scheme val="minor"/>
      </rPr>
      <t>筵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</si>
  <si>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州窖礼酒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</si>
  <si>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露酒;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佐餐酒;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甜酒; 米酒</t>
    </r>
  </si>
  <si>
    <t>醉南端</t>
  </si>
  <si>
    <r>
      <t>湛江市裕隆商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</si>
  <si>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烈酒; 甜酒; 葡萄酒;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不起泡葡萄酒;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</si>
  <si>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坤丰久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</si>
  <si>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市坤丰茅酒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</si>
  <si>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米酒;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</si>
  <si>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驿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</si>
  <si>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州金</t>
    </r>
    <r>
      <rPr>
        <sz val="11"/>
        <color theme="1"/>
        <rFont val="ＭＳ Ｐゴシック"/>
        <family val="3"/>
        <charset val="134"/>
        <scheme val="minor"/>
      </rPr>
      <t>驿酱</t>
    </r>
    <r>
      <rPr>
        <sz val="11"/>
        <color theme="1"/>
        <rFont val="ＭＳ Ｐゴシック"/>
        <family val="3"/>
        <charset val="128"/>
        <scheme val="minor"/>
      </rPr>
      <t>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</si>
  <si>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</t>
    </r>
  </si>
  <si>
    <r>
      <t>经酿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</si>
  <si>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葡萄酒; 清酒; 高粱酒; 果酒; 白酒</t>
    </r>
  </si>
  <si>
    <t>敏匠匠心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</si>
  <si>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州黔双酒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</si>
  <si>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果酒（含酒精）; 餐后酒（利口酒和烈酒）; 米酒; 露酒;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</si>
  <si>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闽</t>
    </r>
    <r>
      <rPr>
        <sz val="11"/>
        <color theme="1"/>
        <rFont val="ＭＳ Ｐゴシック"/>
        <family val="3"/>
        <charset val="128"/>
        <scheme val="minor"/>
      </rPr>
      <t>一</t>
    </r>
    <r>
      <rPr>
        <sz val="11"/>
        <color theme="1"/>
        <rFont val="ＭＳ Ｐゴシック"/>
        <family val="3"/>
        <charset val="134"/>
        <scheme val="minor"/>
      </rPr>
      <t>闽</t>
    </r>
  </si>
  <si>
    <t>李永宏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</si>
  <si>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</si>
  <si>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馨正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</si>
  <si>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果酒; 米酒; 葡萄酒; 清酒; 清酒（日本米酒）; 黄酒; 食用酒精; 含酒精的气泡水</t>
    </r>
  </si>
  <si>
    <t>开山虎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</si>
  <si>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</si>
  <si>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杜甫森林藏酒</t>
  </si>
  <si>
    <r>
      <t xml:space="preserve">薄荷酒; 果酒（含酒精）; 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</si>
  <si>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大朴恒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</si>
  <si>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市大朴酒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</si>
  <si>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白干酒（中国白酒）; 黄酒;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</si>
  <si>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敏匠匠人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</si>
  <si>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果酒（含酒精）; 葡萄酒; 餐后酒（利口酒和烈酒）; 露酒;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</si>
  <si>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GUNMINMIA</t>
  </si>
  <si>
    <r>
      <t>东</t>
    </r>
    <r>
      <rPr>
        <sz val="11"/>
        <color theme="1"/>
        <rFont val="ＭＳ Ｐゴシック"/>
        <family val="3"/>
        <charset val="128"/>
        <scheme val="minor"/>
      </rPr>
      <t>台市光明麦制品有限公司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</si>
  <si>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开胃酒</t>
    </r>
  </si>
  <si>
    <t>乾山海</t>
  </si>
  <si>
    <t>胡湘民</t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</si>
  <si>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威士忌; 开胃酒;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</si>
  <si>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然利手工 RANLI</t>
  </si>
  <si>
    <r>
      <t>福建省然利食品集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</si>
  <si>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伏特加酒</t>
    </r>
  </si>
  <si>
    <r>
      <t>礼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令</t>
    </r>
  </si>
  <si>
    <t>袁玉林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</si>
  <si>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清酒（日本米酒）;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</si>
  <si>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杜甫森林酒庄</t>
  </si>
  <si>
    <r>
      <t>黄酒;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</si>
  <si>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曼尼小象</t>
  </si>
  <si>
    <r>
      <t>北京宵</t>
    </r>
    <r>
      <rPr>
        <sz val="11"/>
        <color theme="1"/>
        <rFont val="ＭＳ Ｐゴシック"/>
        <family val="3"/>
        <charset val="134"/>
        <scheme val="minor"/>
      </rPr>
      <t>尧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</si>
  <si>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果酒; 葡萄酒; 伏特加酒; 黄酒; 清酒;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</si>
  <si>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青太子</t>
  </si>
  <si>
    <r>
      <t>朱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峰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</si>
  <si>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果酒（含酒精）; 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</t>
    </r>
  </si>
  <si>
    <r>
      <t>良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</si>
  <si>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葡萄酒; 露酒; 黄酒; 清酒; 高粱酒; 果酒</t>
    </r>
  </si>
  <si>
    <r>
      <t>恩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一筒江湖</t>
    </r>
  </si>
  <si>
    <r>
      <t>六</t>
    </r>
    <r>
      <rPr>
        <sz val="11"/>
        <color theme="1"/>
        <rFont val="ＭＳ Ｐゴシック"/>
        <family val="3"/>
        <charset val="134"/>
        <scheme val="minor"/>
      </rPr>
      <t>盘</t>
    </r>
    <r>
      <rPr>
        <sz val="11"/>
        <color theme="1"/>
        <rFont val="ＭＳ Ｐゴシック"/>
        <family val="3"/>
        <charset val="128"/>
        <scheme val="minor"/>
      </rPr>
      <t>水中科恩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</si>
  <si>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高粱酒;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白酒</t>
    </r>
  </si>
  <si>
    <r>
      <t>康</t>
    </r>
    <r>
      <rPr>
        <sz val="11"/>
        <color theme="1"/>
        <rFont val="ＭＳ Ｐゴシック"/>
        <family val="3"/>
        <charset val="134"/>
        <scheme val="minor"/>
      </rPr>
      <t>顿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</si>
  <si>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康</t>
    </r>
    <r>
      <rPr>
        <sz val="11"/>
        <color theme="1"/>
        <rFont val="ＭＳ Ｐゴシック"/>
        <family val="3"/>
        <charset val="134"/>
        <scheme val="minor"/>
      </rPr>
      <t>顿农业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</si>
  <si>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葡萄酒; 果酒（含酒精）; 含酒精的气泡水;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</si>
  <si>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r>
      <t>川</t>
    </r>
    <r>
      <rPr>
        <sz val="11"/>
        <color theme="1"/>
        <rFont val="ＭＳ Ｐゴシック"/>
        <family val="3"/>
        <charset val="134"/>
        <scheme val="minor"/>
      </rPr>
      <t>评</t>
    </r>
    <r>
      <rPr>
        <sz val="11"/>
        <color theme="1"/>
        <rFont val="ＭＳ Ｐゴシック"/>
        <family val="3"/>
        <charset val="128"/>
        <scheme val="minor"/>
      </rPr>
      <t>民</t>
    </r>
  </si>
  <si>
    <r>
      <t>成都九鼎酒酒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</si>
  <si>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米酒; 白酒;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</si>
  <si>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杜甫森林藏酒公园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</si>
  <si>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白酒</t>
    </r>
  </si>
  <si>
    <r>
      <t>颜</t>
    </r>
    <r>
      <rPr>
        <sz val="11"/>
        <color theme="1"/>
        <rFont val="ＭＳ Ｐゴシック"/>
        <family val="3"/>
        <charset val="128"/>
        <scheme val="minor"/>
      </rPr>
      <t>䣽</t>
    </r>
  </si>
  <si>
    <r>
      <t>湛江中翼网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通信工程有限公司</t>
    </r>
  </si>
  <si>
    <r>
      <t xml:space="preserve">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食用酒精;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威士忌; 米酒; 果酒（含酒精）</t>
    </r>
  </si>
  <si>
    <t>然利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</si>
  <si>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果酒（含酒精）; 开胃酒; 伏特加酒</t>
    </r>
  </si>
  <si>
    <t>虎笛</t>
  </si>
  <si>
    <t>柴鑫******************</t>
  </si>
  <si>
    <r>
      <t xml:space="preserve">白酒; 米酒;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开胃酒</t>
    </r>
  </si>
  <si>
    <r>
      <t>兴</t>
    </r>
    <r>
      <rPr>
        <sz val="11"/>
        <color theme="1"/>
        <rFont val="ＭＳ Ｐゴシック"/>
        <family val="3"/>
        <charset val="128"/>
        <scheme val="minor"/>
      </rPr>
      <t>福平</t>
    </r>
  </si>
  <si>
    <r>
      <t>福建酒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通网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</si>
  <si>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米酒; 甘蔗制烈酒;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</si>
  <si>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半生古窖</t>
    </r>
  </si>
  <si>
    <r>
      <t>青稞酒;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</si>
  <si>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甄</t>
    </r>
    <r>
      <rPr>
        <sz val="11"/>
        <color theme="1"/>
        <rFont val="ＭＳ Ｐゴシック"/>
        <family val="3"/>
        <charset val="134"/>
        <scheme val="minor"/>
      </rPr>
      <t>嘞</t>
    </r>
    <r>
      <rPr>
        <sz val="11"/>
        <color theme="1"/>
        <rFont val="ＭＳ Ｐゴシック"/>
        <family val="3"/>
        <charset val="128"/>
        <scheme val="minor"/>
      </rPr>
      <t>牛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</si>
  <si>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艳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</si>
  <si>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白酒;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</si>
  <si>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舫弘源</t>
    </r>
  </si>
  <si>
    <r>
      <t>西安安馨悦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</si>
  <si>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青稞酒; 葡萄酒</t>
    </r>
  </si>
  <si>
    <t>老易一滴香</t>
  </si>
  <si>
    <r>
      <t>长</t>
    </r>
    <r>
      <rPr>
        <sz val="11"/>
        <color theme="1"/>
        <rFont val="ＭＳ Ｐゴシック"/>
        <family val="3"/>
        <charset val="128"/>
        <scheme val="minor"/>
      </rPr>
      <t>沙果敏百</t>
    </r>
    <r>
      <rPr>
        <sz val="11"/>
        <color theme="1"/>
        <rFont val="ＭＳ Ｐゴシック"/>
        <family val="3"/>
        <charset val="134"/>
        <scheme val="minor"/>
      </rPr>
      <t>货贸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</si>
  <si>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甘蔗制烈酒;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</si>
  <si>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武良席</t>
  </si>
  <si>
    <r>
      <t>吴士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</si>
  <si>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 xml:space="preserve">开胃酒; 清酒（日本米酒）;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威士忌</t>
    </r>
  </si>
  <si>
    <t>星捷途</t>
  </si>
  <si>
    <r>
      <t>贵</t>
    </r>
    <r>
      <rPr>
        <sz val="11"/>
        <color theme="1"/>
        <rFont val="ＭＳ Ｐゴシック"/>
        <family val="3"/>
        <charset val="128"/>
        <scheme val="minor"/>
      </rPr>
      <t>阳市捷途人家商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</si>
  <si>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白酒; 葡萄酒;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</t>
    </r>
  </si>
  <si>
    <t>黔酩川</t>
  </si>
  <si>
    <r>
      <t xml:space="preserve">五加皮酒（中国混合烈酒）;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白干酒（中国白酒）;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</si>
  <si>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交子双塔熊猫</t>
  </si>
  <si>
    <r>
      <t>四川迅立机</t>
    </r>
    <r>
      <rPr>
        <sz val="11"/>
        <color theme="1"/>
        <rFont val="ＭＳ Ｐゴシック"/>
        <family val="3"/>
        <charset val="134"/>
        <scheme val="minor"/>
      </rPr>
      <t>电设备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</si>
  <si>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青稞酒; 果酒（含酒精）; 清酒;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</si>
  <si>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r>
      <t>居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潭</t>
    </r>
  </si>
  <si>
    <t>肖江</t>
  </si>
  <si>
    <r>
      <t>果酒（含酒精）; 苦味酒;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苹果酒;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</si>
  <si>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今朝豪杰</t>
  </si>
  <si>
    <r>
      <t>王晨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</si>
  <si>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米酒; 果酒; 利口酒; 葡萄酒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</si>
  <si>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州酒投供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</si>
  <si>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米酒; 葡萄酒; 白酒; 餐后酒（利口酒和烈酒）;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</t>
    </r>
  </si>
  <si>
    <t>水家小爽</t>
  </si>
  <si>
    <r>
      <t xml:space="preserve">白酒; 开胃酒; 露酒; 米酒;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</si>
  <si>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十全街</t>
  </si>
  <si>
    <r>
      <t>谷黎</t>
    </r>
    <r>
      <rPr>
        <sz val="11"/>
        <color theme="1"/>
        <rFont val="ＭＳ Ｐゴシック"/>
        <family val="3"/>
        <charset val="134"/>
        <scheme val="minor"/>
      </rPr>
      <t>锋</t>
    </r>
  </si>
  <si>
    <r>
      <t xml:space="preserve">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黄酒; 果酒;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葡萄酒; 白酒</t>
    </r>
  </si>
  <si>
    <r>
      <t>成功</t>
    </r>
    <r>
      <rPr>
        <sz val="11"/>
        <color theme="1"/>
        <rFont val="ＭＳ Ｐゴシック"/>
        <family val="3"/>
        <charset val="134"/>
        <scheme val="minor"/>
      </rPr>
      <t>钻</t>
    </r>
  </si>
  <si>
    <r>
      <t>贡</t>
    </r>
    <r>
      <rPr>
        <sz val="11"/>
        <color theme="1"/>
        <rFont val="ＭＳ Ｐゴシック"/>
        <family val="3"/>
        <charset val="128"/>
        <scheme val="minor"/>
      </rPr>
      <t>挺</t>
    </r>
  </si>
  <si>
    <r>
      <t xml:space="preserve">葡萄酒; 清酒（日本米酒）;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果酒（含酒精）; 食用酒精</t>
    </r>
  </si>
  <si>
    <r>
      <t>心祺恒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</si>
  <si>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盼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</si>
  <si>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伏特加酒; 果酒（含酒精）; 葡萄酒</t>
    </r>
  </si>
  <si>
    <r>
      <t>空</t>
    </r>
    <r>
      <rPr>
        <sz val="11"/>
        <color theme="1"/>
        <rFont val="ＭＳ Ｐゴシック"/>
        <family val="3"/>
        <charset val="134"/>
        <scheme val="minor"/>
      </rPr>
      <t>阁</t>
    </r>
  </si>
  <si>
    <r>
      <t>宋宇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</si>
  <si>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白酒; 米酒;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</si>
  <si>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衡益健</t>
  </si>
  <si>
    <t>瑞必美生物科技（深圳）有限公司</t>
  </si>
  <si>
    <r>
      <t xml:space="preserve">果酒（含酒精）; 食用酒精; 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果酒; 薄荷酒;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</si>
  <si>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r>
      <t>关</t>
    </r>
    <r>
      <rPr>
        <sz val="11"/>
        <color theme="1"/>
        <rFont val="ＭＳ Ｐゴシック"/>
        <family val="3"/>
        <charset val="134"/>
        <scheme val="minor"/>
      </rPr>
      <t>东贵</t>
    </r>
  </si>
  <si>
    <t>郭便利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</si>
  <si>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甘蔗制烈酒;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</si>
  <si>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栋</t>
    </r>
    <r>
      <rPr>
        <sz val="11"/>
        <color theme="1"/>
        <rFont val="ＭＳ Ｐゴシック"/>
        <family val="3"/>
        <charset val="128"/>
        <scheme val="minor"/>
      </rPr>
      <t>梁山</t>
    </r>
  </si>
  <si>
    <r>
      <t>绍兴丛</t>
    </r>
    <r>
      <rPr>
        <sz val="11"/>
        <color theme="1"/>
        <rFont val="ＭＳ Ｐゴシック"/>
        <family val="3"/>
        <charset val="128"/>
        <scheme val="minor"/>
      </rPr>
      <t>桂坊品牌管理有限公司</t>
    </r>
  </si>
  <si>
    <r>
      <t>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青梅酒; 白酒</t>
    </r>
  </si>
  <si>
    <r>
      <t>敢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</si>
  <si>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>中山市中科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境科学研究有限公司</t>
    </r>
  </si>
  <si>
    <r>
      <t xml:space="preserve">葡萄酒; 威士忌; 黄酒;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甜酒</t>
    </r>
  </si>
  <si>
    <t>帝王皇家池</t>
  </si>
  <si>
    <r>
      <t>中智民康影</t>
    </r>
    <r>
      <rPr>
        <sz val="11"/>
        <color theme="1"/>
        <rFont val="ＭＳ Ｐゴシック"/>
        <family val="3"/>
        <charset val="134"/>
        <scheme val="minor"/>
      </rPr>
      <t>视传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</si>
  <si>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清酒; 青稞酒; 米酒;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</si>
  <si>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和之福</t>
  </si>
  <si>
    <r>
      <t>赵</t>
    </r>
    <r>
      <rPr>
        <sz val="11"/>
        <color theme="1"/>
        <rFont val="ＭＳ Ｐゴシック"/>
        <family val="3"/>
        <charset val="128"/>
        <scheme val="minor"/>
      </rPr>
      <t>中礼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</si>
  <si>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青稞酒;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白酒</t>
    </r>
  </si>
  <si>
    <r>
      <t>皆大</t>
    </r>
    <r>
      <rPr>
        <sz val="11"/>
        <color theme="1"/>
        <rFont val="ＭＳ Ｐゴシック"/>
        <family val="3"/>
        <charset val="134"/>
        <scheme val="minor"/>
      </rPr>
      <t>捞</t>
    </r>
    <r>
      <rPr>
        <sz val="11"/>
        <color theme="1"/>
        <rFont val="ＭＳ Ｐゴシック"/>
        <family val="3"/>
        <charset val="128"/>
        <scheme val="minor"/>
      </rPr>
      <t>起</t>
    </r>
  </si>
  <si>
    <r>
      <t>严爱</t>
    </r>
    <r>
      <rPr>
        <sz val="11"/>
        <color theme="1"/>
        <rFont val="ＭＳ Ｐゴシック"/>
        <family val="3"/>
        <charset val="128"/>
        <scheme val="minor"/>
      </rPr>
      <t>玲</t>
    </r>
  </si>
  <si>
    <r>
      <t xml:space="preserve">葡萄酒; 白酒; 清酒; 伏特加酒; 米酒;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朗姆酒</t>
    </r>
  </si>
  <si>
    <r>
      <t>妙</t>
    </r>
    <r>
      <rPr>
        <sz val="11"/>
        <color theme="1"/>
        <rFont val="ＭＳ Ｐゴシック"/>
        <family val="3"/>
        <charset val="134"/>
        <scheme val="minor"/>
      </rPr>
      <t>兴烧</t>
    </r>
    <r>
      <rPr>
        <sz val="11"/>
        <color theme="1"/>
        <rFont val="ＭＳ Ｐゴシック"/>
        <family val="3"/>
        <charset val="128"/>
        <scheme val="minor"/>
      </rPr>
      <t>坊</t>
    </r>
  </si>
  <si>
    <t>魏新岳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</si>
  <si>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果酒（含酒精）; 米酒;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葡萄酒;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</si>
  <si>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深禹庄园</t>
  </si>
  <si>
    <r>
      <t>聂军</t>
    </r>
    <r>
      <rPr>
        <sz val="11"/>
        <color theme="1"/>
        <rFont val="ＭＳ Ｐゴシック"/>
        <family val="3"/>
        <charset val="128"/>
        <scheme val="minor"/>
      </rPr>
      <t>民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</si>
  <si>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露酒; 清酒; 青稞酒;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杜松子酒;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威末酒;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</si>
  <si>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天空翠</t>
  </si>
  <si>
    <r>
      <t>东</t>
    </r>
    <r>
      <rPr>
        <sz val="11"/>
        <color theme="1"/>
        <rFont val="ＭＳ Ｐゴシック"/>
        <family val="3"/>
        <charset val="128"/>
        <scheme val="minor"/>
      </rPr>
      <t>港市天允酒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</si>
  <si>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朗姆酒; 白酒; 苦味酒; 开胃酒; 果酒（含酒精）;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</si>
  <si>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漳州睿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食品科技有限公司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</si>
  <si>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梅酒;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</si>
  <si>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品香</t>
    </r>
  </si>
  <si>
    <r>
      <t>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</si>
  <si>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荟</t>
    </r>
    <r>
      <rPr>
        <sz val="11"/>
        <color theme="1"/>
        <rFont val="ＭＳ Ｐゴシック"/>
        <family val="3"/>
        <charset val="128"/>
        <scheme val="minor"/>
      </rPr>
      <t>育人</t>
    </r>
  </si>
  <si>
    <r>
      <t>育人博才（武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）教育科技有限公司</t>
    </r>
  </si>
  <si>
    <r>
      <t>苦味酒;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葡萄酒;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薄荷酒</t>
    </r>
  </si>
  <si>
    <r>
      <t>邢明月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</si>
  <si>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海南金</t>
    </r>
    <r>
      <rPr>
        <sz val="11"/>
        <color theme="1"/>
        <rFont val="ＭＳ Ｐゴシック"/>
        <family val="3"/>
        <charset val="134"/>
        <scheme val="minor"/>
      </rPr>
      <t>砖</t>
    </r>
    <r>
      <rPr>
        <sz val="11"/>
        <color theme="1"/>
        <rFont val="ＭＳ Ｐゴシック"/>
        <family val="3"/>
        <charset val="128"/>
        <scheme val="minor"/>
      </rPr>
      <t>天下酒庄有限公司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</si>
  <si>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</si>
  <si>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之溪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</si>
  <si>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开胃酒;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青稞酒; 清酒（日本米酒）</t>
    </r>
  </si>
  <si>
    <r>
      <t>坛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</si>
  <si>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清酒（日本米酒）; 白酒; 果酒（含酒精）;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</si>
  <si>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粉</t>
    </r>
    <r>
      <rPr>
        <sz val="11"/>
        <color theme="1"/>
        <rFont val="ＭＳ Ｐゴシック"/>
        <family val="3"/>
        <charset val="134"/>
        <scheme val="minor"/>
      </rPr>
      <t>宽宽</t>
    </r>
  </si>
  <si>
    <r>
      <t>南昌牧一餐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</si>
  <si>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</si>
  <si>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夔蜜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</si>
  <si>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厚金生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</si>
  <si>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白酒; 果酒（含酒精）; 梨酒; 开胃酒; 蜂蜜酒; 葡萄酒; 米酒</t>
    </r>
  </si>
  <si>
    <t>生隆旺</t>
  </si>
  <si>
    <r>
      <t>中商参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（北京）科技有限公司</t>
    </r>
  </si>
  <si>
    <r>
      <t>黄酒;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果酒（含酒精）; 利口酒; 开胃酒;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</si>
  <si>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t>台庄旧志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</si>
  <si>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东鲁</t>
    </r>
    <r>
      <rPr>
        <sz val="11"/>
        <color theme="1"/>
        <rFont val="ＭＳ Ｐゴシック"/>
        <family val="3"/>
        <charset val="128"/>
        <scheme val="minor"/>
      </rPr>
      <t>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</si>
  <si>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露酒; 白酒; 果酒（含酒精）;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米酒; 黄酒</t>
    </r>
  </si>
  <si>
    <t>稻盛荷</t>
  </si>
  <si>
    <r>
      <t>陈</t>
    </r>
    <r>
      <rPr>
        <sz val="11"/>
        <color theme="1"/>
        <rFont val="ＭＳ Ｐゴシック"/>
        <family val="3"/>
        <charset val="128"/>
        <scheme val="minor"/>
      </rPr>
      <t>克明食品股份有限公司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</si>
  <si>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蜂蜜酒; 清酒（日本米酒）;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威士忌; 白酒; 米酒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</si>
  <si>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阳皇廷酒店有限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</si>
  <si>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黄酒; 果酒（含酒精）; 青稞酒</t>
    </r>
  </si>
  <si>
    <t>福黔青花醉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</si>
  <si>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州青花醉酒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</si>
  <si>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汽酒; 黄酒; 薄荷酒; 白酒</t>
    </r>
  </si>
  <si>
    <r>
      <t>严阁</t>
    </r>
    <r>
      <rPr>
        <sz val="11"/>
        <color theme="1"/>
        <rFont val="ＭＳ Ｐゴシック"/>
        <family val="3"/>
        <charset val="128"/>
        <scheme val="minor"/>
      </rPr>
      <t>尚品</t>
    </r>
  </si>
  <si>
    <r>
      <t>严</t>
    </r>
    <r>
      <rPr>
        <sz val="11"/>
        <color theme="1"/>
        <rFont val="ＭＳ Ｐゴシック"/>
        <family val="3"/>
        <charset val="128"/>
        <scheme val="minor"/>
      </rPr>
      <t>坤</t>
    </r>
  </si>
  <si>
    <r>
      <t xml:space="preserve">白酒; 米酒; 清酒;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葡萄酒; 茴香酒</t>
    </r>
  </si>
  <si>
    <t>古运街市</t>
  </si>
  <si>
    <r>
      <t>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米酒; 高粱酒; 葡萄酒; 白酒; 甜酒</t>
    </r>
  </si>
  <si>
    <t>九春云</t>
  </si>
  <si>
    <r>
      <t>罗</t>
    </r>
    <r>
      <rPr>
        <sz val="11"/>
        <color theme="1"/>
        <rFont val="ＭＳ Ｐゴシック"/>
        <family val="3"/>
        <charset val="128"/>
        <scheme val="minor"/>
      </rPr>
      <t>文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</si>
  <si>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白酒;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</si>
  <si>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臻咏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（上海）有限公司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</si>
  <si>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葡萄酒; 伏特加酒;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苹果酒;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</t>
    </r>
  </si>
  <si>
    <t>CASTELFINO TRADITIONAL</t>
  </si>
  <si>
    <t>杰嘉西雅卡里安公司</t>
  </si>
  <si>
    <r>
      <t>无装</t>
    </r>
    <r>
      <rPr>
        <sz val="11"/>
        <color theme="1"/>
        <rFont val="ＭＳ Ｐゴシック"/>
        <family val="3"/>
        <charset val="134"/>
        <scheme val="minor"/>
      </rPr>
      <t>浓</t>
    </r>
    <r>
      <rPr>
        <sz val="11"/>
        <color theme="1"/>
        <rFont val="ＭＳ Ｐゴシック"/>
        <family val="3"/>
        <charset val="128"/>
        <scheme val="minor"/>
      </rPr>
      <t>藏</t>
    </r>
  </si>
  <si>
    <r>
      <t>河北</t>
    </r>
    <r>
      <rPr>
        <sz val="11"/>
        <color theme="1"/>
        <rFont val="ＭＳ Ｐゴシック"/>
        <family val="3"/>
        <charset val="134"/>
        <scheme val="minor"/>
      </rPr>
      <t>郸东贸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</si>
  <si>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蜂蜜酒; 白酒; 果酒（含酒精）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</si>
  <si>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花韵</t>
    </r>
  </si>
  <si>
    <r>
      <t>清酒（日本米酒）;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果酒（含酒精）;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威士忌</t>
    </r>
  </si>
  <si>
    <t>良晨吉品</t>
  </si>
  <si>
    <r>
      <t>吉草堂（吉林省）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</si>
  <si>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甜酒;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甜果酒; 白酒;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</si>
  <si>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朔万酒庄</t>
  </si>
  <si>
    <r>
      <t>舍婉酒庄民事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</si>
  <si>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</si>
  <si>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岳珍景</t>
  </si>
  <si>
    <t>覃瑞恒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</si>
  <si>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清酒;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</si>
  <si>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百姓———角光</t>
    </r>
    <r>
      <rPr>
        <sz val="11"/>
        <color theme="1"/>
        <rFont val="ＭＳ Ｐゴシック"/>
        <family val="3"/>
        <charset val="134"/>
        <scheme val="minor"/>
      </rPr>
      <t>显</t>
    </r>
  </si>
  <si>
    <r>
      <t>云南又双叒叕网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</si>
  <si>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</si>
  <si>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千</t>
    </r>
    <r>
      <rPr>
        <sz val="11"/>
        <color theme="1"/>
        <rFont val="ＭＳ Ｐゴシック"/>
        <family val="3"/>
        <charset val="134"/>
        <scheme val="minor"/>
      </rPr>
      <t>项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</si>
  <si>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州九鼎庄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</si>
  <si>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黄酒; 苦味酒;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</si>
  <si>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启始</t>
  </si>
  <si>
    <r>
      <t>石家庄天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冀合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</si>
  <si>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威士忌; 果酒; 白酒;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食用酒精</t>
    </r>
  </si>
  <si>
    <t>九玖氿基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</si>
  <si>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州盛世七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</si>
  <si>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苹果酒; 餐后酒（利口酒和烈酒）;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米酒</t>
    </r>
  </si>
  <si>
    <r>
      <t>蚨</t>
    </r>
    <r>
      <rPr>
        <sz val="11"/>
        <color theme="1"/>
        <rFont val="ＭＳ Ｐゴシック"/>
        <family val="3"/>
        <charset val="134"/>
        <scheme val="minor"/>
      </rPr>
      <t>兴馆</t>
    </r>
    <r>
      <rPr>
        <sz val="11"/>
        <color theme="1"/>
        <rFont val="ＭＳ Ｐゴシック"/>
        <family val="3"/>
        <charset val="128"/>
        <scheme val="minor"/>
      </rPr>
      <t xml:space="preserve"> 千年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承古法蚨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</si>
  <si>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蚨</t>
    </r>
    <r>
      <rPr>
        <sz val="11"/>
        <color theme="1"/>
        <rFont val="ＭＳ Ｐゴシック"/>
        <family val="3"/>
        <charset val="134"/>
        <scheme val="minor"/>
      </rPr>
      <t>兴馆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</si>
  <si>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食用酒精; 葡萄酒;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</t>
    </r>
  </si>
  <si>
    <t>黔杏春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</si>
  <si>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果酒; 黄酒; 米酒; 葡萄酒;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</si>
  <si>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臻果</t>
    </r>
    <r>
      <rPr>
        <sz val="11"/>
        <color theme="1"/>
        <rFont val="ＭＳ Ｐゴシック"/>
        <family val="3"/>
        <charset val="134"/>
        <scheme val="minor"/>
      </rPr>
      <t>畅</t>
    </r>
  </si>
  <si>
    <r>
      <t>河北彩</t>
    </r>
    <r>
      <rPr>
        <sz val="11"/>
        <color theme="1"/>
        <rFont val="ＭＳ Ｐゴシック"/>
        <family val="3"/>
        <charset val="134"/>
        <scheme val="minor"/>
      </rPr>
      <t>桥</t>
    </r>
    <r>
      <rPr>
        <sz val="11"/>
        <color theme="1"/>
        <rFont val="ＭＳ Ｐゴシック"/>
        <family val="3"/>
        <charset val="128"/>
        <scheme val="minor"/>
      </rPr>
      <t>之路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</si>
  <si>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果酒; 水果汽酒; 白酒;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黑覆盆子酒;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</si>
  <si>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秋悦盈</t>
  </si>
  <si>
    <r>
      <t>谭</t>
    </r>
    <r>
      <rPr>
        <sz val="11"/>
        <color theme="1"/>
        <rFont val="ＭＳ Ｐゴシック"/>
        <family val="3"/>
        <charset val="128"/>
        <scheme val="minor"/>
      </rPr>
      <t>金亮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</si>
  <si>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</si>
  <si>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梅小川</t>
  </si>
  <si>
    <r>
      <t>杨</t>
    </r>
    <r>
      <rPr>
        <sz val="11"/>
        <color theme="1"/>
        <rFont val="ＭＳ Ｐゴシック"/>
        <family val="3"/>
        <charset val="128"/>
        <scheme val="minor"/>
      </rPr>
      <t>梅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</si>
  <si>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黄酒; 清酒（日本米酒）; 葡萄酒; 白酒; 威士忌</t>
    </r>
  </si>
  <si>
    <r>
      <t>金令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</si>
  <si>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 xml:space="preserve">米酒; 蒸煮提取物（利口酒和烈酒）;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</t>
    </r>
  </si>
  <si>
    <t>源酒人</t>
  </si>
  <si>
    <r>
      <t>陈</t>
    </r>
    <r>
      <rPr>
        <sz val="11"/>
        <color theme="1"/>
        <rFont val="ＭＳ Ｐゴシック"/>
        <family val="3"/>
        <charset val="128"/>
        <scheme val="minor"/>
      </rPr>
      <t>雪梅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</si>
  <si>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</si>
  <si>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t>九九氿基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</si>
  <si>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苹果酒; 葡萄酒; 餐后酒（利口酒和烈酒）</t>
    </r>
  </si>
  <si>
    <t>镹玖氿基</t>
  </si>
  <si>
    <r>
      <t>苹果酒; 餐后酒（利口酒和烈酒）;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露酒; 葡萄酒</t>
    </r>
  </si>
  <si>
    <r>
      <t>狼行之</t>
    </r>
    <r>
      <rPr>
        <sz val="11"/>
        <color theme="1"/>
        <rFont val="ＭＳ Ｐゴシック"/>
        <family val="3"/>
        <charset val="134"/>
        <scheme val="minor"/>
      </rPr>
      <t>战</t>
    </r>
    <r>
      <rPr>
        <sz val="11"/>
        <color theme="1"/>
        <rFont val="ＭＳ Ｐゴシック"/>
        <family val="3"/>
        <charset val="128"/>
        <scheme val="minor"/>
      </rPr>
      <t xml:space="preserve"> WOLF G WIN</t>
    </r>
  </si>
  <si>
    <r>
      <t>战</t>
    </r>
    <r>
      <rPr>
        <sz val="11"/>
        <color theme="1"/>
        <rFont val="ＭＳ Ｐゴシック"/>
        <family val="3"/>
        <charset val="128"/>
        <scheme val="minor"/>
      </rPr>
      <t>狼(天津)体育文化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</si>
  <si>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烈性干酒;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五加皮酒（中国混合烈酒）;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白干酒（中国白酒）; 蜂蜜酒</t>
    </r>
  </si>
  <si>
    <t>伯邑奥</t>
  </si>
  <si>
    <r>
      <t>宏葡（上海）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</si>
  <si>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加香料的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果酒（含酒精）;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加烈葡萄酒; 白葡萄酒;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</si>
  <si>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乐爱维</t>
  </si>
  <si>
    <r>
      <t>加烈葡萄酒; 加香料的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葡萄酒; 白葡萄酒; 葡萄酒;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</si>
  <si>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封沁</t>
  </si>
  <si>
    <r>
      <t>赵</t>
    </r>
    <r>
      <rPr>
        <sz val="11"/>
        <color theme="1"/>
        <rFont val="ＭＳ Ｐゴシック"/>
        <family val="3"/>
        <charset val="128"/>
        <scheme val="minor"/>
      </rPr>
      <t>汛翔</t>
    </r>
  </si>
  <si>
    <r>
      <t>开胃酒; 葡萄酒;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黄酒</t>
    </r>
  </si>
  <si>
    <r>
      <t>梅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香巴</t>
    </r>
    <r>
      <rPr>
        <sz val="11"/>
        <color theme="1"/>
        <rFont val="ＭＳ Ｐゴシック"/>
        <family val="3"/>
        <charset val="134"/>
        <scheme val="minor"/>
      </rPr>
      <t>岛</t>
    </r>
  </si>
  <si>
    <t>梅士平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</si>
  <si>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青稞酒;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</si>
  <si>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</si>
  <si>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食用酒精; 白酒; 米酒;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朗姆酒; 黄酒</t>
    </r>
  </si>
  <si>
    <r>
      <t>壶</t>
    </r>
    <r>
      <rPr>
        <sz val="11"/>
        <color theme="1"/>
        <rFont val="ＭＳ Ｐゴシック"/>
        <family val="3"/>
        <charset val="128"/>
        <scheme val="minor"/>
      </rPr>
      <t>吟年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</si>
  <si>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果酒; 米酒; 蒸煮提取物（利口酒和烈酒）; 葡萄酒</t>
    </r>
  </si>
  <si>
    <r>
      <t>酿</t>
    </r>
    <r>
      <rPr>
        <sz val="11"/>
        <color theme="1"/>
        <rFont val="ＭＳ Ｐゴシック"/>
        <family val="3"/>
        <charset val="128"/>
        <scheme val="minor"/>
      </rPr>
      <t>庄</t>
    </r>
    <r>
      <rPr>
        <sz val="11"/>
        <color theme="1"/>
        <rFont val="ＭＳ Ｐゴシック"/>
        <family val="3"/>
        <charset val="134"/>
        <scheme val="minor"/>
      </rPr>
      <t>琼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</si>
  <si>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</si>
  <si>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仙壑王</t>
  </si>
  <si>
    <t>福建瑞源谷健康科技有限公司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</si>
  <si>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米酒; 利口酒</t>
    </r>
  </si>
  <si>
    <r>
      <t>雨帆食品集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</si>
  <si>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葡萄酒;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</t>
    </r>
  </si>
  <si>
    <r>
      <t>凯</t>
    </r>
    <r>
      <rPr>
        <sz val="11"/>
        <color theme="1"/>
        <rFont val="ＭＳ Ｐゴシック"/>
        <family val="3"/>
        <charset val="128"/>
        <scheme val="minor"/>
      </rPr>
      <t>莉斯格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</si>
  <si>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昂</t>
    </r>
    <r>
      <rPr>
        <sz val="11"/>
        <color theme="1"/>
        <rFont val="ＭＳ Ｐゴシック"/>
        <family val="3"/>
        <charset val="134"/>
        <scheme val="minor"/>
      </rPr>
      <t>扬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物流有限公司</t>
    </r>
  </si>
  <si>
    <r>
      <t>白葡萄酒;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加烈葡萄酒;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起泡白葡萄酒;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</si>
  <si>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舒小七</t>
  </si>
  <si>
    <t>蔡景港</t>
  </si>
  <si>
    <r>
      <t xml:space="preserve">苹果酒;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开胃酒; 威士忌;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</si>
  <si>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隆中梦</t>
  </si>
  <si>
    <r>
      <t>襄阳上寨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浩餐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</si>
  <si>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果酒（含酒精）; 白酒; 黄酒;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</si>
  <si>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殷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傅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</si>
  <si>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州殷掌柜酒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</si>
  <si>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杜松子酒</t>
    </r>
  </si>
  <si>
    <t>YUANPAIJIU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</si>
  <si>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州茅台酒厂（集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）保健酒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</si>
  <si>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蒸煮提取物（利口酒和烈酒）; 白酒; 黄酒; 清酒</t>
    </r>
  </si>
  <si>
    <t>中大开亮</t>
  </si>
  <si>
    <r>
      <t>临</t>
    </r>
    <r>
      <rPr>
        <sz val="11"/>
        <color theme="1"/>
        <rFont val="ＭＳ Ｐゴシック"/>
        <family val="3"/>
        <charset val="128"/>
        <scheme val="minor"/>
      </rPr>
      <t>沂商城开亮物流托运部</t>
    </r>
  </si>
  <si>
    <r>
      <t>开胃酒;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苦味酒;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薄荷酒; 果酒（含酒精）; 茴芹酒（利口酒）; 茴香酒（利口酒）;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</si>
  <si>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澜</t>
    </r>
    <r>
      <rPr>
        <sz val="11"/>
        <color theme="1"/>
        <rFont val="ＭＳ Ｐゴシック"/>
        <family val="3"/>
        <charset val="128"/>
        <scheme val="minor"/>
      </rPr>
      <t>天下接待酒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</si>
  <si>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继帅</t>
    </r>
  </si>
  <si>
    <r>
      <t xml:space="preserve">果酒（含酒精）;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苹果酒;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</si>
  <si>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NOBLE ISLE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</si>
  <si>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州道富日化有限公司</t>
    </r>
  </si>
  <si>
    <r>
      <t>米酒;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青梅酒; 梅酒; 黄酒; 白酒; 果酒;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葡萄酒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</si>
  <si>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迪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酒庄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</si>
  <si>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岛爱</t>
    </r>
    <r>
      <rPr>
        <sz val="11"/>
        <color theme="1"/>
        <rFont val="ＭＳ Ｐゴシック"/>
        <family val="3"/>
        <charset val="128"/>
        <scheme val="minor"/>
      </rPr>
      <t>迪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葡萄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</si>
  <si>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梨酒;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混合威士忌酒;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</si>
  <si>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HLJ</t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</si>
  <si>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市皇粮匠酒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</si>
  <si>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果酒（含酒精）; 白酒; 米酒; 清酒（日本米酒）; 蒸煮提取物（利口酒和烈酒）;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</si>
  <si>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延</t>
    </r>
    <r>
      <rPr>
        <sz val="11"/>
        <color theme="1"/>
        <rFont val="ＭＳ Ｐゴシック"/>
        <family val="3"/>
        <charset val="134"/>
        <scheme val="minor"/>
      </rPr>
      <t>边</t>
    </r>
    <r>
      <rPr>
        <sz val="11"/>
        <color theme="1"/>
        <rFont val="ＭＳ Ｐゴシック"/>
        <family val="3"/>
        <charset val="128"/>
        <scheme val="minor"/>
      </rPr>
      <t>食也食品有限公司</t>
    </r>
  </si>
  <si>
    <r>
      <t>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</si>
  <si>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晶杏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</si>
  <si>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山西酒井酒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</si>
  <si>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蒸煮提取物（利口酒和烈酒）;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</si>
  <si>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酌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8"/>
        <scheme val="minor"/>
      </rPr>
      <t>秋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</si>
  <si>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</t>
    </r>
  </si>
  <si>
    <r>
      <t>汣</t>
    </r>
    <r>
      <rPr>
        <sz val="11"/>
        <color theme="1"/>
        <rFont val="ＭＳ Ｐゴシック"/>
        <family val="3"/>
        <charset val="128"/>
        <scheme val="minor"/>
      </rPr>
      <t>氿基</t>
    </r>
  </si>
  <si>
    <r>
      <t>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</si>
  <si>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丞工</t>
  </si>
  <si>
    <r>
      <t>深圳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利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丞供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</si>
  <si>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苹果酒; 黄酒;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</si>
  <si>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滇源礼</t>
  </si>
  <si>
    <r>
      <t>张</t>
    </r>
    <r>
      <rPr>
        <sz val="11"/>
        <color theme="1"/>
        <rFont val="ＭＳ Ｐゴシック"/>
        <family val="3"/>
        <charset val="128"/>
        <scheme val="minor"/>
      </rPr>
      <t>毅</t>
    </r>
  </si>
  <si>
    <r>
      <t>白葡萄酒; 果酒（含酒精）;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葡萄汽酒; 薄荷酒; 葡萄酒; 高粱酒</t>
    </r>
  </si>
  <si>
    <r>
      <t>贵浔</t>
    </r>
    <r>
      <rPr>
        <sz val="11"/>
        <color theme="1"/>
        <rFont val="ＭＳ Ｐゴシック"/>
        <family val="3"/>
        <charset val="128"/>
        <scheme val="minor"/>
      </rPr>
      <t>仙</t>
    </r>
  </si>
  <si>
    <r>
      <t>开胃酒; 白酒; 葡萄酒; 清酒（日本米酒）;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威士忌</t>
    </r>
  </si>
  <si>
    <t>CASTELL LIORD TRADITIONAL</t>
  </si>
  <si>
    <r>
      <t>仡美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川醇</t>
    </r>
  </si>
  <si>
    <t>李琴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</si>
  <si>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果酒（含酒精）; 白酒; 烈酒; 高粱酒</t>
    </r>
  </si>
  <si>
    <r>
      <t>盏</t>
    </r>
    <r>
      <rPr>
        <sz val="11"/>
        <color theme="1"/>
        <rFont val="ＭＳ Ｐゴシック"/>
        <family val="3"/>
        <charset val="128"/>
        <scheme val="minor"/>
      </rPr>
      <t>也醉</t>
    </r>
  </si>
  <si>
    <r>
      <t>林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</si>
  <si>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果酒（含酒精）;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</si>
  <si>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喜仁民</t>
  </si>
  <si>
    <r>
      <t>陈</t>
    </r>
    <r>
      <rPr>
        <sz val="11"/>
        <color theme="1"/>
        <rFont val="ＭＳ Ｐゴシック"/>
        <family val="3"/>
        <charset val="128"/>
        <scheme val="minor"/>
      </rPr>
      <t>彦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</si>
  <si>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</t>
    </r>
  </si>
  <si>
    <t>君台厚伍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</si>
  <si>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州君台厚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</si>
  <si>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朗姆酒;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</si>
  <si>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r>
      <t>叶河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鹿</t>
    </r>
  </si>
  <si>
    <r>
      <t>阿布</t>
    </r>
    <r>
      <rPr>
        <sz val="11"/>
        <color theme="1"/>
        <rFont val="ＭＳ Ｐゴシック"/>
        <family val="3"/>
        <charset val="134"/>
        <scheme val="minor"/>
      </rPr>
      <t>赛买</t>
    </r>
    <r>
      <rPr>
        <sz val="11"/>
        <color theme="1"/>
        <rFont val="ＭＳ Ｐゴシック"/>
        <family val="3"/>
        <charset val="128"/>
        <scheme val="minor"/>
      </rPr>
      <t>提·阿布都喀德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</si>
  <si>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 xml:space="preserve">苦味酒; 清酒;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</si>
  <si>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玛</t>
    </r>
    <r>
      <rPr>
        <sz val="11"/>
        <color theme="1"/>
        <rFont val="ＭＳ Ｐゴシック"/>
        <family val="3"/>
        <charset val="128"/>
        <scheme val="minor"/>
      </rPr>
      <t>柆</t>
    </r>
  </si>
  <si>
    <r>
      <t>本位空</t>
    </r>
    <r>
      <rPr>
        <sz val="11"/>
        <color theme="1"/>
        <rFont val="ＭＳ Ｐゴシック"/>
        <family val="3"/>
        <charset val="134"/>
        <scheme val="minor"/>
      </rPr>
      <t>间设计</t>
    </r>
    <r>
      <rPr>
        <sz val="11"/>
        <color theme="1"/>
        <rFont val="ＭＳ Ｐゴシック"/>
        <family val="3"/>
        <charset val="128"/>
        <scheme val="minor"/>
      </rPr>
      <t>（上海）有限公司</t>
    </r>
  </si>
  <si>
    <r>
      <t xml:space="preserve">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</t>
    </r>
  </si>
  <si>
    <r>
      <t>法邑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奥</t>
    </r>
    <r>
      <rPr>
        <sz val="11"/>
        <color theme="1"/>
        <rFont val="ＭＳ Ｐゴシック"/>
        <family val="3"/>
        <charset val="134"/>
        <scheme val="minor"/>
      </rPr>
      <t>诺</t>
    </r>
    <r>
      <rPr>
        <sz val="11"/>
        <color theme="1"/>
        <rFont val="ＭＳ Ｐゴシック"/>
        <family val="3"/>
        <charset val="128"/>
        <scheme val="minor"/>
      </rPr>
      <t>斯</t>
    </r>
  </si>
  <si>
    <r>
      <t>肇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乐图诗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</si>
  <si>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威士忌;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</si>
  <si>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皇家紫陶王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</si>
  <si>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利口酒; 青稞酒; 黄酒; 果酒;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</si>
  <si>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鹿九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</si>
  <si>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吉林省卡</t>
    </r>
    <r>
      <rPr>
        <sz val="11"/>
        <color theme="1"/>
        <rFont val="ＭＳ Ｐゴシック"/>
        <family val="3"/>
        <charset val="134"/>
        <scheme val="minor"/>
      </rPr>
      <t>尔纳</t>
    </r>
    <r>
      <rPr>
        <sz val="11"/>
        <color theme="1"/>
        <rFont val="ＭＳ Ｐゴシック"/>
        <family val="3"/>
        <charset val="128"/>
        <scheme val="minor"/>
      </rPr>
      <t>斯商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</si>
  <si>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</t>
    </r>
  </si>
  <si>
    <r>
      <t>沧</t>
    </r>
    <r>
      <rPr>
        <sz val="11"/>
        <color theme="1"/>
        <rFont val="ＭＳ Ｐゴシック"/>
        <family val="3"/>
        <charset val="128"/>
        <scheme val="minor"/>
      </rPr>
      <t>海</t>
    </r>
    <r>
      <rPr>
        <sz val="11"/>
        <color theme="1"/>
        <rFont val="ＭＳ Ｐゴシック"/>
        <family val="3"/>
        <charset val="134"/>
        <scheme val="minor"/>
      </rPr>
      <t>颂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</si>
  <si>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美章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</si>
  <si>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米酒; 果酒（含酒精）; 青稞酒</t>
    </r>
  </si>
  <si>
    <t>君台厚柒</t>
  </si>
  <si>
    <r>
      <t>朗姆酒;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白酒; 威士忌;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</si>
  <si>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姚泉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</si>
  <si>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t>成都市姚泉老窖酒厂</t>
  </si>
  <si>
    <r>
      <t xml:space="preserve">白干酒（中国白酒）; 青稞酒;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黄酒; 威士忌; 白酒; 高粱酒; 蒸煮提取物（利口酒和烈酒）</t>
    </r>
  </si>
  <si>
    <r>
      <t xml:space="preserve">HOMSITIMD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斯汀</t>
    </r>
  </si>
  <si>
    <r>
      <t xml:space="preserve">白酒; 清酒（日本米酒）;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开胃酒;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</si>
  <si>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晓</t>
    </r>
    <r>
      <rPr>
        <sz val="11"/>
        <color theme="1"/>
        <rFont val="ＭＳ Ｐゴシック"/>
        <family val="3"/>
        <charset val="128"/>
        <scheme val="minor"/>
      </rPr>
      <t>之翼</t>
    </r>
  </si>
  <si>
    <r>
      <t>宁夏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之翼信息科技合伙企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(有限合伙)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</si>
  <si>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葡萄酒</t>
    </r>
  </si>
  <si>
    <t>乾坤悦歆</t>
  </si>
  <si>
    <t>范建光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</si>
  <si>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餐后酒（利口酒和烈酒）;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</si>
  <si>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富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脉</t>
    </r>
  </si>
  <si>
    <r>
      <t>万</t>
    </r>
    <r>
      <rPr>
        <sz val="11"/>
        <color theme="1"/>
        <rFont val="ＭＳ Ｐゴシック"/>
        <family val="3"/>
        <charset val="134"/>
        <scheme val="minor"/>
      </rPr>
      <t>晓东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</si>
  <si>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朗姆酒; 利口酒;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清酒; 烈酒</t>
    </r>
  </si>
  <si>
    <t>RIDING BENDING</t>
  </si>
  <si>
    <r>
      <t>李</t>
    </r>
    <r>
      <rPr>
        <sz val="11"/>
        <color theme="1"/>
        <rFont val="ＭＳ Ｐゴシック"/>
        <family val="3"/>
        <charset val="134"/>
        <scheme val="minor"/>
      </rPr>
      <t>辉鹏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</si>
  <si>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</t>
    </r>
  </si>
  <si>
    <t>WUSU</t>
  </si>
  <si>
    <r>
      <t>新疆</t>
    </r>
    <r>
      <rPr>
        <sz val="11"/>
        <color theme="1"/>
        <rFont val="ＭＳ Ｐゴシック"/>
        <family val="3"/>
        <charset val="134"/>
        <scheme val="minor"/>
      </rPr>
      <t>乌苏</t>
    </r>
    <r>
      <rPr>
        <sz val="11"/>
        <color theme="1"/>
        <rFont val="ＭＳ Ｐゴシック"/>
        <family val="3"/>
        <charset val="128"/>
        <scheme val="minor"/>
      </rPr>
      <t>啤酒有限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</si>
  <si>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白酒; 果酒（含酒精）; 米酒; 开胃酒</t>
    </r>
  </si>
  <si>
    <t>启运福</t>
  </si>
  <si>
    <r>
      <t>郑继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（北京）有限公司</t>
    </r>
  </si>
  <si>
    <r>
      <t>黄酒;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果酒（含酒精）</t>
    </r>
  </si>
  <si>
    <t>禾三丙</t>
  </si>
  <si>
    <r>
      <t>扬</t>
    </r>
    <r>
      <rPr>
        <sz val="11"/>
        <color theme="1"/>
        <rFont val="ＭＳ Ｐゴシック"/>
        <family val="3"/>
        <charset val="128"/>
        <scheme val="minor"/>
      </rPr>
      <t>州禾一稼食品科技有限公司</t>
    </r>
  </si>
  <si>
    <r>
      <t xml:space="preserve">葡萄酒;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</t>
    </r>
  </si>
  <si>
    <r>
      <t>乐业乡</t>
    </r>
    <r>
      <rPr>
        <sz val="11"/>
        <color theme="1"/>
        <rFont val="ＭＳ Ｐゴシック"/>
        <family val="3"/>
        <charset val="128"/>
        <scheme val="minor"/>
      </rPr>
      <t>下醇</t>
    </r>
  </si>
  <si>
    <r>
      <t>百色市金宝源商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</si>
  <si>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清酒（日本米酒）; 米酒; 威士忌;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</si>
  <si>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永峰古</t>
  </si>
  <si>
    <r>
      <t>京九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（北京）商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</si>
  <si>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黄酒; 白葡萄酒; 米酒; 清酒（日本米酒）;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果酒; 白酒</t>
    </r>
  </si>
  <si>
    <t>潼庄</t>
  </si>
  <si>
    <t>孟娜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</si>
  <si>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</si>
  <si>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运皇朝</t>
    </r>
  </si>
  <si>
    <r>
      <t>当阳市大雄建材有限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</si>
  <si>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青梅酒; 葡萄酒; 白酒;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</t>
    </r>
  </si>
  <si>
    <t>黔米瑶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</si>
  <si>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白酒; 清酒（日本米酒）; 果酒（含酒精）; 柑香酒;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</t>
    </r>
  </si>
  <si>
    <r>
      <t>琼</t>
    </r>
    <r>
      <rPr>
        <sz val="11"/>
        <color theme="1"/>
        <rFont val="ＭＳ Ｐゴシック"/>
        <family val="3"/>
        <charset val="128"/>
        <scheme val="minor"/>
      </rPr>
      <t>之翼</t>
    </r>
  </si>
  <si>
    <r>
      <t>宁夏</t>
    </r>
    <r>
      <rPr>
        <sz val="11"/>
        <color theme="1"/>
        <rFont val="ＭＳ Ｐゴシック"/>
        <family val="3"/>
        <charset val="134"/>
        <scheme val="minor"/>
      </rPr>
      <t>琼</t>
    </r>
    <r>
      <rPr>
        <sz val="11"/>
        <color theme="1"/>
        <rFont val="ＭＳ Ｐゴシック"/>
        <family val="3"/>
        <charset val="128"/>
        <scheme val="minor"/>
      </rPr>
      <t>之翼信息科技合伙企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（有限合伙）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</si>
  <si>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黄酒; 白酒; 葡萄酒; 米酒</t>
    </r>
  </si>
  <si>
    <t>界府</t>
  </si>
  <si>
    <r>
      <t>吴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</si>
  <si>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清酒（日本米酒）;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</si>
  <si>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浴</t>
    </r>
    <r>
      <rPr>
        <sz val="11"/>
        <color theme="1"/>
        <rFont val="ＭＳ Ｐゴシック"/>
        <family val="3"/>
        <charset val="134"/>
        <scheme val="minor"/>
      </rPr>
      <t>东汤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</si>
  <si>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宁吉喆商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</si>
  <si>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黄酒; 米酒; 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</si>
  <si>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额</t>
    </r>
    <r>
      <rPr>
        <sz val="11"/>
        <color theme="1"/>
        <rFont val="ＭＳ Ｐゴシック"/>
        <family val="3"/>
        <charset val="128"/>
        <scheme val="minor"/>
      </rPr>
      <t>可其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</si>
  <si>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世民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</si>
  <si>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葡萄酒</t>
    </r>
  </si>
  <si>
    <r>
      <t>尧</t>
    </r>
    <r>
      <rPr>
        <sz val="11"/>
        <color theme="1"/>
        <rFont val="ＭＳ Ｐゴシック"/>
        <family val="3"/>
        <charset val="128"/>
        <scheme val="minor"/>
      </rPr>
      <t>舜故井</t>
    </r>
  </si>
  <si>
    <r>
      <t>菏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市牡丹区百泉高粱酒坊有限公司</t>
    </r>
  </si>
  <si>
    <r>
      <t>葡萄酒;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</t>
    </r>
  </si>
  <si>
    <t>舞后六点半</t>
  </si>
  <si>
    <r>
      <t>西安行之本餐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</si>
  <si>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餐后酒（利口酒和烈酒）;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</si>
  <si>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柒玖福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</si>
  <si>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向</t>
    </r>
    <r>
      <rPr>
        <sz val="11"/>
        <color theme="1"/>
        <rFont val="ＭＳ Ｐゴシック"/>
        <family val="3"/>
        <charset val="134"/>
        <scheme val="minor"/>
      </rPr>
      <t>标</t>
    </r>
    <r>
      <rPr>
        <sz val="11"/>
        <color theme="1"/>
        <rFont val="ＭＳ Ｐゴシック"/>
        <family val="3"/>
        <charset val="128"/>
        <scheme val="minor"/>
      </rPr>
      <t>管理服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</si>
  <si>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威士忌; 白酒</t>
    </r>
  </si>
  <si>
    <r>
      <t>中槙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瑞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</si>
  <si>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食用酒精;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</si>
  <si>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越溪清圣</t>
  </si>
  <si>
    <r>
      <t>诸</t>
    </r>
    <r>
      <rPr>
        <sz val="11"/>
        <color theme="1"/>
        <rFont val="ＭＳ Ｐゴシック"/>
        <family val="3"/>
        <charset val="129"/>
        <scheme val="minor"/>
      </rPr>
      <t>暨</t>
    </r>
    <r>
      <rPr>
        <sz val="11"/>
        <color theme="1"/>
        <rFont val="ＭＳ Ｐゴシック"/>
        <family val="3"/>
        <charset val="128"/>
        <scheme val="minor"/>
      </rPr>
      <t>睿</t>
    </r>
    <r>
      <rPr>
        <sz val="11"/>
        <color theme="1"/>
        <rFont val="ＭＳ Ｐゴシック"/>
        <family val="3"/>
        <charset val="134"/>
        <scheme val="minor"/>
      </rPr>
      <t>畅针织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</si>
  <si>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果酒; 汽酒; 薄荷酒; 清酒; 白酒; 米酒; 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</si>
  <si>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圣蒂金 SHENG DI GOLD</t>
  </si>
  <si>
    <t>烟台圣蒂酒庄葡萄酒有限公司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</si>
  <si>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蜂蜜酒;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</si>
  <si>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義聚永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 xml:space="preserve"> 1326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</si>
  <si>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米酒; 蜂蜜酒</t>
    </r>
  </si>
  <si>
    <r>
      <t>深圳美</t>
    </r>
    <r>
      <rPr>
        <sz val="11"/>
        <color theme="1"/>
        <rFont val="ＭＳ Ｐゴシック"/>
        <family val="3"/>
        <charset val="134"/>
        <scheme val="minor"/>
      </rPr>
      <t>术馆</t>
    </r>
    <r>
      <rPr>
        <sz val="11"/>
        <color theme="1"/>
        <rFont val="ＭＳ Ｐゴシック"/>
        <family val="3"/>
        <charset val="128"/>
        <scheme val="minor"/>
      </rPr>
      <t xml:space="preserve"> SHENZHEN ART MUSEUM</t>
    </r>
  </si>
  <si>
    <r>
      <t>深圳美</t>
    </r>
    <r>
      <rPr>
        <sz val="11"/>
        <color theme="1"/>
        <rFont val="ＭＳ Ｐゴシック"/>
        <family val="3"/>
        <charset val="134"/>
        <scheme val="minor"/>
      </rPr>
      <t>术馆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</si>
  <si>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</t>
    </r>
  </si>
  <si>
    <t>大逍</t>
  </si>
  <si>
    <t>孟佩煜</t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</si>
  <si>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清酒（日本米酒）; 白酒; 葡萄酒</t>
    </r>
  </si>
  <si>
    <r>
      <t>春</t>
    </r>
    <r>
      <rPr>
        <sz val="11"/>
        <color theme="1"/>
        <rFont val="ＭＳ Ｐゴシック"/>
        <family val="3"/>
        <charset val="134"/>
        <scheme val="minor"/>
      </rPr>
      <t>叁</t>
    </r>
    <r>
      <rPr>
        <sz val="11"/>
        <color theme="1"/>
        <rFont val="ＭＳ Ｐゴシック"/>
        <family val="3"/>
        <charset val="128"/>
        <scheme val="minor"/>
      </rPr>
      <t>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</si>
  <si>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州嘉壹酒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</si>
  <si>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甜果酒; 果酒;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</si>
  <si>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t>行之本六点半</t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</si>
  <si>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</si>
  <si>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泰</t>
    </r>
    <r>
      <rPr>
        <sz val="11"/>
        <color theme="1"/>
        <rFont val="ＭＳ Ｐゴシック"/>
        <family val="3"/>
        <charset val="134"/>
        <scheme val="minor"/>
      </rPr>
      <t>沣</t>
    </r>
    <r>
      <rPr>
        <sz val="11"/>
        <color theme="1"/>
        <rFont val="ＭＳ Ｐゴシック"/>
        <family val="3"/>
        <charset val="128"/>
        <scheme val="minor"/>
      </rPr>
      <t>氿</t>
    </r>
  </si>
  <si>
    <r>
      <t>中山市泰</t>
    </r>
    <r>
      <rPr>
        <sz val="11"/>
        <color theme="1"/>
        <rFont val="ＭＳ Ｐゴシック"/>
        <family val="3"/>
        <charset val="134"/>
        <scheme val="minor"/>
      </rPr>
      <t>沣</t>
    </r>
    <r>
      <rPr>
        <sz val="11"/>
        <color theme="1"/>
        <rFont val="ＭＳ Ｐゴシック"/>
        <family val="3"/>
        <charset val="128"/>
        <scheme val="minor"/>
      </rPr>
      <t>酒坊</t>
    </r>
  </si>
  <si>
    <r>
      <t xml:space="preserve">米酒; 白酒;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开胃酒; 黄酒; 苦味酒;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</si>
  <si>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匠心</t>
    </r>
    <r>
      <rPr>
        <sz val="11"/>
        <color theme="1"/>
        <rFont val="ＭＳ Ｐゴシック"/>
        <family val="3"/>
        <charset val="134"/>
        <scheme val="minor"/>
      </rPr>
      <t>诺贝尔</t>
    </r>
  </si>
  <si>
    <r>
      <t xml:space="preserve">食用酒精;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开胃酒; 汽酒; 黄酒; 果酒（含酒精）; 葡萄酒; 米酒; 高粱酒</t>
    </r>
  </si>
  <si>
    <t>相行匠</t>
  </si>
  <si>
    <r>
      <t>罗</t>
    </r>
    <r>
      <rPr>
        <sz val="11"/>
        <color theme="1"/>
        <rFont val="ＭＳ Ｐゴシック"/>
        <family val="3"/>
        <charset val="128"/>
        <scheme val="minor"/>
      </rPr>
      <t>鑫鑫******************</t>
    </r>
  </si>
  <si>
    <r>
      <t>果酒; 烈酒;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梅酒;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</si>
  <si>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良城</t>
    </r>
  </si>
  <si>
    <r>
      <t>佛山市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德区晟</t>
    </r>
    <r>
      <rPr>
        <sz val="11"/>
        <color theme="1"/>
        <rFont val="ＭＳ Ｐゴシック"/>
        <family val="3"/>
        <charset val="134"/>
        <scheme val="minor"/>
      </rPr>
      <t>晖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</si>
  <si>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含酒精的气泡水;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</si>
  <si>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碧月坤山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</si>
  <si>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州碧月坤山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</si>
  <si>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</si>
  <si>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SUNDAY SILENCE</t>
  </si>
  <si>
    <r>
      <t>东</t>
    </r>
    <r>
      <rPr>
        <sz val="11"/>
        <color theme="1"/>
        <rFont val="ＭＳ Ｐゴシック"/>
        <family val="3"/>
        <charset val="128"/>
        <scheme val="minor"/>
      </rPr>
      <t>莞易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</si>
  <si>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</t>
    </r>
  </si>
  <si>
    <t>起运福</t>
  </si>
  <si>
    <r>
      <t xml:space="preserve">开胃酒; 果酒（含酒精）;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黄酒</t>
    </r>
  </si>
  <si>
    <t>念百草</t>
  </si>
  <si>
    <t>彭侠侠</t>
  </si>
  <si>
    <t>开胃酒; 清酒; 汽酒; 甜酒; 白酒; 黄酒; 葡萄酒; 果酒; 食用酒精; 米酒</t>
  </si>
  <si>
    <r>
      <t>金</t>
    </r>
    <r>
      <rPr>
        <sz val="11"/>
        <color theme="1"/>
        <rFont val="ＭＳ Ｐゴシック"/>
        <family val="3"/>
        <charset val="134"/>
        <scheme val="minor"/>
      </rPr>
      <t>钻</t>
    </r>
    <r>
      <rPr>
        <sz val="11"/>
        <color theme="1"/>
        <rFont val="ＭＳ Ｐゴシック"/>
        <family val="3"/>
        <charset val="128"/>
        <scheme val="minor"/>
      </rPr>
      <t>宋</t>
    </r>
  </si>
  <si>
    <t>刘登琴</t>
  </si>
  <si>
    <r>
      <t>果酒（含酒精）; 苹果酒;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露酒;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</si>
  <si>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微</t>
    </r>
    <r>
      <rPr>
        <sz val="11"/>
        <color theme="1"/>
        <rFont val="ＭＳ Ｐゴシック"/>
        <family val="3"/>
        <charset val="134"/>
        <scheme val="minor"/>
      </rPr>
      <t>闪轻颜</t>
    </r>
  </si>
  <si>
    <r>
      <t>白河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逸酒酒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</si>
  <si>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</si>
  <si>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AMDNSP</t>
  </si>
  <si>
    <r>
      <t>龚</t>
    </r>
    <r>
      <rPr>
        <sz val="11"/>
        <color theme="1"/>
        <rFont val="ＭＳ Ｐゴシック"/>
        <family val="3"/>
        <charset val="128"/>
        <scheme val="minor"/>
      </rPr>
      <t>雪英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</si>
  <si>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青梅酒;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露酒;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</si>
  <si>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RONGHUA</t>
  </si>
  <si>
    <r>
      <t>荣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建</t>
    </r>
    <r>
      <rPr>
        <sz val="11"/>
        <color theme="1"/>
        <rFont val="ＭＳ Ｐゴシック"/>
        <family val="3"/>
        <charset val="134"/>
        <scheme val="minor"/>
      </rPr>
      <t>设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</si>
  <si>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清酒</t>
    </r>
  </si>
  <si>
    <t>君台厚玖</t>
  </si>
  <si>
    <r>
      <t>威士忌;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</si>
  <si>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黄酒</t>
    </r>
  </si>
  <si>
    <t>文衍酌</t>
  </si>
  <si>
    <r>
      <t>王</t>
    </r>
    <r>
      <rPr>
        <sz val="11"/>
        <color theme="1"/>
        <rFont val="ＭＳ Ｐゴシック"/>
        <family val="3"/>
        <charset val="134"/>
        <scheme val="minor"/>
      </rPr>
      <t>晓欢</t>
    </r>
  </si>
  <si>
    <r>
      <t>苹果酒; 烈酒;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白干酒（中国白酒）; 高粱酒; 威士忌; 黄酒</t>
    </r>
  </si>
  <si>
    <t>草地白</t>
  </si>
  <si>
    <r>
      <t>胡昌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</si>
  <si>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葡萄酒; 高粱酒; 烈酒; 白干酒（中国白酒）; 烈性干酒; 白酒</t>
    </r>
  </si>
  <si>
    <t>浙脉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</si>
  <si>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清酒; 白酒</t>
    </r>
  </si>
  <si>
    <t>虬川</t>
  </si>
  <si>
    <r>
      <t>白酒; 葡萄酒;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食用酒精;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</si>
  <si>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运夫</t>
    </r>
  </si>
  <si>
    <r>
      <t>安吉</t>
    </r>
    <r>
      <rPr>
        <sz val="11"/>
        <color theme="1"/>
        <rFont val="ＭＳ Ｐゴシック"/>
        <family val="3"/>
        <charset val="134"/>
        <scheme val="minor"/>
      </rPr>
      <t>顶</t>
    </r>
    <r>
      <rPr>
        <sz val="11"/>
        <color theme="1"/>
        <rFont val="ＭＳ Ｐゴシック"/>
        <family val="3"/>
        <charset val="128"/>
        <scheme val="minor"/>
      </rPr>
      <t>竹茶</t>
    </r>
    <r>
      <rPr>
        <sz val="11"/>
        <color theme="1"/>
        <rFont val="ＭＳ Ｐゴシック"/>
        <family val="3"/>
        <charset val="134"/>
        <scheme val="minor"/>
      </rPr>
      <t>场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</si>
  <si>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</si>
  <si>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巴克匠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</si>
  <si>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梅酒; 高粱酒;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</t>
    </r>
  </si>
  <si>
    <r>
      <t>喜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年</t>
    </r>
  </si>
  <si>
    <t>陈鹏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</si>
  <si>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餐后酒（利口酒和烈酒）; 白酒; 黄酒; 果酒（含酒精）</t>
    </r>
  </si>
  <si>
    <t>喜拾匠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</si>
  <si>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高粱酒; 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甜酒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</si>
  <si>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樽台</t>
    </r>
    <r>
      <rPr>
        <sz val="11"/>
        <color theme="1"/>
        <rFont val="ＭＳ Ｐゴシック"/>
        <family val="3"/>
        <charset val="134"/>
        <scheme val="minor"/>
      </rPr>
      <t>龙凤</t>
    </r>
    <r>
      <rPr>
        <sz val="11"/>
        <color theme="1"/>
        <rFont val="ＭＳ Ｐゴシック"/>
        <family val="3"/>
        <charset val="128"/>
        <scheme val="minor"/>
      </rPr>
      <t>呈祥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</si>
  <si>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市云起酒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</si>
  <si>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</t>
    </r>
  </si>
  <si>
    <t>良美匠茗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</si>
  <si>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美茗良匠包装有限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</si>
  <si>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</si>
  <si>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慕恩</t>
    </r>
    <r>
      <rPr>
        <sz val="11"/>
        <color theme="1"/>
        <rFont val="ＭＳ Ｐゴシック"/>
        <family val="3"/>
        <charset val="134"/>
        <scheme val="minor"/>
      </rPr>
      <t>诗</t>
    </r>
    <r>
      <rPr>
        <sz val="11"/>
        <color theme="1"/>
        <rFont val="ＭＳ Ｐゴシック"/>
        <family val="3"/>
        <charset val="128"/>
        <scheme val="minor"/>
      </rPr>
      <t>和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方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</si>
  <si>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州衡泰宏达物</t>
    </r>
    <r>
      <rPr>
        <sz val="11"/>
        <color theme="1"/>
        <rFont val="ＭＳ Ｐゴシック"/>
        <family val="3"/>
        <charset val="134"/>
        <scheme val="minor"/>
      </rPr>
      <t>资贸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</si>
  <si>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开胃酒;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汽酒; 葡萄酒; 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</si>
  <si>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 xml:space="preserve">葡萄酒; 开胃酒;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</t>
    </r>
  </si>
  <si>
    <t>越溪留香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</si>
  <si>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清酒; 薄荷酒; 白酒; 葡萄酒; 果酒</t>
    </r>
  </si>
  <si>
    <t>佳百福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</si>
  <si>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佳百福酒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</si>
  <si>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</si>
  <si>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上坪珍</t>
  </si>
  <si>
    <r>
      <t xml:space="preserve">汽酒; 黄酒; 烈酒; 果酒（含酒精）; 米酒; 高粱酒; 梅酒;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</si>
  <si>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虔通古坊</t>
  </si>
  <si>
    <r>
      <t>赣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安健康管理服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</si>
  <si>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薄荷酒; 果酒（含酒精）;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开胃酒;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</si>
  <si>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酿</t>
    </r>
    <r>
      <rPr>
        <sz val="11"/>
        <color theme="1"/>
        <rFont val="ＭＳ Ｐゴシック"/>
        <family val="3"/>
        <charset val="128"/>
        <scheme val="minor"/>
      </rPr>
      <t>老翁六加液</t>
    </r>
  </si>
  <si>
    <t>何礼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</si>
  <si>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</si>
  <si>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应</t>
    </r>
    <r>
      <rPr>
        <sz val="11"/>
        <color theme="1"/>
        <rFont val="ＭＳ Ｐゴシック"/>
        <family val="3"/>
        <charset val="128"/>
        <scheme val="minor"/>
      </rPr>
      <t>史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</si>
  <si>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应时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</si>
  <si>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葡萄酒;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</si>
  <si>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在香山</t>
    </r>
  </si>
  <si>
    <r>
      <t>通化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</si>
  <si>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白酒</t>
    </r>
  </si>
  <si>
    <t>CHARANDA URUAPAN</t>
  </si>
  <si>
    <t>塔拉斯科烈酒之家股份有限公司</t>
  </si>
  <si>
    <r>
      <t>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甘蔗制烈酒; 甘蔗汁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朗姆酒;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朗姆潘趣酒; 尼瓦（以甘蔗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朗姆酒</t>
    </r>
  </si>
  <si>
    <r>
      <t>川香盈 酒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</si>
  <si>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上海川香盈酒</t>
    </r>
    <r>
      <rPr>
        <sz val="11"/>
        <color theme="1"/>
        <rFont val="ＭＳ Ｐゴシック"/>
        <family val="3"/>
        <charset val="134"/>
        <scheme val="minor"/>
      </rPr>
      <t>业贸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</si>
  <si>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</si>
  <si>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仰韶陶粉</t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</si>
  <si>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葡萄酒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</si>
  <si>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师红</t>
    </r>
    <r>
      <rPr>
        <sz val="11"/>
        <color theme="1"/>
        <rFont val="ＭＳ Ｐゴシック"/>
        <family val="3"/>
        <charset val="128"/>
        <scheme val="minor"/>
      </rPr>
      <t>雕</t>
    </r>
  </si>
  <si>
    <r>
      <t>章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忠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</si>
  <si>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清酒（日本米酒）; 果酒（含酒精）</t>
    </r>
  </si>
  <si>
    <t>岑雅酒庄</t>
  </si>
  <si>
    <r>
      <t>许</t>
    </r>
    <r>
      <rPr>
        <sz val="11"/>
        <color theme="1"/>
        <rFont val="ＭＳ Ｐゴシック"/>
        <family val="3"/>
        <charset val="128"/>
        <scheme val="minor"/>
      </rPr>
      <t>文涛</t>
    </r>
  </si>
  <si>
    <r>
      <t>白酒;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佐餐酒; 果酒（含酒精）;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</si>
  <si>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r>
      <t>迪芬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相思</t>
    </r>
  </si>
  <si>
    <r>
      <t>北京派</t>
    </r>
    <r>
      <rPr>
        <sz val="11"/>
        <color theme="1"/>
        <rFont val="ＭＳ Ｐゴシック"/>
        <family val="3"/>
        <charset val="134"/>
        <scheme val="minor"/>
      </rPr>
      <t>对</t>
    </r>
    <r>
      <rPr>
        <sz val="11"/>
        <color theme="1"/>
        <rFont val="ＭＳ Ｐゴシック"/>
        <family val="3"/>
        <charset val="128"/>
        <scheme val="minor"/>
      </rPr>
      <t>家商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</si>
  <si>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果酒（含酒精）; 清酒（日本米酒）;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</t>
    </r>
  </si>
  <si>
    <t>ICE POINT 冰点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</si>
  <si>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冰点酒庄有限公司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</si>
  <si>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葡萄酒; 梅酒; 清酒; 白酒; 青梅酒;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</si>
  <si>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t>森杉之印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</si>
  <si>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江公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山泉酒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</si>
  <si>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果酒; 米酒; 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</si>
  <si>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洞</t>
    </r>
    <r>
      <rPr>
        <sz val="11"/>
        <color theme="1"/>
        <rFont val="ＭＳ Ｐゴシック"/>
        <family val="3"/>
        <charset val="134"/>
        <scheme val="minor"/>
      </rPr>
      <t>远见</t>
    </r>
    <r>
      <rPr>
        <sz val="11"/>
        <color theme="1"/>
        <rFont val="ＭＳ Ｐゴシック"/>
        <family val="3"/>
        <charset val="128"/>
        <scheme val="minor"/>
      </rPr>
      <t>明</t>
    </r>
  </si>
  <si>
    <t>廖玉山</t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</si>
  <si>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高粱酒; 食用酒精; 白酒; 葡萄酒; 米酒; 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</si>
  <si>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云水</t>
    </r>
    <r>
      <rPr>
        <sz val="11"/>
        <color theme="1"/>
        <rFont val="ＭＳ Ｐゴシック"/>
        <family val="3"/>
        <charset val="134"/>
        <scheme val="minor"/>
      </rPr>
      <t>谣</t>
    </r>
    <r>
      <rPr>
        <sz val="11"/>
        <color theme="1"/>
        <rFont val="ＭＳ Ｐゴシック"/>
        <family val="3"/>
        <charset val="128"/>
        <scheme val="minor"/>
      </rPr>
      <t>老</t>
    </r>
    <r>
      <rPr>
        <sz val="11"/>
        <color theme="1"/>
        <rFont val="ＭＳ Ｐゴシック"/>
        <family val="3"/>
        <charset val="134"/>
        <scheme val="minor"/>
      </rPr>
      <t>铁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</si>
  <si>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四行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</si>
  <si>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蜂蜜酒;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果酒（含酒精）; 葡萄酒</t>
    </r>
  </si>
  <si>
    <r>
      <t>樊</t>
    </r>
    <r>
      <rPr>
        <sz val="11"/>
        <color theme="1"/>
        <rFont val="ＭＳ Ｐゴシック"/>
        <family val="3"/>
        <charset val="134"/>
        <scheme val="minor"/>
      </rPr>
      <t>哙义</t>
    </r>
    <r>
      <rPr>
        <sz val="11"/>
        <color theme="1"/>
        <rFont val="ＭＳ Ｐゴシック"/>
        <family val="3"/>
        <charset val="128"/>
        <scheme val="minor"/>
      </rPr>
      <t>酒</t>
    </r>
  </si>
  <si>
    <t>雷超端</t>
  </si>
  <si>
    <r>
      <t>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果酒（含酒精）; 蜂蜜酒</t>
    </r>
  </si>
  <si>
    <t>醉八百里秦川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</si>
  <si>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西星光味道餐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</si>
  <si>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汽酒; 米酒;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</t>
    </r>
  </si>
  <si>
    <r>
      <t>谦</t>
    </r>
    <r>
      <rPr>
        <sz val="11"/>
        <color theme="1"/>
        <rFont val="ＭＳ Ｐゴシック"/>
        <family val="3"/>
        <charset val="128"/>
        <scheme val="minor"/>
      </rPr>
      <t>泰福味堂</t>
    </r>
  </si>
  <si>
    <r>
      <t>深圳福味堂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食文化管理有限公司</t>
    </r>
  </si>
  <si>
    <r>
      <t xml:space="preserve">果酒（含酒精）; 利口酒;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青稞酒; 薄荷酒; 清酒; 米酒</t>
    </r>
  </si>
  <si>
    <t>JIUGUI</t>
  </si>
  <si>
    <t>酒鬼酒股份有限公司</t>
  </si>
  <si>
    <r>
      <t xml:space="preserve">高粱酒;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米酒; 清酒; 甜酒; 果酒</t>
    </r>
  </si>
  <si>
    <t>中原沙台</t>
  </si>
  <si>
    <r>
      <t>汽酒; 清酒; 烈酒; 清酒（日本米酒）; 伏特加酒; 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露酒; 白酒; 朗姆酒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</si>
  <si>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运丰登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</si>
  <si>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清酒; 黄酒; 威士忌; 果酒（含酒精）; 葡萄酒;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</si>
  <si>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上海壁仞科技股份有限公司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</si>
  <si>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威士忌; 伏特加酒;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</t>
    </r>
  </si>
  <si>
    <t>LOONGCHARLESGE</t>
  </si>
  <si>
    <t>杭州英明向太多媒体有限公司</t>
  </si>
  <si>
    <r>
      <t>果酒（含酒精）; 白酒; 佐餐酒;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米酒</t>
    </r>
  </si>
  <si>
    <t>LOONGCHARLESBRO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</si>
  <si>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佐餐酒; 利口酒; 葡萄酒; 开胃酒; 米酒;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</t>
    </r>
  </si>
  <si>
    <t>婆汐</t>
  </si>
  <si>
    <r>
      <t>黄山市黄山区新太平旅游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</si>
  <si>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果酒; 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白酒</t>
    </r>
  </si>
  <si>
    <r>
      <t>单车电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</si>
  <si>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成都耀之宸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</si>
  <si>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</si>
  <si>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奇甜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</si>
  <si>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海南奇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笋投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</si>
  <si>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含酒精的气泡水;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薄荷酒; 黄酒; 伏特加酒; 葡萄酒; 食用酒精;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</si>
  <si>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芝糯小清</t>
  </si>
  <si>
    <r>
      <t>进贤</t>
    </r>
    <r>
      <rPr>
        <sz val="11"/>
        <color theme="1"/>
        <rFont val="ＭＳ Ｐゴシック"/>
        <family val="3"/>
        <charset val="128"/>
        <scheme val="minor"/>
      </rPr>
      <t>梦洋企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</si>
  <si>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开胃酒; 黄酒; 白酒; 果酒（含酒精）; 清酒;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柑香酒; 米酒</t>
    </r>
  </si>
  <si>
    <t>帛席王子</t>
  </si>
  <si>
    <r>
      <t>鲍</t>
    </r>
    <r>
      <rPr>
        <sz val="11"/>
        <color theme="1"/>
        <rFont val="ＭＳ Ｐゴシック"/>
        <family val="3"/>
        <charset val="128"/>
        <scheme val="minor"/>
      </rPr>
      <t>秀海</t>
    </r>
  </si>
  <si>
    <r>
      <t>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佐餐酒; 蒸煮提取物（利口酒和烈酒）;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</t>
    </r>
  </si>
  <si>
    <t>年份保府</t>
  </si>
  <si>
    <r>
      <t>保定市玖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</si>
  <si>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</t>
    </r>
  </si>
  <si>
    <r>
      <t>帝尊玉</t>
    </r>
    <r>
      <rPr>
        <sz val="11"/>
        <color theme="1"/>
        <rFont val="ＭＳ Ｐゴシック"/>
        <family val="3"/>
        <charset val="134"/>
        <scheme val="minor"/>
      </rPr>
      <t>玺</t>
    </r>
  </si>
  <si>
    <r>
      <t>黎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</si>
  <si>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>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青梅酒;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</si>
  <si>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南岳心愿之露</t>
  </si>
  <si>
    <r>
      <t>邹</t>
    </r>
    <r>
      <rPr>
        <sz val="11"/>
        <color theme="1"/>
        <rFont val="ＭＳ Ｐゴシック"/>
        <family val="3"/>
        <charset val="128"/>
        <scheme val="minor"/>
      </rPr>
      <t>肇睿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</si>
  <si>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果酒（含酒精）; 米酒; 白酒; 葡萄酒</t>
    </r>
  </si>
  <si>
    <r>
      <t>沧纳</t>
    </r>
    <r>
      <rPr>
        <sz val="11"/>
        <color theme="1"/>
        <rFont val="ＭＳ Ｐゴシック"/>
        <family val="3"/>
        <charset val="128"/>
        <scheme val="minor"/>
      </rPr>
      <t>百川</t>
    </r>
  </si>
  <si>
    <r>
      <t xml:space="preserve">米酒;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佐餐酒;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白酒</t>
    </r>
  </si>
  <si>
    <r>
      <t>赋</t>
    </r>
    <r>
      <rPr>
        <sz val="11"/>
        <color theme="1"/>
        <rFont val="ＭＳ Ｐゴシック"/>
        <family val="3"/>
        <charset val="128"/>
        <scheme val="minor"/>
      </rPr>
      <t>能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</si>
  <si>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州仁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天下文化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</si>
  <si>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果酒（含酒精）; 开胃酒; 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白酒;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梅酒</t>
    </r>
  </si>
  <si>
    <r>
      <t>走䉼</t>
    </r>
    <r>
      <rPr>
        <sz val="11"/>
        <color theme="1"/>
        <rFont val="ＭＳ Ｐゴシック"/>
        <family val="3"/>
        <charset val="134"/>
        <scheme val="minor"/>
      </rPr>
      <t>贰场涧</t>
    </r>
  </si>
  <si>
    <t>王鑫煜</t>
  </si>
  <si>
    <r>
      <t xml:space="preserve">薄荷酒; 白酒; 威士忌;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餐后酒（利口酒和烈酒）; 葡萄酒</t>
    </r>
  </si>
  <si>
    <r>
      <t>书</t>
    </r>
    <r>
      <rPr>
        <sz val="11"/>
        <color theme="1"/>
        <rFont val="ＭＳ Ｐゴシック"/>
        <family val="3"/>
        <charset val="128"/>
        <scheme val="minor"/>
      </rPr>
      <t>画</t>
    </r>
    <r>
      <rPr>
        <sz val="11"/>
        <color theme="1"/>
        <rFont val="ＭＳ Ｐゴシック"/>
        <family val="3"/>
        <charset val="134"/>
        <scheme val="minor"/>
      </rPr>
      <t>诗</t>
    </r>
    <r>
      <rPr>
        <sz val="11"/>
        <color theme="1"/>
        <rFont val="ＭＳ Ｐゴシック"/>
        <family val="3"/>
        <charset val="128"/>
        <scheme val="minor"/>
      </rPr>
      <t>仙</t>
    </r>
  </si>
  <si>
    <t>段敏</t>
  </si>
  <si>
    <r>
      <t>威士忌;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</si>
  <si>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妍冰</t>
    </r>
  </si>
  <si>
    <r>
      <t>高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</si>
  <si>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尼瓦（以甘蔗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</si>
  <si>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才承千秋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</si>
  <si>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食用酒精; 佐餐酒; 蒸煮提取物（利口酒和烈酒）;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</t>
    </r>
  </si>
  <si>
    <t>良慕川香</t>
  </si>
  <si>
    <r>
      <t>万大科技（四川）集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</si>
  <si>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</si>
  <si>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善己</t>
    </r>
    <r>
      <rPr>
        <sz val="11"/>
        <color theme="1"/>
        <rFont val="ＭＳ Ｐゴシック"/>
        <family val="3"/>
        <charset val="134"/>
        <scheme val="minor"/>
      </rPr>
      <t>宽</t>
    </r>
    <r>
      <rPr>
        <sz val="11"/>
        <color theme="1"/>
        <rFont val="ＭＳ Ｐゴシック"/>
        <family val="3"/>
        <charset val="128"/>
        <scheme val="minor"/>
      </rPr>
      <t>人</t>
    </r>
  </si>
  <si>
    <t>包弓</t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</si>
  <si>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白干酒（中国白酒）;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黄酒; 白酒</t>
    </r>
  </si>
  <si>
    <t>潮米星面</t>
  </si>
  <si>
    <t>詹岳彬</t>
  </si>
  <si>
    <r>
      <t>白酒; 果酒; 烈酒; 黄酒; 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米酒; 佐餐酒; 葡萄酒</t>
    </r>
  </si>
  <si>
    <r>
      <t>靖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</si>
  <si>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金波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</si>
  <si>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</si>
  <si>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荷器生香</t>
  </si>
  <si>
    <r>
      <t>上海勐堂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</si>
  <si>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梅酒; 米酒; 黄酒; 果酒; 白酒; 葡萄酒; 青梅酒; 威士忌; 高粱酒;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</si>
  <si>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谭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铂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</si>
  <si>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贺</t>
    </r>
  </si>
  <si>
    <r>
      <t xml:space="preserve">米酒;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威士忌; 果酒（含酒精）</t>
    </r>
  </si>
  <si>
    <r>
      <t>耕朴憨</t>
    </r>
    <r>
      <rPr>
        <sz val="11"/>
        <color theme="1"/>
        <rFont val="ＭＳ Ｐゴシック"/>
        <family val="3"/>
        <charset val="134"/>
        <scheme val="minor"/>
      </rPr>
      <t>农</t>
    </r>
  </si>
  <si>
    <r>
      <t>湖南欧迪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</si>
  <si>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</si>
  <si>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炁</t>
    </r>
    <r>
      <rPr>
        <sz val="11"/>
        <color theme="1"/>
        <rFont val="ＭＳ Ｐゴシック"/>
        <family val="3"/>
        <charset val="134"/>
        <scheme val="minor"/>
      </rPr>
      <t>贞</t>
    </r>
    <r>
      <rPr>
        <sz val="11"/>
        <color theme="1"/>
        <rFont val="ＭＳ Ｐゴシック"/>
        <family val="3"/>
        <charset val="128"/>
        <scheme val="minor"/>
      </rPr>
      <t>道和香</t>
    </r>
  </si>
  <si>
    <r>
      <t>圣坤和合（北京）文化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</si>
  <si>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黄酒</t>
    </r>
  </si>
  <si>
    <t>陶粉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</si>
  <si>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</si>
  <si>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勃祖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</si>
  <si>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蒸煮提取物（利口酒和烈酒）;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佐餐酒; 米酒; 果酒（含酒精）; 葡萄酒</t>
    </r>
  </si>
  <si>
    <t>黔汁源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</si>
  <si>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州黔汁源特色食品有限公司</t>
    </r>
  </si>
  <si>
    <r>
      <t xml:space="preserve">葡萄酒; 果酒（含酒精）; 蜂蜜酒; 米酒; 高粱酒;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</t>
    </r>
  </si>
  <si>
    <t>衡山心愿之露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</si>
  <si>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</si>
  <si>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苗壮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古酒</t>
    </r>
  </si>
  <si>
    <t>苗壮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</si>
  <si>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利口酒; 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黄酒; 葡萄酒; 白酒</t>
    </r>
  </si>
  <si>
    <t>河南益恒源生物科技有限公司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</si>
  <si>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</si>
  <si>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大墩岭</t>
  </si>
  <si>
    <r>
      <t>青海青品源生物科技开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</si>
  <si>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开胃酒; 蒸煮提取物（利口酒和烈酒）; 果酒（含酒精）; 白酒; 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杜松子酒</t>
    </r>
  </si>
  <si>
    <r>
      <t>辅</t>
    </r>
    <r>
      <rPr>
        <sz val="11"/>
        <color theme="1"/>
        <rFont val="ＭＳ Ｐゴシック"/>
        <family val="3"/>
        <charset val="128"/>
        <scheme val="minor"/>
      </rPr>
      <t>佐名</t>
    </r>
  </si>
  <si>
    <r>
      <t>泉州江小</t>
    </r>
    <r>
      <rPr>
        <sz val="11"/>
        <color theme="1"/>
        <rFont val="ＭＳ Ｐゴシック"/>
        <family val="3"/>
        <charset val="134"/>
        <scheme val="minor"/>
      </rPr>
      <t>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</si>
  <si>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威士忌;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薄荷酒;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</si>
  <si>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炁炁和香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</si>
  <si>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</si>
  <si>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草</t>
    </r>
    <r>
      <rPr>
        <sz val="11"/>
        <color theme="1"/>
        <rFont val="ＭＳ Ｐゴシック"/>
        <family val="3"/>
        <charset val="134"/>
        <scheme val="minor"/>
      </rPr>
      <t>问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</si>
  <si>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御台酒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</si>
  <si>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开胃酒; 果酒（含酒精）; 利口酒;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</si>
  <si>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润</t>
    </r>
    <r>
      <rPr>
        <sz val="11"/>
        <color theme="1"/>
        <rFont val="ＭＳ Ｐゴシック"/>
        <family val="3"/>
        <charset val="128"/>
        <scheme val="minor"/>
      </rPr>
      <t>佳威</t>
    </r>
  </si>
  <si>
    <t>覃朗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</si>
  <si>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</si>
  <si>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LAILIXIONG</t>
  </si>
  <si>
    <r>
      <t>长</t>
    </r>
    <r>
      <rPr>
        <sz val="11"/>
        <color theme="1"/>
        <rFont val="ＭＳ Ｐゴシック"/>
        <family val="3"/>
        <charset val="128"/>
        <scheme val="minor"/>
      </rPr>
      <t>沙港大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</si>
  <si>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</t>
    </r>
  </si>
  <si>
    <t>遵逍遥 酒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</si>
  <si>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</si>
  <si>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旺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</si>
  <si>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青稞酒; 食用酒精;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</si>
  <si>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r>
      <t>泥佰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</si>
  <si>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周</t>
    </r>
    <r>
      <rPr>
        <sz val="11"/>
        <color theme="1"/>
        <rFont val="ＭＳ Ｐゴシック"/>
        <family val="3"/>
        <charset val="134"/>
        <scheme val="minor"/>
      </rPr>
      <t>润发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</si>
  <si>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酸酒（低等葡萄酒）; 黄酒;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</si>
  <si>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豪廷世佳（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水）供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</si>
  <si>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葡萄酒; 米酒; 白干酒（中国白酒）; 白酒</t>
    </r>
  </si>
  <si>
    <r>
      <t>啸</t>
    </r>
    <r>
      <rPr>
        <sz val="11"/>
        <color theme="1"/>
        <rFont val="ＭＳ Ｐゴシック"/>
        <family val="3"/>
        <charset val="128"/>
        <scheme val="minor"/>
      </rPr>
      <t>吟称山</t>
    </r>
  </si>
  <si>
    <r>
      <t>绍兴</t>
    </r>
    <r>
      <rPr>
        <sz val="11"/>
        <color theme="1"/>
        <rFont val="ＭＳ Ｐゴシック"/>
        <family val="3"/>
        <charset val="128"/>
        <scheme val="minor"/>
      </rPr>
      <t>市金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壹品网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</si>
  <si>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汽酒; 起泡白葡萄酒;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果酒（含酒精）;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葡萄酒</t>
    </r>
  </si>
  <si>
    <t>BIREN LIFE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</si>
  <si>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伏特加酒; 葡萄酒;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</si>
  <si>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开胃酒;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</si>
  <si>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丽</t>
    </r>
    <r>
      <rPr>
        <sz val="11"/>
        <color theme="1"/>
        <rFont val="ＭＳ Ｐゴシック"/>
        <family val="3"/>
        <charset val="128"/>
        <scheme val="minor"/>
      </rPr>
      <t>月湖岸</t>
    </r>
  </si>
  <si>
    <r>
      <t>丽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利酒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</si>
  <si>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葡萄酒; 米酒; 果酒;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黄酒; 烈酒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</si>
  <si>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皇佰草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</si>
  <si>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州荣太和枸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</si>
  <si>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白酒; 果酒;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</t>
    </r>
  </si>
  <si>
    <r>
      <t>山庄皇家珍</t>
    </r>
    <r>
      <rPr>
        <sz val="11"/>
        <color theme="1"/>
        <rFont val="ＭＳ Ｐゴシック"/>
        <family val="3"/>
        <charset val="134"/>
        <scheme val="minor"/>
      </rPr>
      <t>酿</t>
    </r>
  </si>
  <si>
    <t>河北山庄老酒股份有限公司</t>
  </si>
  <si>
    <r>
      <t>食用酒精; 白酒; 蒸煮提取物（利口酒和烈酒）;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</si>
  <si>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北茗</t>
  </si>
  <si>
    <t>郭丹</t>
  </si>
  <si>
    <r>
      <t>果酒（含酒精）; 开胃酒; 苹果酒;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</si>
  <si>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玫荷</t>
    </r>
    <r>
      <rPr>
        <sz val="11"/>
        <color theme="1"/>
        <rFont val="ＭＳ Ｐゴシック"/>
        <family val="3"/>
        <charset val="134"/>
        <scheme val="minor"/>
      </rPr>
      <t>纤饮</t>
    </r>
  </si>
  <si>
    <r>
      <t>济</t>
    </r>
    <r>
      <rPr>
        <sz val="11"/>
        <color theme="1"/>
        <rFont val="ＭＳ Ｐゴシック"/>
        <family val="3"/>
        <charset val="128"/>
        <scheme val="minor"/>
      </rPr>
      <t>南物特棒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</si>
  <si>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</t>
    </r>
  </si>
  <si>
    <t>BAIRUI</t>
  </si>
  <si>
    <r>
      <t>长</t>
    </r>
    <r>
      <rPr>
        <sz val="11"/>
        <color theme="1"/>
        <rFont val="ＭＳ Ｐゴシック"/>
        <family val="3"/>
        <charset val="128"/>
        <scheme val="minor"/>
      </rPr>
      <t>春百瑞葡萄酒厂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</si>
  <si>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伏特加酒;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莓酒; 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</si>
  <si>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蒂醺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</si>
  <si>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威士忌; 清酒（日本米酒）;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</si>
  <si>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悟鼎</t>
  </si>
  <si>
    <t>郭月光</t>
  </si>
  <si>
    <r>
      <t>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高粱酒;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青稞酒</t>
    </r>
  </si>
  <si>
    <r>
      <t>丽</t>
    </r>
    <r>
      <rPr>
        <sz val="11"/>
        <color theme="1"/>
        <rFont val="ＭＳ Ｐゴシック"/>
        <family val="3"/>
        <charset val="128"/>
        <scheme val="minor"/>
      </rPr>
      <t>月湖</t>
    </r>
  </si>
  <si>
    <r>
      <t xml:space="preserve">白酒; 白干酒（中国白酒）; 葡萄酒; 黄酒; 清酒; 烈酒;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</si>
  <si>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蓉城青年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</si>
  <si>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京酒店管理有限公司</t>
    </r>
  </si>
  <si>
    <r>
      <t xml:space="preserve">果酒; 开胃酒; 含酒精的气泡水; 甜酒;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</si>
  <si>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呐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</si>
  <si>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岛华</t>
    </r>
    <r>
      <rPr>
        <sz val="11"/>
        <color theme="1"/>
        <rFont val="ＭＳ Ｐゴシック"/>
        <family val="3"/>
        <charset val="128"/>
        <scheme val="minor"/>
      </rPr>
      <t>信行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</si>
  <si>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果酒（含酒精）; 薄荷酒; 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米酒</t>
    </r>
  </si>
  <si>
    <r>
      <t>富神·</t>
    </r>
    <r>
      <rPr>
        <sz val="11"/>
        <color theme="1"/>
        <rFont val="ＭＳ Ｐゴシック"/>
        <family val="3"/>
        <charset val="134"/>
        <scheme val="minor"/>
      </rPr>
      <t>蓝钻</t>
    </r>
  </si>
  <si>
    <r>
      <t>酒神酒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</si>
  <si>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食用酒精;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</si>
  <si>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太平路</t>
  </si>
  <si>
    <r>
      <t>张</t>
    </r>
    <r>
      <rPr>
        <sz val="11"/>
        <color theme="1"/>
        <rFont val="ＭＳ Ｐゴシック"/>
        <family val="3"/>
        <charset val="128"/>
        <scheme val="minor"/>
      </rPr>
      <t>珈宁</t>
    </r>
  </si>
  <si>
    <r>
      <t xml:space="preserve">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果酒（含酒精）; 薄荷酒; 苦味酒;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</si>
  <si>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赤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心</t>
    </r>
  </si>
  <si>
    <r>
      <t>米酒;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利口酒;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果酒</t>
    </r>
  </si>
  <si>
    <t>河山云</t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</si>
  <si>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蜂蜜酒;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</si>
  <si>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天朝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庄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</si>
  <si>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州千园同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</si>
  <si>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烈酒; 露酒;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高粱酒</t>
    </r>
  </si>
  <si>
    <t>葡萄岩</t>
  </si>
  <si>
    <t>彭世灵</t>
  </si>
  <si>
    <r>
      <t>葡萄酒; 葡萄汽酒;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不起泡葡萄酒; 白葡萄酒;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加烈葡萄酒; 加香料的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</si>
  <si>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思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金粮春</t>
    </r>
  </si>
  <si>
    <r>
      <t>吉林省金粮春酒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</si>
  <si>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白干酒（中国白酒）; 高粱酒; 果酒（含酒精）; 刺五加酒;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</si>
  <si>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沪滇情</t>
  </si>
  <si>
    <r>
      <t>滇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配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（上海）有限公司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</si>
  <si>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米酒; 葡萄酒</t>
    </r>
  </si>
  <si>
    <r>
      <t>卧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仙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</si>
  <si>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升万</t>
    </r>
  </si>
  <si>
    <r>
      <t>白酒; 葡萄酒; 果酒（含酒精）; 开胃酒;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</si>
  <si>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枫烁</t>
  </si>
  <si>
    <r>
      <t>新星市</t>
    </r>
    <r>
      <rPr>
        <sz val="11"/>
        <color theme="1"/>
        <rFont val="ＭＳ Ｐゴシック"/>
        <family val="3"/>
        <charset val="134"/>
        <scheme val="minor"/>
      </rPr>
      <t>枫烁</t>
    </r>
    <r>
      <rPr>
        <sz val="11"/>
        <color theme="1"/>
        <rFont val="ＭＳ Ｐゴシック"/>
        <family val="3"/>
        <charset val="128"/>
        <scheme val="minor"/>
      </rPr>
      <t>酒店管理有限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</si>
  <si>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</si>
  <si>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爱尔刚</t>
  </si>
  <si>
    <t>赵丽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</si>
  <si>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蒸煮提取物（利口酒和烈酒）; 葡萄酒;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</t>
    </r>
  </si>
  <si>
    <t>KV MORGAN</t>
  </si>
  <si>
    <r>
      <t>蓝</t>
    </r>
    <r>
      <rPr>
        <sz val="11"/>
        <color theme="1"/>
        <rFont val="ＭＳ Ｐゴシック"/>
        <family val="3"/>
        <charset val="128"/>
        <scheme val="minor"/>
      </rPr>
      <t>黛酩悦（福州）国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</si>
  <si>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白酒; 葡萄酒; 利口酒</t>
    </r>
  </si>
  <si>
    <r>
      <t>翻生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奇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</si>
  <si>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州翻生酒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</si>
  <si>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高粱酒; 白酒</t>
  </si>
  <si>
    <t>仲本倍健</t>
  </si>
  <si>
    <r>
      <t>韩</t>
    </r>
    <r>
      <rPr>
        <sz val="11"/>
        <color theme="1"/>
        <rFont val="ＭＳ Ｐゴシック"/>
        <family val="3"/>
        <charset val="128"/>
        <scheme val="minor"/>
      </rPr>
      <t>吉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</si>
  <si>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 xml:space="preserve">果酒（含酒精）; 青稞酒; 白酒; 高粱酒;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</si>
  <si>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钱</t>
    </r>
    <r>
      <rPr>
        <sz val="11"/>
        <color theme="1"/>
        <rFont val="ＭＳ Ｐゴシック"/>
        <family val="3"/>
        <charset val="128"/>
        <scheme val="minor"/>
      </rPr>
      <t>江湖</t>
    </r>
  </si>
  <si>
    <r>
      <t>白酒; 利口酒; 白干酒（中国白酒）; 果酒（含酒精）;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</si>
  <si>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澄好</t>
  </si>
  <si>
    <r>
      <t>阮茂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</si>
  <si>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清酒（日本米酒）; 葡萄酒; 黄酒; 果酒</t>
    </r>
  </si>
  <si>
    <t>辰来</t>
  </si>
  <si>
    <r>
      <t>吉林辰来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</si>
  <si>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烈酒;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白葡萄酒; 葡萄酒;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</si>
  <si>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破惑</t>
  </si>
  <si>
    <t>王新宣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</si>
  <si>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葡萄酒;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</si>
  <si>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巡山</t>
    </r>
    <r>
      <rPr>
        <sz val="11"/>
        <color theme="1"/>
        <rFont val="ＭＳ Ｐゴシック"/>
        <family val="3"/>
        <charset val="134"/>
        <scheme val="minor"/>
      </rPr>
      <t>时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</si>
  <si>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蜂蜜酒; 葡萄酒;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</si>
  <si>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人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朝暮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</si>
  <si>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葡萄酒; 蜂蜜酒;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</si>
  <si>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九公</t>
    </r>
    <r>
      <rPr>
        <sz val="11"/>
        <color theme="1"/>
        <rFont val="ＭＳ Ｐゴシック"/>
        <family val="3"/>
        <charset val="134"/>
        <scheme val="minor"/>
      </rPr>
      <t>赞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</si>
  <si>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州季匠台酒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</si>
  <si>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青稞酒; 开胃酒; 黄酒; 米酒; 杜松子酒; 汽酒; 果酒（含酒精）</t>
    </r>
  </si>
  <si>
    <t>潭上花开</t>
  </si>
  <si>
    <r>
      <t>堡巴欧国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易河北有限公司</t>
    </r>
  </si>
  <si>
    <r>
      <t>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</si>
  <si>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德辞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</si>
  <si>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</si>
  <si>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天助恩佑</t>
  </si>
  <si>
    <r>
      <t>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葡萄酒; 白酒; 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</si>
  <si>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太本</t>
  </si>
  <si>
    <r>
      <t>绍兴岁</t>
    </r>
    <r>
      <rPr>
        <sz val="11"/>
        <color theme="1"/>
        <rFont val="ＭＳ Ｐゴシック"/>
        <family val="3"/>
        <charset val="128"/>
        <scheme val="minor"/>
      </rPr>
      <t>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</si>
  <si>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米酒; 果酒（含酒精）; 露酒; 黄酒; 白酒; 清酒</t>
  </si>
  <si>
    <t>栗城吟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</si>
  <si>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利口酒;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果酒（含酒精）</t>
    </r>
  </si>
  <si>
    <t>藏品福</t>
  </si>
  <si>
    <r>
      <t>酷峰集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</si>
  <si>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</si>
  <si>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龙马问</t>
    </r>
    <r>
      <rPr>
        <sz val="11"/>
        <color theme="1"/>
        <rFont val="ＭＳ Ｐゴシック"/>
        <family val="3"/>
        <charset val="128"/>
        <scheme val="minor"/>
      </rPr>
      <t>道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</si>
  <si>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蜂蜜酒;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</t>
    </r>
  </si>
  <si>
    <r>
      <t>光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印迹</t>
    </r>
  </si>
  <si>
    <r>
      <t xml:space="preserve">果酒（含酒精）; 葡萄酒;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</si>
  <si>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羁绊</t>
    </r>
    <r>
      <rPr>
        <sz val="11"/>
        <color theme="1"/>
        <rFont val="ＭＳ Ｐゴシック"/>
        <family val="3"/>
        <charset val="128"/>
        <scheme val="minor"/>
      </rPr>
      <t>者</t>
    </r>
  </si>
  <si>
    <r>
      <t xml:space="preserve">果酒（含酒精）; 葡萄酒; 清酒（日本米酒）;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蜂蜜酒</t>
    </r>
  </si>
  <si>
    <t>喜提好韵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</si>
  <si>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蜂蜜酒;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</si>
  <si>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满贵</t>
    </r>
  </si>
  <si>
    <t>陈锋</t>
  </si>
  <si>
    <r>
      <t>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果酒（含酒精）; 清酒（日本米酒）;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</si>
  <si>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莱梁口</t>
  </si>
  <si>
    <t>富力食品有限公司</t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</si>
  <si>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黄酒</t>
    </r>
  </si>
  <si>
    <r>
      <t>酒吾</t>
    </r>
    <r>
      <rPr>
        <sz val="11"/>
        <color theme="1"/>
        <rFont val="ＭＳ Ｐゴシック"/>
        <family val="3"/>
        <charset val="134"/>
        <scheme val="minor"/>
      </rPr>
      <t>铭</t>
    </r>
    <r>
      <rPr>
        <sz val="11"/>
        <color theme="1"/>
        <rFont val="ＭＳ Ｐゴシック"/>
        <family val="3"/>
        <charset val="128"/>
        <scheme val="minor"/>
      </rPr>
      <t>匠</t>
    </r>
  </si>
  <si>
    <r>
      <t xml:space="preserve">蜂蜜酒; 白酒; 果酒（含酒精）;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</si>
  <si>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庆</t>
    </r>
    <r>
      <rPr>
        <sz val="11"/>
        <color theme="1"/>
        <rFont val="ＭＳ Ｐゴシック"/>
        <family val="3"/>
        <charset val="128"/>
        <scheme val="minor"/>
      </rPr>
      <t>丰桔融</t>
    </r>
  </si>
  <si>
    <r>
      <t xml:space="preserve">青梅酒; 苹果酒;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柑香酒;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</si>
  <si>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黔中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益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</si>
  <si>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</si>
  <si>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食用酒精;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青稞酒; 白酒</t>
    </r>
  </si>
  <si>
    <r>
      <t>漳州宗唐酒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</si>
  <si>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</si>
  <si>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皇小九600年的</t>
    </r>
    <r>
      <rPr>
        <sz val="11"/>
        <color theme="1"/>
        <rFont val="ＭＳ Ｐゴシック"/>
        <family val="3"/>
        <charset val="134"/>
        <scheme val="minor"/>
      </rPr>
      <t>记忆</t>
    </r>
    <r>
      <rPr>
        <sz val="11"/>
        <color theme="1"/>
        <rFont val="ＭＳ Ｐゴシック"/>
        <family val="3"/>
        <charset val="128"/>
        <scheme val="minor"/>
      </rPr>
      <t xml:space="preserve"> HAUNG XIAO JIU LIU BAI NIAN DE JI YI</t>
    </r>
  </si>
  <si>
    <r>
      <t>天津天宝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</si>
  <si>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</si>
  <si>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经</t>
    </r>
    <r>
      <rPr>
        <sz val="11"/>
        <color theme="1"/>
        <rFont val="ＭＳ Ｐゴシック"/>
        <family val="3"/>
        <charset val="128"/>
        <scheme val="minor"/>
      </rPr>
      <t>典吴窖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典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</si>
  <si>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州市吴家酒酒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</si>
  <si>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蒸煮提取物（利口酒和烈酒）; 米酒; 黄酒;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</t>
    </r>
  </si>
  <si>
    <t>曹老氿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</si>
  <si>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玉峡液酒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</si>
  <si>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青梅酒; 葡萄酒; 高粱酒;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烈酒;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</t>
    </r>
  </si>
  <si>
    <t>粮百尊</t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</si>
  <si>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</si>
  <si>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卓克基</t>
  </si>
  <si>
    <r>
      <t>马尔</t>
    </r>
    <r>
      <rPr>
        <sz val="11"/>
        <color theme="1"/>
        <rFont val="ＭＳ Ｐゴシック"/>
        <family val="3"/>
        <charset val="128"/>
        <scheme val="minor"/>
      </rPr>
      <t>康嘉</t>
    </r>
    <r>
      <rPr>
        <sz val="11"/>
        <color theme="1"/>
        <rFont val="ＭＳ Ｐゴシック"/>
        <family val="3"/>
        <charset val="134"/>
        <scheme val="minor"/>
      </rPr>
      <t>绒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</si>
  <si>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黄酒; 含酒精的气泡水; 汽酒; 高粱酒; 蒸煮提取物（利口酒和烈酒）; 青稞酒; 烈酒; 甜酒;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</si>
  <si>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动</t>
    </r>
    <r>
      <rPr>
        <sz val="11"/>
        <color theme="1"/>
        <rFont val="ＭＳ Ｐゴシック"/>
        <family val="3"/>
        <charset val="128"/>
        <scheme val="minor"/>
      </rPr>
      <t>十二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</si>
  <si>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颂尧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</si>
  <si>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青稞酒; 高粱酒;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白干酒（中国白酒）; 蒸煮提取物（利口酒和烈酒）; 清酒（日本米酒）;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利口酒</t>
    </r>
  </si>
  <si>
    <r>
      <t>庆</t>
    </r>
    <r>
      <rPr>
        <sz val="11"/>
        <color theme="1"/>
        <rFont val="ＭＳ Ｐゴシック"/>
        <family val="3"/>
        <charset val="128"/>
        <scheme val="minor"/>
      </rPr>
      <t>丰土桃醉</t>
    </r>
  </si>
  <si>
    <r>
      <t xml:space="preserve">柑香酒;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果酒（含酒精）; 苹果酒; 青梅酒;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</si>
  <si>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翥山岭</t>
  </si>
  <si>
    <r>
      <t>陈</t>
    </r>
    <r>
      <rPr>
        <sz val="11"/>
        <color theme="1"/>
        <rFont val="ＭＳ Ｐゴシック"/>
        <family val="3"/>
        <charset val="128"/>
        <scheme val="minor"/>
      </rPr>
      <t>昌******************</t>
    </r>
  </si>
  <si>
    <r>
      <t>亚</t>
    </r>
    <r>
      <rPr>
        <sz val="11"/>
        <color theme="1"/>
        <rFont val="ＭＳ Ｐゴシック"/>
        <family val="3"/>
        <charset val="128"/>
        <scheme val="minor"/>
      </rPr>
      <t>力酒; 开胃酒; 米酒; 清酒（日本米酒）; 白酒; 利口酒; 食用酒精;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</si>
  <si>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粒雨</t>
  </si>
  <si>
    <r>
      <t>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开胃酒;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</si>
  <si>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大造</t>
    </r>
    <r>
      <rPr>
        <sz val="11"/>
        <color theme="1"/>
        <rFont val="ＭＳ Ｐゴシック"/>
        <family val="3"/>
        <charset val="134"/>
        <scheme val="minor"/>
      </rPr>
      <t>狮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</si>
  <si>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梦野品牌策划有限公司</t>
    </r>
  </si>
  <si>
    <r>
      <t xml:space="preserve">果酒（含酒精）; 青梅酒;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清酒; 高粱酒; 米酒; 威士忌;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</si>
  <si>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科格莫</t>
  </si>
  <si>
    <r>
      <t>龚</t>
    </r>
    <r>
      <rPr>
        <sz val="11"/>
        <color theme="1"/>
        <rFont val="ＭＳ Ｐゴシック"/>
        <family val="3"/>
        <charset val="128"/>
        <scheme val="minor"/>
      </rPr>
      <t>中运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</si>
  <si>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葡萄酒;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</t>
    </r>
  </si>
  <si>
    <t>金六春</t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</si>
  <si>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大曲酒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</si>
  <si>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威士忌;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</t>
    </r>
  </si>
  <si>
    <r>
      <t>泗洪云鼎酒</t>
    </r>
    <r>
      <rPr>
        <sz val="11"/>
        <color theme="1"/>
        <rFont val="ＭＳ Ｐゴシック"/>
        <family val="3"/>
        <charset val="134"/>
        <scheme val="minor"/>
      </rPr>
      <t>业经营</t>
    </r>
    <r>
      <rPr>
        <sz val="11"/>
        <color theme="1"/>
        <rFont val="ＭＳ Ｐゴシック"/>
        <family val="3"/>
        <charset val="128"/>
        <scheme val="minor"/>
      </rPr>
      <t>部（个体工商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</si>
  <si>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米酒; 白酒</t>
    </r>
  </si>
  <si>
    <r>
      <t>泉石古</t>
    </r>
    <r>
      <rPr>
        <sz val="11"/>
        <color theme="1"/>
        <rFont val="ＭＳ Ｐゴシック"/>
        <family val="3"/>
        <charset val="134"/>
        <scheme val="minor"/>
      </rPr>
      <t>镇</t>
    </r>
  </si>
  <si>
    <r>
      <t>泉州昌盛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</si>
  <si>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汽酒; 白酒;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利口酒</t>
    </r>
  </si>
  <si>
    <r>
      <t>徽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福</t>
    </r>
  </si>
  <si>
    <r>
      <t>上海徽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叔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</si>
  <si>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果酒; 蒸煮提取物（利口酒和烈酒）; 葡萄酒; 米酒; 汽酒; 清酒</t>
    </r>
  </si>
  <si>
    <t>YEARSTORY</t>
  </si>
  <si>
    <r>
      <t>黄</t>
    </r>
    <r>
      <rPr>
        <sz val="11"/>
        <color theme="1"/>
        <rFont val="ＭＳ Ｐゴシック"/>
        <family val="3"/>
        <charset val="134"/>
        <scheme val="minor"/>
      </rPr>
      <t>钦</t>
    </r>
  </si>
  <si>
    <t>米酒; 开胃酒; 白酒; 甜酒; 食用酒精; 黄酒; 汽酒; 清酒; 葡萄酒; 果酒</t>
  </si>
  <si>
    <r>
      <t>合肥玉昆商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</si>
  <si>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</si>
  <si>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盐</t>
    </r>
    <r>
      <rPr>
        <sz val="11"/>
        <color theme="1"/>
        <rFont val="ＭＳ Ｐゴシック"/>
        <family val="3"/>
        <charset val="128"/>
        <scheme val="minor"/>
      </rPr>
      <t>小主</t>
    </r>
  </si>
  <si>
    <r>
      <t>盐</t>
    </r>
    <r>
      <rPr>
        <sz val="11"/>
        <color theme="1"/>
        <rFont val="ＭＳ Ｐゴシック"/>
        <family val="3"/>
        <charset val="128"/>
        <scheme val="minor"/>
      </rPr>
      <t>城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策</t>
    </r>
    <r>
      <rPr>
        <sz val="11"/>
        <color theme="1"/>
        <rFont val="ＭＳ Ｐゴシック"/>
        <family val="3"/>
        <charset val="134"/>
        <scheme val="minor"/>
      </rPr>
      <t>营销</t>
    </r>
    <r>
      <rPr>
        <sz val="11"/>
        <color theme="1"/>
        <rFont val="ＭＳ Ｐゴシック"/>
        <family val="3"/>
        <charset val="128"/>
        <scheme val="minor"/>
      </rPr>
      <t>策划有限公司</t>
    </r>
  </si>
  <si>
    <r>
      <t>顺</t>
    </r>
    <r>
      <rPr>
        <sz val="11"/>
        <color theme="1"/>
        <rFont val="ＭＳ Ｐゴシック"/>
        <family val="3"/>
        <charset val="128"/>
        <scheme val="minor"/>
      </rPr>
      <t>高</t>
    </r>
  </si>
  <si>
    <t>叶永高</t>
  </si>
  <si>
    <r>
      <t xml:space="preserve">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青稞酒; 果酒（含酒精）;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白酒</t>
    </r>
  </si>
  <si>
    <t>魏北魏家宴</t>
  </si>
  <si>
    <t>魏文海</t>
  </si>
  <si>
    <r>
      <t xml:space="preserve">清酒; 酸酒（低等葡萄酒）;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</si>
  <si>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伯</t>
    </r>
    <r>
      <rPr>
        <sz val="11"/>
        <color theme="1"/>
        <rFont val="ＭＳ Ｐゴシック"/>
        <family val="3"/>
        <charset val="134"/>
        <scheme val="minor"/>
      </rPr>
      <t>兴烧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</si>
  <si>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白酒; 米酒; 蒸煮提取物（利口酒和烈酒）; 佐餐酒;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</si>
  <si>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倍承千秋</t>
  </si>
  <si>
    <r>
      <t>郭</t>
    </r>
    <r>
      <rPr>
        <sz val="11"/>
        <color theme="1"/>
        <rFont val="ＭＳ Ｐゴシック"/>
        <family val="3"/>
        <charset val="134"/>
        <scheme val="minor"/>
      </rPr>
      <t>鹏帅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</si>
  <si>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佐餐酒; 白酒; 食用酒精</t>
    </r>
  </si>
  <si>
    <t>彼乾盛世</t>
  </si>
  <si>
    <r>
      <t xml:space="preserve">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佐餐酒; 果酒（含酒精）; 蒸煮提取物（利口酒和烈酒）; 葡萄酒</t>
    </r>
  </si>
  <si>
    <r>
      <t xml:space="preserve">皇小九 </t>
    </r>
    <r>
      <rPr>
        <sz val="11"/>
        <color theme="1"/>
        <rFont val="ＭＳ Ｐゴシック"/>
        <family val="3"/>
        <charset val="134"/>
        <scheme val="minor"/>
      </rPr>
      <t>贰</t>
    </r>
    <r>
      <rPr>
        <sz val="11"/>
        <color theme="1"/>
        <rFont val="ＭＳ Ｐゴシック"/>
        <family val="3"/>
        <charset val="128"/>
        <scheme val="minor"/>
      </rPr>
      <t>千年的</t>
    </r>
    <r>
      <rPr>
        <sz val="11"/>
        <color theme="1"/>
        <rFont val="ＭＳ Ｐゴシック"/>
        <family val="3"/>
        <charset val="134"/>
        <scheme val="minor"/>
      </rPr>
      <t>记忆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</si>
  <si>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</si>
  <si>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彼</t>
    </r>
    <r>
      <rPr>
        <sz val="11"/>
        <color theme="1"/>
        <rFont val="ＭＳ Ｐゴシック"/>
        <family val="3"/>
        <charset val="134"/>
        <scheme val="minor"/>
      </rPr>
      <t>兴烧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</si>
  <si>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米酒; 食用酒精; 佐餐酒;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葡萄酒;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</si>
  <si>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古秀才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</si>
  <si>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</si>
  <si>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谷品仙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</si>
  <si>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</si>
  <si>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皇小九 千年的</t>
    </r>
    <r>
      <rPr>
        <sz val="11"/>
        <color theme="1"/>
        <rFont val="ＭＳ Ｐゴシック"/>
        <family val="3"/>
        <charset val="134"/>
        <scheme val="minor"/>
      </rPr>
      <t>记忆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</si>
  <si>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黄酒</t>
    </r>
  </si>
  <si>
    <r>
      <t>莆</t>
    </r>
    <r>
      <rPr>
        <sz val="11"/>
        <color theme="1"/>
        <rFont val="ＭＳ Ｐゴシック"/>
        <family val="3"/>
        <charset val="134"/>
        <scheme val="minor"/>
      </rPr>
      <t>发</t>
    </r>
  </si>
  <si>
    <r>
      <t>威士忌;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汽酒; 清酒;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</si>
  <si>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赞</t>
    </r>
    <r>
      <rPr>
        <sz val="11"/>
        <color theme="1"/>
        <rFont val="ＭＳ Ｐゴシック"/>
        <family val="3"/>
        <charset val="128"/>
        <scheme val="minor"/>
      </rPr>
      <t>通</t>
    </r>
  </si>
  <si>
    <r>
      <t>邓东</t>
    </r>
    <r>
      <rPr>
        <sz val="11"/>
        <color theme="1"/>
        <rFont val="ＭＳ Ｐゴシック"/>
        <family val="3"/>
        <charset val="128"/>
        <scheme val="minor"/>
      </rPr>
      <t>旭</t>
    </r>
  </si>
  <si>
    <r>
      <t>开胃酒; 烈酒;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高粱酒;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米酒; 黄酒</t>
    </r>
  </si>
  <si>
    <r>
      <t>须</t>
    </r>
    <r>
      <rPr>
        <sz val="11"/>
        <color theme="1"/>
        <rFont val="ＭＳ Ｐゴシック"/>
        <family val="3"/>
        <charset val="128"/>
        <scheme val="minor"/>
      </rPr>
      <t>勤醉酒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</si>
  <si>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</si>
  <si>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威士忌;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</si>
  <si>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喜</t>
    </r>
    <r>
      <rPr>
        <sz val="11"/>
        <color theme="1"/>
        <rFont val="ＭＳ Ｐゴシック"/>
        <family val="3"/>
        <charset val="134"/>
        <scheme val="minor"/>
      </rPr>
      <t>贲贲</t>
    </r>
  </si>
  <si>
    <r>
      <t>郭常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</si>
  <si>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蒸煮提取物（利口酒和烈酒）</t>
    </r>
  </si>
  <si>
    <r>
      <t>钧</t>
    </r>
    <r>
      <rPr>
        <sz val="11"/>
        <color theme="1"/>
        <rFont val="ＭＳ Ｐゴシック"/>
        <family val="3"/>
        <charset val="128"/>
        <scheme val="minor"/>
      </rPr>
      <t>熙宝鼎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</si>
  <si>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州宝鼎商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</si>
  <si>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餐后酒（利口酒和烈酒）; 米酒; 白酒; 果酒（含酒精）</t>
    </r>
  </si>
  <si>
    <t>百尺台 BEACONTAI</t>
  </si>
  <si>
    <r>
      <t>白酒; 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</si>
  <si>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人海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</si>
  <si>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</si>
  <si>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t>民泰合宝</t>
  </si>
  <si>
    <r>
      <t>浙江民泰商</t>
    </r>
    <r>
      <rPr>
        <sz val="11"/>
        <color theme="1"/>
        <rFont val="ＭＳ Ｐゴシック"/>
        <family val="3"/>
        <charset val="134"/>
        <scheme val="minor"/>
      </rPr>
      <t>业银</t>
    </r>
    <r>
      <rPr>
        <sz val="11"/>
        <color theme="1"/>
        <rFont val="ＭＳ Ｐゴシック"/>
        <family val="3"/>
        <charset val="128"/>
        <scheme val="minor"/>
      </rPr>
      <t>行股份有限公司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</si>
  <si>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葡萄酒; 伏特加酒; 米酒</t>
    </r>
  </si>
  <si>
    <t>明代井</t>
  </si>
  <si>
    <r>
      <t>亳州十里</t>
    </r>
    <r>
      <rPr>
        <sz val="11"/>
        <color theme="1"/>
        <rFont val="ＭＳ Ｐゴシック"/>
        <family val="3"/>
        <charset val="134"/>
        <scheme val="minor"/>
      </rPr>
      <t>飘</t>
    </r>
    <r>
      <rPr>
        <sz val="11"/>
        <color theme="1"/>
        <rFont val="ＭＳ Ｐゴシック"/>
        <family val="3"/>
        <charset val="128"/>
        <scheme val="minor"/>
      </rPr>
      <t>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</si>
  <si>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白酒; 黄酒; 食用酒精; 葡萄酒;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</si>
  <si>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烈博士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</si>
  <si>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果酒（含酒精）</t>
    </r>
  </si>
  <si>
    <t>MAJARA FELIX SOLIS</t>
  </si>
  <si>
    <r>
      <t>西班牙菲立斯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</si>
  <si>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果酒; 开胃酒; 餐后酒（利口酒和烈酒）; 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</si>
  <si>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潜虚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</si>
  <si>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东飞骠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</si>
  <si>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烈酒; 果酒; 开胃酒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</si>
  <si>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鬃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</si>
  <si>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高粱酒; 开胃酒; 白干酒（中国白酒）;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果酒（含酒精）; 黄酒</t>
    </r>
  </si>
  <si>
    <t>芷迹</t>
  </si>
  <si>
    <t>湖南芷迹酒店管理有限公司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</si>
  <si>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开胃酒; 白酒; 葡萄酒;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果酒; 黄酒</t>
    </r>
  </si>
  <si>
    <t>牧独</t>
  </si>
  <si>
    <t>周良武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</si>
  <si>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黄酒;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</si>
  <si>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姚</t>
    </r>
    <r>
      <rPr>
        <sz val="11"/>
        <color theme="1"/>
        <rFont val="ＭＳ Ｐゴシック"/>
        <family val="3"/>
        <charset val="134"/>
        <scheme val="minor"/>
      </rPr>
      <t>兴顺烧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</si>
  <si>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 xml:space="preserve">高粱酒; 威士忌; 白干酒（中国白酒）; 蒸煮提取物（利口酒和烈酒）; 果酒（含酒精）;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青稞酒; 黄酒</t>
    </r>
  </si>
  <si>
    <r>
      <t>聚曦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</si>
  <si>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湖北光韵照明</t>
    </r>
    <r>
      <rPr>
        <sz val="11"/>
        <color theme="1"/>
        <rFont val="ＭＳ Ｐゴシック"/>
        <family val="3"/>
        <charset val="134"/>
        <scheme val="minor"/>
      </rPr>
      <t>设备销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</si>
  <si>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</si>
  <si>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早春山花</t>
  </si>
  <si>
    <t>黄建兵</t>
  </si>
  <si>
    <r>
      <t xml:space="preserve">高粱酒;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</si>
  <si>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民泰民宝</t>
  </si>
  <si>
    <r>
      <t xml:space="preserve">葡萄酒;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伏特加酒;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</si>
  <si>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归</t>
    </r>
    <r>
      <rPr>
        <sz val="11"/>
        <color theme="1"/>
        <rFont val="ＭＳ Ｐゴシック"/>
        <family val="3"/>
        <charset val="128"/>
        <scheme val="minor"/>
      </rPr>
      <t>星古堡</t>
    </r>
  </si>
  <si>
    <r>
      <t>葡萄酒; 清酒（日本米酒）; 酸酒（低等葡萄酒）;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</si>
  <si>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永丰 帝王生肖</t>
  </si>
  <si>
    <r>
      <t>北京二</t>
    </r>
    <r>
      <rPr>
        <sz val="11"/>
        <color theme="1"/>
        <rFont val="ＭＳ Ｐゴシック"/>
        <family val="3"/>
        <charset val="134"/>
        <scheme val="minor"/>
      </rPr>
      <t>锅头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</si>
  <si>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</si>
  <si>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t>昀希布卡</t>
  </si>
  <si>
    <r>
      <t>闫</t>
    </r>
    <r>
      <rPr>
        <sz val="11"/>
        <color theme="1"/>
        <rFont val="ＭＳ Ｐゴシック"/>
        <family val="3"/>
        <charset val="128"/>
        <scheme val="minor"/>
      </rPr>
      <t>梦杰</t>
    </r>
  </si>
  <si>
    <r>
      <t>蒸煮提取物（利口酒和烈酒）;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清酒（日本米酒）; 米酒; 果酒（含酒精）; 开胃酒; 白酒; 威士忌; 黄酒</t>
    </r>
  </si>
  <si>
    <t>金果提茗</t>
  </si>
  <si>
    <t>黄紫婷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</si>
  <si>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</t>
    </r>
  </si>
  <si>
    <r>
      <t>解</t>
    </r>
    <r>
      <rPr>
        <sz val="11"/>
        <color theme="1"/>
        <rFont val="ＭＳ Ｐゴシック"/>
        <family val="3"/>
        <charset val="134"/>
        <scheme val="minor"/>
      </rPr>
      <t>忧</t>
    </r>
    <r>
      <rPr>
        <sz val="11"/>
        <color theme="1"/>
        <rFont val="ＭＳ Ｐゴシック"/>
        <family val="3"/>
        <charset val="128"/>
        <scheme val="minor"/>
      </rPr>
      <t>客</t>
    </r>
  </si>
  <si>
    <t>陈团结</t>
  </si>
  <si>
    <r>
      <t>果酒（含酒精）; 威士忌;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烈酒;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</si>
  <si>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玉合桂香</t>
  </si>
  <si>
    <t>王昌霞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</si>
  <si>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</si>
  <si>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卧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四海 酒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</si>
  <si>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中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</si>
  <si>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 xml:space="preserve">开胃酒;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</si>
  <si>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次南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</si>
  <si>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米酒;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</si>
  <si>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桂自在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</si>
  <si>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</t>
    </r>
  </si>
  <si>
    <r>
      <t>雪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</si>
  <si>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米酒; 青稞酒; 薄荷酒; 白酒</t>
    </r>
  </si>
  <si>
    <t>醉茴春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</si>
  <si>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西秦久禾尊商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</si>
  <si>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</si>
  <si>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粮王池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</si>
  <si>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州金瑞气瓶</t>
    </r>
    <r>
      <rPr>
        <sz val="11"/>
        <color theme="1"/>
        <rFont val="ＭＳ Ｐゴシック"/>
        <family val="3"/>
        <charset val="134"/>
        <scheme val="minor"/>
      </rPr>
      <t>检测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</si>
  <si>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白酒; 烈酒; 米酒</t>
    </r>
  </si>
  <si>
    <t>吴窖御酒</t>
  </si>
  <si>
    <r>
      <t>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</t>
    </r>
  </si>
  <si>
    <r>
      <t>元</t>
    </r>
    <r>
      <rPr>
        <sz val="11"/>
        <color theme="1"/>
        <rFont val="ＭＳ Ｐゴシック"/>
        <family val="3"/>
        <charset val="134"/>
        <scheme val="minor"/>
      </rPr>
      <t>缘圆</t>
    </r>
  </si>
  <si>
    <t>苏为轻</t>
  </si>
  <si>
    <r>
      <t>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食用酒精;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黄酒</t>
    </r>
  </si>
  <si>
    <t>取向</t>
  </si>
  <si>
    <r>
      <t>赵</t>
    </r>
    <r>
      <rPr>
        <sz val="11"/>
        <color theme="1"/>
        <rFont val="ＭＳ Ｐゴシック"/>
        <family val="3"/>
        <charset val="128"/>
        <scheme val="minor"/>
      </rPr>
      <t>天欣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</si>
  <si>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白酒; 食用酒精; 黄酒; 清酒（日本米酒）</t>
    </r>
  </si>
  <si>
    <t>壹佰冠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</si>
  <si>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知</t>
    </r>
    <r>
      <rPr>
        <sz val="11"/>
        <color theme="1"/>
        <rFont val="ＭＳ Ｐゴシック"/>
        <family val="3"/>
        <charset val="134"/>
        <scheme val="minor"/>
      </rPr>
      <t>识</t>
    </r>
    <r>
      <rPr>
        <sz val="11"/>
        <color theme="1"/>
        <rFont val="ＭＳ Ｐゴシック"/>
        <family val="3"/>
        <charset val="128"/>
        <scheme val="minor"/>
      </rPr>
      <t>城运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</si>
  <si>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蒸煮提取物（利口酒和烈酒）; 清酒（日本米酒）;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</si>
  <si>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闫</t>
    </r>
    <r>
      <rPr>
        <sz val="11"/>
        <color theme="1"/>
        <rFont val="ＭＳ Ｐゴシック"/>
        <family val="3"/>
        <charset val="128"/>
        <scheme val="minor"/>
      </rPr>
      <t>圣家</t>
    </r>
  </si>
  <si>
    <r>
      <t>闫</t>
    </r>
    <r>
      <rPr>
        <sz val="11"/>
        <color theme="1"/>
        <rFont val="ＭＳ Ｐゴシック"/>
        <family val="3"/>
        <charset val="128"/>
        <scheme val="minor"/>
      </rPr>
      <t>立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</si>
  <si>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米酒;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</si>
  <si>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彪</t>
    </r>
    <r>
      <rPr>
        <sz val="11"/>
        <color theme="1"/>
        <rFont val="ＭＳ Ｐゴシック"/>
        <family val="3"/>
        <charset val="134"/>
        <scheme val="minor"/>
      </rPr>
      <t>兴烧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</si>
  <si>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米酒;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佐餐酒;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</si>
  <si>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唯甜魅力</t>
  </si>
  <si>
    <r>
      <t>马</t>
    </r>
    <r>
      <rPr>
        <sz val="11"/>
        <color theme="1"/>
        <rFont val="ＭＳ Ｐゴシック"/>
        <family val="3"/>
        <charset val="128"/>
        <scheme val="minor"/>
      </rPr>
      <t>泰拉国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</si>
  <si>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威士忌; 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</t>
    </r>
  </si>
  <si>
    <r>
      <t>科巷</t>
    </r>
    <r>
      <rPr>
        <sz val="11"/>
        <color theme="1"/>
        <rFont val="ＭＳ Ｐゴシック"/>
        <family val="3"/>
        <charset val="134"/>
        <scheme val="minor"/>
      </rPr>
      <t>斋</t>
    </r>
  </si>
  <si>
    <r>
      <t>南京千古情特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</si>
  <si>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清酒;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黄酒; 甜酒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</si>
  <si>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米匠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</si>
  <si>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吉平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</si>
  <si>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米酒;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甜酒; 汽酒</t>
    </r>
  </si>
  <si>
    <r>
      <t>兴</t>
    </r>
    <r>
      <rPr>
        <sz val="11"/>
        <color theme="1"/>
        <rFont val="ＭＳ Ｐゴシック"/>
        <family val="3"/>
        <charset val="128"/>
        <scheme val="minor"/>
      </rPr>
      <t>民春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</si>
  <si>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振国</t>
    </r>
  </si>
  <si>
    <r>
      <t xml:space="preserve">蒸煮提取物（利口酒和烈酒）; 白干酒（中国白酒）; 青稞酒; 黄酒;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米酒</t>
    </r>
  </si>
  <si>
    <r>
      <t>彪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王子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</si>
  <si>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佐餐酒; 蒸煮提取物（利口酒和烈酒）</t>
    </r>
  </si>
  <si>
    <t>繁清花</t>
  </si>
  <si>
    <r>
      <t>李</t>
    </r>
    <r>
      <rPr>
        <sz val="11"/>
        <color theme="1"/>
        <rFont val="ＭＳ Ｐゴシック"/>
        <family val="3"/>
        <charset val="134"/>
        <scheme val="minor"/>
      </rPr>
      <t>应辉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</si>
  <si>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葡萄酒; 黄酒</t>
    </r>
  </si>
  <si>
    <r>
      <t>E</t>
    </r>
    <r>
      <rPr>
        <sz val="11"/>
        <color theme="1"/>
        <rFont val="ＭＳ Ｐゴシック"/>
        <family val="3"/>
        <charset val="134"/>
        <scheme val="minor"/>
      </rPr>
      <t>线</t>
    </r>
    <r>
      <rPr>
        <sz val="11"/>
        <color theme="1"/>
        <rFont val="ＭＳ Ｐゴシック"/>
        <family val="3"/>
        <charset val="128"/>
        <scheme val="minor"/>
      </rPr>
      <t>品至</t>
    </r>
  </si>
  <si>
    <t>王海生</t>
  </si>
  <si>
    <t>甜酒; 葡萄酒; 汽酒; 清酒; 黄酒; 米酒; 开胃酒; 果酒; 食用酒精; 白酒</t>
  </si>
  <si>
    <r>
      <t>晋之</t>
    </r>
    <r>
      <rPr>
        <sz val="11"/>
        <color theme="1"/>
        <rFont val="ＭＳ Ｐゴシック"/>
        <family val="3"/>
        <charset val="134"/>
        <scheme val="minor"/>
      </rPr>
      <t>传</t>
    </r>
  </si>
  <si>
    <r>
      <t>邹</t>
    </r>
    <r>
      <rPr>
        <sz val="11"/>
        <color theme="1"/>
        <rFont val="ＭＳ Ｐゴシック"/>
        <family val="3"/>
        <charset val="128"/>
        <scheme val="minor"/>
      </rPr>
      <t>惠明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</si>
  <si>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白酒; 伏特加酒;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</si>
  <si>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r>
      <t>传</t>
    </r>
    <r>
      <rPr>
        <sz val="11"/>
        <color theme="1"/>
        <rFont val="ＭＳ Ｐゴシック"/>
        <family val="3"/>
        <charset val="128"/>
        <scheme val="minor"/>
      </rPr>
      <t>承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</si>
  <si>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黄酒</t>
    </r>
  </si>
  <si>
    <r>
      <t>赍</t>
    </r>
    <r>
      <rPr>
        <sz val="11"/>
        <color theme="1"/>
        <rFont val="ＭＳ Ｐゴシック"/>
        <family val="3"/>
        <charset val="128"/>
        <scheme val="minor"/>
      </rPr>
      <t>液</t>
    </r>
  </si>
  <si>
    <t>倪杰</t>
  </si>
  <si>
    <r>
      <t>清酒（日本米酒）; 开胃酒;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梨酒; 葡萄酒; 高粱酒; 烈酒; 果酒（含酒精）; 食用酒精</t>
    </r>
  </si>
  <si>
    <r>
      <t>小南佳</t>
    </r>
    <r>
      <rPr>
        <sz val="11"/>
        <color theme="1"/>
        <rFont val="ＭＳ Ｐゴシック"/>
        <family val="3"/>
        <charset val="134"/>
        <scheme val="minor"/>
      </rPr>
      <t>铺</t>
    </r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</si>
  <si>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东风</t>
    </r>
    <r>
      <rPr>
        <sz val="11"/>
        <color theme="1"/>
        <rFont val="ＭＳ Ｐゴシック"/>
        <family val="3"/>
        <charset val="128"/>
        <scheme val="minor"/>
      </rPr>
      <t>南方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</si>
  <si>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含酒精的气泡水; 清酒; 米酒; 青稞酒; 果酒; 白干酒（中国白酒）; 甜酒; 黄酒; 白葡萄酒;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</si>
  <si>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稻咕哩</t>
  </si>
  <si>
    <r>
      <t>常熟一禾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</si>
  <si>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黄酒; 开胃酒;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清酒;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</si>
  <si>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蒲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老</t>
    </r>
  </si>
  <si>
    <r>
      <t>葡萄酒;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烈酒; 黄酒</t>
    </r>
  </si>
  <si>
    <t>尹珍珠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</si>
  <si>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喜世达餐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</si>
  <si>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利口酒; 葡萄酒; 白酒;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</si>
  <si>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有杏韵</t>
  </si>
  <si>
    <r>
      <t>宋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安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</si>
  <si>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果酒（含酒精）; 黄酒; 米酒;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</si>
  <si>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西院金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老五</t>
    </r>
  </si>
  <si>
    <r>
      <t>闫</t>
    </r>
    <r>
      <rPr>
        <sz val="11"/>
        <color theme="1"/>
        <rFont val="ＭＳ Ｐゴシック"/>
        <family val="3"/>
        <charset val="128"/>
        <scheme val="minor"/>
      </rPr>
      <t>敬涛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</si>
  <si>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白酒; 果酒（含酒精）; 葡萄酒;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食用酒精; 蜂蜜酒</t>
    </r>
  </si>
  <si>
    <r>
      <t>天下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氏</t>
    </r>
  </si>
  <si>
    <r>
      <t>河南郎才商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</si>
  <si>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开胃酒; 黄酒; 青稞酒</t>
    </r>
  </si>
  <si>
    <t>燃炙屋 惣菜</t>
  </si>
  <si>
    <r>
      <t>北京一然天保餐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</si>
  <si>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清酒（日本米酒）; 白酒;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</si>
  <si>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卢</t>
    </r>
    <r>
      <rPr>
        <sz val="11"/>
        <color theme="1"/>
        <rFont val="ＭＳ Ｐゴシック"/>
        <family val="3"/>
        <charset val="128"/>
        <scheme val="minor"/>
      </rPr>
      <t>府御</t>
    </r>
    <r>
      <rPr>
        <sz val="11"/>
        <color theme="1"/>
        <rFont val="ＭＳ Ｐゴシック"/>
        <family val="3"/>
        <charset val="134"/>
        <scheme val="minor"/>
      </rPr>
      <t>卫</t>
    </r>
  </si>
  <si>
    <t>西安微子源生物科技有限公司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</si>
  <si>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苹果酒; 威士忌;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</si>
  <si>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金山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福玉</t>
    </r>
  </si>
  <si>
    <r>
      <t>饶</t>
    </r>
    <r>
      <rPr>
        <sz val="11"/>
        <color theme="1"/>
        <rFont val="ＭＳ Ｐゴシック"/>
        <family val="3"/>
        <charset val="128"/>
        <scheme val="minor"/>
      </rPr>
      <t>昌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</si>
  <si>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米酒; 果酒（含酒精）;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</si>
  <si>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金窖淮</t>
  </si>
  <si>
    <t>黎方定</t>
  </si>
  <si>
    <r>
      <t xml:space="preserve">白酒; 葡萄酒;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果酒（含酒精）; 黄酒; 开胃酒; 清酒（日本米酒）</t>
    </r>
  </si>
  <si>
    <t>若水其修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</si>
  <si>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东韩</t>
    </r>
    <r>
      <rPr>
        <sz val="11"/>
        <color theme="1"/>
        <rFont val="ＭＳ Ｐゴシック"/>
        <family val="3"/>
        <charset val="128"/>
        <scheme val="minor"/>
      </rPr>
      <t>装信息科技有限公司</t>
    </r>
  </si>
  <si>
    <r>
      <t>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葡萄酒;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</si>
  <si>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r>
      <t>养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倍健</t>
    </r>
  </si>
  <si>
    <r>
      <t>葡萄酒; 白酒; 开胃酒; 米酒; 青稞酒;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高粱酒;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</si>
  <si>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虎蛟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</si>
  <si>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市忘情水酒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</si>
  <si>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汽酒; 果酒（含酒精）; 白酒; 含酒精的气泡水;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梨酒;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</si>
  <si>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喜柿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</si>
  <si>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西羊奶哥食品有限公司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</si>
  <si>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黄酒; 米酒;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</t>
    </r>
  </si>
  <si>
    <r>
      <t>谌</t>
    </r>
    <r>
      <rPr>
        <sz val="11"/>
        <color theme="1"/>
        <rFont val="ＭＳ Ｐゴシック"/>
        <family val="3"/>
        <charset val="128"/>
        <scheme val="minor"/>
      </rPr>
      <t>家儿女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</si>
  <si>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清酒; 果酒（含酒精）; 米酒; 葡萄酒; 薄荷酒; 黄酒; 甜果酒; 白干酒（中国白酒）; 白酒</t>
    </r>
  </si>
  <si>
    <r>
      <t>罗宫</t>
    </r>
    <r>
      <rPr>
        <sz val="11"/>
        <color theme="1"/>
        <rFont val="ＭＳ Ｐゴシック"/>
        <family val="3"/>
        <charset val="128"/>
        <scheme val="minor"/>
      </rPr>
      <t>本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</si>
  <si>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极</t>
    </r>
  </si>
  <si>
    <r>
      <t>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葡萄酒; 白酒; 朗姆酒</t>
    </r>
  </si>
  <si>
    <t>小哎蜜</t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</si>
  <si>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葡萄</t>
    </r>
    <r>
      <rPr>
        <sz val="11"/>
        <color theme="1"/>
        <rFont val="ＭＳ Ｐゴシック"/>
        <family val="3"/>
        <charset val="134"/>
        <scheme val="minor"/>
      </rPr>
      <t>酿电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</si>
  <si>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伏特加酒; 威士忌; 果酒（含酒精）;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</si>
  <si>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邱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毅博士</t>
    </r>
  </si>
  <si>
    <r>
      <t>邱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毅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</si>
  <si>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清酒（日本米酒）</t>
    </r>
  </si>
  <si>
    <r>
      <t>今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良喜</t>
    </r>
  </si>
  <si>
    <r>
      <t>汪富</t>
    </r>
    <r>
      <rPr>
        <sz val="11"/>
        <color theme="1"/>
        <rFont val="ＭＳ Ｐゴシック"/>
        <family val="3"/>
        <charset val="134"/>
        <scheme val="minor"/>
      </rPr>
      <t>贤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</si>
  <si>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</t>
    </r>
  </si>
  <si>
    <t>乾坤鼎</t>
  </si>
  <si>
    <r>
      <t>北京道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堂文化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</si>
  <si>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白酒;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朗姆酒; 青稞酒;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</si>
  <si>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纯</t>
    </r>
    <r>
      <rPr>
        <sz val="11"/>
        <color theme="1"/>
        <rFont val="ＭＳ Ｐゴシック"/>
        <family val="3"/>
        <charset val="128"/>
        <scheme val="minor"/>
      </rPr>
      <t>阳仙尊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</si>
  <si>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料(啤酒除外); 朗姆酒; 米酒; 青稞酒;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</t>
    </r>
  </si>
  <si>
    <t>杏美好</t>
  </si>
  <si>
    <r>
      <t>葡萄酒; 白酒;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</si>
  <si>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塞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鼓韵</t>
    </r>
  </si>
  <si>
    <r>
      <t>延安市安塞区国有</t>
    </r>
    <r>
      <rPr>
        <sz val="11"/>
        <color theme="1"/>
        <rFont val="ＭＳ Ｐゴシック"/>
        <family val="3"/>
        <charset val="134"/>
        <scheme val="minor"/>
      </rPr>
      <t>资产</t>
    </r>
    <r>
      <rPr>
        <sz val="11"/>
        <color theme="1"/>
        <rFont val="ＭＳ Ｐゴシック"/>
        <family val="3"/>
        <charset val="128"/>
        <scheme val="minor"/>
      </rPr>
      <t>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</si>
  <si>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威士忌;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</si>
  <si>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成功塞上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</si>
  <si>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宁夏成功塞上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</si>
  <si>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开胃酒; 朗姆酒;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</si>
  <si>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跃</t>
    </r>
    <r>
      <rPr>
        <sz val="11"/>
        <color theme="1"/>
        <rFont val="ＭＳ Ｐゴシック"/>
        <family val="3"/>
        <charset val="128"/>
        <scheme val="minor"/>
      </rPr>
      <t>渊台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</si>
  <si>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沙</t>
    </r>
    <r>
      <rPr>
        <sz val="11"/>
        <color theme="1"/>
        <rFont val="ＭＳ Ｐゴシック"/>
        <family val="3"/>
        <charset val="134"/>
        <scheme val="minor"/>
      </rPr>
      <t>跃</t>
    </r>
    <r>
      <rPr>
        <sz val="11"/>
        <color theme="1"/>
        <rFont val="ＭＳ Ｐゴシック"/>
        <family val="3"/>
        <charset val="128"/>
        <scheme val="minor"/>
      </rPr>
      <t>渊生物科技有限公司</t>
    </r>
  </si>
  <si>
    <r>
      <t xml:space="preserve">米酒; 白酒; 汽酒; 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露酒; 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</si>
  <si>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西院金</t>
    </r>
    <r>
      <rPr>
        <sz val="11"/>
        <color theme="1"/>
        <rFont val="ＭＳ Ｐゴシック"/>
        <family val="3"/>
        <charset val="134"/>
        <scheme val="minor"/>
      </rPr>
      <t>鸡</t>
    </r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</si>
  <si>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米酒; 朗姆酒; 蜂蜜酒;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</t>
    </r>
  </si>
  <si>
    <r>
      <t>韩</t>
    </r>
    <r>
      <rPr>
        <sz val="11"/>
        <color theme="1"/>
        <rFont val="ＭＳ Ｐゴシック"/>
        <family val="3"/>
        <charset val="128"/>
        <scheme val="minor"/>
      </rPr>
      <t>珍珠</t>
    </r>
  </si>
  <si>
    <r>
      <t xml:space="preserve">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利口酒</t>
    </r>
  </si>
  <si>
    <t>平安愿</t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</si>
  <si>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</si>
  <si>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泉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酒娘子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</si>
  <si>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市泉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</si>
  <si>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食用酒精;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</si>
  <si>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关享</t>
  </si>
  <si>
    <r>
      <t>运城市</t>
    </r>
    <r>
      <rPr>
        <sz val="11"/>
        <color theme="1"/>
        <rFont val="ＭＳ Ｐゴシック"/>
        <family val="3"/>
        <charset val="134"/>
        <scheme val="minor"/>
      </rPr>
      <t>盐</t>
    </r>
    <r>
      <rPr>
        <sz val="11"/>
        <color theme="1"/>
        <rFont val="ＭＳ Ｐゴシック"/>
        <family val="3"/>
        <charset val="128"/>
        <scheme val="minor"/>
      </rPr>
      <t>湖区富示源物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</si>
  <si>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开胃酒;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</si>
  <si>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蕃</t>
    </r>
    <r>
      <rPr>
        <sz val="11"/>
        <color theme="1"/>
        <rFont val="ＭＳ Ｐゴシック"/>
        <family val="3"/>
        <charset val="134"/>
        <scheme val="minor"/>
      </rPr>
      <t>贡</t>
    </r>
  </si>
  <si>
    <t>陈东红</t>
  </si>
  <si>
    <r>
      <t>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</si>
  <si>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华赖</t>
    </r>
    <r>
      <rPr>
        <sz val="11"/>
        <color theme="1"/>
        <rFont val="ＭＳ Ｐゴシック"/>
        <family val="3"/>
        <charset val="128"/>
        <scheme val="minor"/>
      </rPr>
      <t>李四大家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</si>
  <si>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州中</t>
    </r>
    <r>
      <rPr>
        <sz val="11"/>
        <color theme="1"/>
        <rFont val="ＭＳ Ｐゴシック"/>
        <family val="3"/>
        <charset val="134"/>
        <scheme val="minor"/>
      </rPr>
      <t>岙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</si>
  <si>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</si>
  <si>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长乐</t>
    </r>
    <r>
      <rPr>
        <sz val="11"/>
        <color theme="1"/>
        <rFont val="ＭＳ Ｐゴシック"/>
        <family val="3"/>
        <charset val="128"/>
        <scheme val="minor"/>
      </rPr>
      <t>隆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富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</si>
  <si>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东长乐烧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</si>
  <si>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果酒（含酒精）; 葡萄酒; 蜂蜜酒; 食用酒精; 白酒; 米酒;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开胃酒</t>
    </r>
  </si>
  <si>
    <r>
      <t>长乐</t>
    </r>
    <r>
      <rPr>
        <sz val="11"/>
        <color theme="1"/>
        <rFont val="ＭＳ Ｐゴシック"/>
        <family val="3"/>
        <charset val="128"/>
        <scheme val="minor"/>
      </rPr>
      <t>正庄</t>
    </r>
  </si>
  <si>
    <r>
      <t xml:space="preserve">果酒（含酒精）; 蜂蜜酒; 黄酒; 白酒; 食用酒精; 蒸煮提取物（利口酒和烈酒）; 开胃酒;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</si>
  <si>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炙一</t>
  </si>
  <si>
    <r>
      <t>泉州俱仁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</si>
  <si>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米酒; 葡萄酒;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</si>
  <si>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笠笠</t>
    </r>
    <r>
      <rPr>
        <sz val="11"/>
        <color theme="1"/>
        <rFont val="ＭＳ Ｐゴシック"/>
        <family val="3"/>
        <charset val="134"/>
        <scheme val="minor"/>
      </rPr>
      <t>鲜</t>
    </r>
  </si>
  <si>
    <r>
      <t>广安安</t>
    </r>
    <r>
      <rPr>
        <sz val="11"/>
        <color theme="1"/>
        <rFont val="ＭＳ Ｐゴシック"/>
        <family val="3"/>
        <charset val="134"/>
        <scheme val="minor"/>
      </rPr>
      <t>农发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</si>
  <si>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苦味酒</t>
    </r>
  </si>
  <si>
    <t>吴上限</t>
  </si>
  <si>
    <t>马闯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</si>
  <si>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清酒（日本米酒）;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</si>
  <si>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伍老</t>
    </r>
    <r>
      <rPr>
        <sz val="11"/>
        <color theme="1"/>
        <rFont val="ＭＳ Ｐゴシック"/>
        <family val="3"/>
        <charset val="134"/>
        <scheme val="minor"/>
      </rPr>
      <t>汉</t>
    </r>
  </si>
  <si>
    <r>
      <t>湖北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翼科技开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</si>
  <si>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青稞酒; 高粱酒;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黄酒; 果酒</t>
    </r>
  </si>
  <si>
    <t>DONGFANGROSE</t>
  </si>
  <si>
    <r>
      <t>果子花播生物科技（</t>
    </r>
    <r>
      <rPr>
        <sz val="11"/>
        <color theme="1"/>
        <rFont val="ＭＳ Ｐゴシック"/>
        <family val="3"/>
        <charset val="134"/>
        <scheme val="minor"/>
      </rPr>
      <t>济</t>
    </r>
    <r>
      <rPr>
        <sz val="11"/>
        <color theme="1"/>
        <rFont val="ＭＳ Ｐゴシック"/>
        <family val="3"/>
        <charset val="128"/>
        <scheme val="minor"/>
      </rPr>
      <t>南）有限公司</t>
    </r>
  </si>
  <si>
    <r>
      <t>米酒; 葡萄酒;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</t>
    </r>
  </si>
  <si>
    <t>藏香鹿</t>
  </si>
  <si>
    <r>
      <t>辽</t>
    </r>
    <r>
      <rPr>
        <sz val="11"/>
        <color theme="1"/>
        <rFont val="ＭＳ Ｐゴシック"/>
        <family val="3"/>
        <charset val="128"/>
        <scheme val="minor"/>
      </rPr>
      <t>宁鹿</t>
    </r>
    <r>
      <rPr>
        <sz val="11"/>
        <color theme="1"/>
        <rFont val="ＭＳ Ｐゴシック"/>
        <family val="3"/>
        <charset val="134"/>
        <scheme val="minor"/>
      </rPr>
      <t>钰缘</t>
    </r>
    <r>
      <rPr>
        <sz val="11"/>
        <color theme="1"/>
        <rFont val="ＭＳ Ｐゴシック"/>
        <family val="3"/>
        <charset val="128"/>
        <scheme val="minor"/>
      </rPr>
      <t>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</si>
  <si>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烈酒; 果酒; 米酒;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</si>
  <si>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云峰岭古酒</t>
  </si>
  <si>
    <t>游小</t>
  </si>
  <si>
    <r>
      <t>米酒; 薄荷酒;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白酒; 高粱酒; 开胃酒; 青稞酒; 黄酒</t>
    </r>
  </si>
  <si>
    <t>CHATEAU HAUT SAINT MARTIN</t>
  </si>
  <si>
    <r>
      <t>北京多悦行商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</si>
  <si>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葡萄酒; 伏特加酒;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威士忌; 露酒;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草本型利口酒</t>
    </r>
  </si>
  <si>
    <t>同山九哥</t>
  </si>
  <si>
    <t>章云燕</t>
  </si>
  <si>
    <r>
      <t xml:space="preserve">果酒（含酒精）; 黄酒;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青梅酒; 蜂蜜酒</t>
    </r>
  </si>
  <si>
    <r>
      <t>耀星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</si>
  <si>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深圳市与凡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</si>
  <si>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高粱酒; 清酒（日本米酒）;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甜酒; 果酒; 米酒</t>
    </r>
  </si>
  <si>
    <r>
      <t>携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行</t>
    </r>
  </si>
  <si>
    <r>
      <t>成都市合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</si>
  <si>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开胃酒; 白酒; 果酒（含酒精）</t>
    </r>
  </si>
  <si>
    <r>
      <t>藏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量雨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品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</si>
  <si>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金雨霖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</si>
  <si>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薄荷酒; 高粱酒; 汽酒; 干型苹果酒; 青稞酒;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</t>
    </r>
  </si>
  <si>
    <r>
      <t>利口酒;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开胃酒; 蜂蜜酒;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梨酒; 果酒（含酒精）; 葡萄酒</t>
    </r>
  </si>
  <si>
    <r>
      <t>彩</t>
    </r>
    <r>
      <rPr>
        <sz val="11"/>
        <color theme="1"/>
        <rFont val="ＭＳ Ｐゴシック"/>
        <family val="3"/>
        <charset val="129"/>
        <scheme val="minor"/>
      </rPr>
      <t>妞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</si>
  <si>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阳市巾</t>
    </r>
    <r>
      <rPr>
        <sz val="11"/>
        <color theme="1"/>
        <rFont val="ＭＳ Ｐゴシック"/>
        <family val="3"/>
        <charset val="134"/>
        <scheme val="minor"/>
      </rPr>
      <t>帼</t>
    </r>
    <r>
      <rPr>
        <sz val="11"/>
        <color theme="1"/>
        <rFont val="ＭＳ Ｐゴシック"/>
        <family val="3"/>
        <charset val="128"/>
        <scheme val="minor"/>
      </rPr>
      <t>彩桃</t>
    </r>
    <r>
      <rPr>
        <sz val="11"/>
        <color theme="1"/>
        <rFont val="ＭＳ Ｐゴシック"/>
        <family val="3"/>
        <charset val="134"/>
        <scheme val="minor"/>
      </rPr>
      <t>农业专业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</si>
  <si>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</si>
  <si>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瑶向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</si>
  <si>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柑香酒; 米酒</t>
    </r>
  </si>
  <si>
    <t>TIFFCOS</t>
  </si>
  <si>
    <r>
      <t>威海美客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</si>
  <si>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米酒; 黄酒; 白酒; 伏特加酒; 青稞酒;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</si>
  <si>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吉祥知己</t>
  </si>
  <si>
    <r>
      <t>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黄酒;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</si>
  <si>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瑞洲河</t>
  </si>
  <si>
    <r>
      <t>黄开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</si>
  <si>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葡萄酒;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</si>
  <si>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仲景中养堂</t>
  </si>
  <si>
    <t>双新科技（河南）有限公司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</si>
  <si>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伏特加酒; 白酒; 果酒; 黄酒; 葡萄酒</t>
    </r>
  </si>
  <si>
    <t>ECCELSIA</t>
  </si>
  <si>
    <r>
      <t>福建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翔供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</si>
  <si>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青稞酒;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食用酒精; 威士忌; 薄荷酒; 高粱酒; 清酒; 果酒（含酒精）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</si>
  <si>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州国湖酒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</si>
  <si>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米酒; 果酒（含酒精）; 蒸煮提取物（利口酒和烈酒）;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</t>
    </r>
  </si>
  <si>
    <r>
      <t>农</t>
    </r>
    <r>
      <rPr>
        <sz val="11"/>
        <color theme="1"/>
        <rFont val="ＭＳ Ｐゴシック"/>
        <family val="3"/>
        <charset val="128"/>
        <scheme val="minor"/>
      </rPr>
      <t>夫幺妹</t>
    </r>
  </si>
  <si>
    <r>
      <t>恩施州巴</t>
    </r>
    <r>
      <rPr>
        <sz val="11"/>
        <color theme="1"/>
        <rFont val="ＭＳ Ｐゴシック"/>
        <family val="3"/>
        <charset val="134"/>
        <scheme val="minor"/>
      </rPr>
      <t>东县农</t>
    </r>
    <r>
      <rPr>
        <sz val="11"/>
        <color theme="1"/>
        <rFont val="ＭＳ Ｐゴシック"/>
        <family val="3"/>
        <charset val="128"/>
        <scheme val="minor"/>
      </rPr>
      <t>夫幺妹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</si>
  <si>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烈酒; 清酒</t>
    </r>
  </si>
  <si>
    <r>
      <t>五</t>
    </r>
    <r>
      <rPr>
        <sz val="11"/>
        <color theme="1"/>
        <rFont val="ＭＳ Ｐゴシック"/>
        <family val="3"/>
        <charset val="134"/>
        <scheme val="minor"/>
      </rPr>
      <t>马桥</t>
    </r>
    <r>
      <rPr>
        <sz val="11"/>
        <color theme="1"/>
        <rFont val="ＭＳ Ｐゴシック"/>
        <family val="3"/>
        <charset val="128"/>
        <scheme val="minor"/>
      </rPr>
      <t>酒坊</t>
    </r>
  </si>
  <si>
    <r>
      <t>应琼</t>
    </r>
    <r>
      <rPr>
        <sz val="11"/>
        <color theme="1"/>
        <rFont val="ＭＳ Ｐゴシック"/>
        <family val="3"/>
        <charset val="128"/>
        <scheme val="minor"/>
      </rPr>
      <t>碧</t>
    </r>
  </si>
  <si>
    <r>
      <t>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</si>
  <si>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郭肖敏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</si>
  <si>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黄酒; 梨酒; 米酒; 果酒（含酒精）; 白酒</t>
    </r>
  </si>
  <si>
    <t>杏黛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</si>
  <si>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葡萄酒; 黄酒; 白酒; 米酒;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</si>
  <si>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郭明磊</t>
  </si>
  <si>
    <r>
      <t>杨</t>
    </r>
    <r>
      <rPr>
        <sz val="11"/>
        <color theme="1"/>
        <rFont val="ＭＳ Ｐゴシック"/>
        <family val="3"/>
        <charset val="128"/>
        <scheme val="minor"/>
      </rPr>
      <t>梅酒;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梨酒; 白干酒（中国白酒）; 利口酒; 蜂蜜酒; 梅酒; 露酒; 清酒（日本米酒）</t>
    </r>
  </si>
  <si>
    <r>
      <t>义</t>
    </r>
    <r>
      <rPr>
        <sz val="11"/>
        <color theme="1"/>
        <rFont val="ＭＳ Ｐゴシック"/>
        <family val="3"/>
        <charset val="128"/>
        <scheme val="minor"/>
      </rPr>
      <t>坊臻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</si>
  <si>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果酒（含酒精）;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</si>
  <si>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佳禾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福万邦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</si>
  <si>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庆农</t>
    </r>
    <r>
      <rPr>
        <sz val="11"/>
        <color theme="1"/>
        <rFont val="ＭＳ Ｐゴシック"/>
        <family val="3"/>
        <charset val="128"/>
        <scheme val="minor"/>
      </rPr>
      <t>田世家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牧科技有限公司</t>
    </r>
  </si>
  <si>
    <r>
      <t xml:space="preserve">开胃酒;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果酒（含酒精）; 餐后酒（利口酒和烈酒）; 米酒;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</si>
  <si>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江湖韵</t>
  </si>
  <si>
    <r>
      <t>四川炬鼎酒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</si>
  <si>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杜松子酒; 黄酒; 青稞酒; 白酒;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</si>
  <si>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烟台益心生物科技有限公司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</si>
  <si>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黄酒; 食用酒精; 白酒</t>
    </r>
  </si>
  <si>
    <t>沃的巴扎</t>
  </si>
  <si>
    <r>
      <t>伊犁初沃文化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</si>
  <si>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威士忌; 米酒; 葡萄酒; 露酒;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高粱酒; 苹果酒</t>
    </r>
  </si>
  <si>
    <r>
      <t>百</t>
    </r>
    <r>
      <rPr>
        <sz val="11"/>
        <color theme="1"/>
        <rFont val="ＭＳ Ｐゴシック"/>
        <family val="3"/>
        <charset val="134"/>
        <scheme val="minor"/>
      </rPr>
      <t>炼</t>
    </r>
    <r>
      <rPr>
        <sz val="11"/>
        <color theme="1"/>
        <rFont val="ＭＳ Ｐゴシック"/>
        <family val="3"/>
        <charset val="128"/>
        <scheme val="minor"/>
      </rPr>
      <t>成神</t>
    </r>
  </si>
  <si>
    <t>陆伟</t>
  </si>
  <si>
    <r>
      <t>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利口酒;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葡萄酒; 杜松子酒;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</si>
  <si>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</t>
    </r>
  </si>
  <si>
    <r>
      <t>贝</t>
    </r>
    <r>
      <rPr>
        <sz val="11"/>
        <color theme="1"/>
        <rFont val="ＭＳ Ｐゴシック"/>
        <family val="3"/>
        <charset val="128"/>
        <scheme val="minor"/>
      </rPr>
      <t>健佳</t>
    </r>
  </si>
  <si>
    <r>
      <t xml:space="preserve">果酒（含酒精）; 高粱酒;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青稞酒; 白酒; 开胃酒</t>
    </r>
  </si>
  <si>
    <r>
      <t>谷双福 冰部尚</t>
    </r>
    <r>
      <rPr>
        <sz val="11"/>
        <color theme="1"/>
        <rFont val="ＭＳ Ｐゴシック"/>
        <family val="3"/>
        <charset val="134"/>
        <scheme val="minor"/>
      </rPr>
      <t>书</t>
    </r>
    <r>
      <rPr>
        <sz val="11"/>
        <color theme="1"/>
        <rFont val="ＭＳ Ｐゴシック"/>
        <family val="3"/>
        <charset val="128"/>
        <scheme val="minor"/>
      </rPr>
      <t xml:space="preserve"> 酒</t>
    </r>
  </si>
  <si>
    <t>程杰</t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</si>
  <si>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</si>
  <si>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桃悠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</si>
  <si>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烈酒; 清酒（日本米酒）; 威士忌; 白酒; 果酒（含酒精）; 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</si>
  <si>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圕</t>
    </r>
    <r>
      <rPr>
        <sz val="11"/>
        <color theme="1"/>
        <rFont val="ＭＳ Ｐゴシック"/>
        <family val="3"/>
        <charset val="134"/>
        <scheme val="minor"/>
      </rPr>
      <t>龙阁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</si>
  <si>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聚卓越品牌管理有限公司</t>
    </r>
  </si>
  <si>
    <r>
      <t>米酒; 葡萄酒; 威士忌; 开胃酒;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</si>
  <si>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熠大叔</t>
  </si>
  <si>
    <r>
      <t>唐熠</t>
    </r>
    <r>
      <rPr>
        <sz val="11"/>
        <color theme="1"/>
        <rFont val="ＭＳ Ｐゴシック"/>
        <family val="3"/>
        <charset val="134"/>
        <scheme val="minor"/>
      </rPr>
      <t>权</t>
    </r>
  </si>
  <si>
    <r>
      <t>高粱酒; 果酒; 烈酒; 开胃酒; 白酒; 威士忌;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</t>
    </r>
  </si>
  <si>
    <r>
      <t>骅</t>
    </r>
    <r>
      <rPr>
        <sz val="11"/>
        <color theme="1"/>
        <rFont val="ＭＳ Ｐゴシック"/>
        <family val="3"/>
        <charset val="128"/>
        <scheme val="minor"/>
      </rPr>
      <t>田金地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</si>
  <si>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骅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庆长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</si>
  <si>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食用酒精; 米酒; 葡萄酒; 汽酒;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</si>
  <si>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抚</t>
    </r>
    <r>
      <rPr>
        <sz val="11"/>
        <color theme="1"/>
        <rFont val="ＭＳ Ｐゴシック"/>
        <family val="3"/>
        <charset val="128"/>
        <scheme val="minor"/>
      </rPr>
      <t>千杯</t>
    </r>
  </si>
  <si>
    <t>雷勇</t>
  </si>
  <si>
    <r>
      <t>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高粱酒;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白酒; 食用酒精; 果酒</t>
    </r>
  </si>
  <si>
    <t>悦云起</t>
  </si>
  <si>
    <r>
      <t>孙</t>
    </r>
    <r>
      <rPr>
        <sz val="11"/>
        <color theme="1"/>
        <rFont val="ＭＳ Ｐゴシック"/>
        <family val="3"/>
        <charset val="128"/>
        <scheme val="minor"/>
      </rPr>
      <t>桂英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</si>
  <si>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</si>
  <si>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r>
      <t>加</t>
    </r>
    <r>
      <rPr>
        <sz val="11"/>
        <color theme="1"/>
        <rFont val="ＭＳ Ｐゴシック"/>
        <family val="3"/>
        <charset val="134"/>
        <scheme val="minor"/>
      </rPr>
      <t>仑</t>
    </r>
    <r>
      <rPr>
        <sz val="11"/>
        <color theme="1"/>
        <rFont val="ＭＳ Ｐゴシック"/>
        <family val="3"/>
        <charset val="128"/>
        <scheme val="minor"/>
      </rPr>
      <t>盛宴</t>
    </r>
  </si>
  <si>
    <r>
      <t>远</t>
    </r>
    <r>
      <rPr>
        <sz val="11"/>
        <color theme="1"/>
        <rFont val="ＭＳ Ｐゴシック"/>
        <family val="3"/>
        <charset val="128"/>
        <scheme val="minor"/>
      </rPr>
      <t>征禾木(北京)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</si>
  <si>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</si>
  <si>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旺</t>
    </r>
    <r>
      <rPr>
        <sz val="11"/>
        <color theme="1"/>
        <rFont val="ＭＳ Ｐゴシック"/>
        <family val="3"/>
        <charset val="134"/>
        <scheme val="minor"/>
      </rPr>
      <t>兰</t>
    </r>
  </si>
  <si>
    <r>
      <t>周方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</si>
  <si>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露酒;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果酒（含酒精）; 餐后酒（利口酒和烈酒）; 白酒; 苹果酒;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</si>
  <si>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泉商氿</t>
  </si>
  <si>
    <r>
      <t>流</t>
    </r>
    <r>
      <rPr>
        <sz val="11"/>
        <color theme="1"/>
        <rFont val="ＭＳ Ｐゴシック"/>
        <family val="3"/>
        <charset val="134"/>
        <scheme val="minor"/>
      </rPr>
      <t>动创艺</t>
    </r>
    <r>
      <rPr>
        <sz val="11"/>
        <color theme="1"/>
        <rFont val="ＭＳ Ｐゴシック"/>
        <family val="3"/>
        <charset val="128"/>
        <scheme val="minor"/>
      </rPr>
      <t>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</si>
  <si>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高粱酒;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青稞酒; 果酒（含酒精）; 葡萄酒; 白酒; 含酒精的气泡水</t>
    </r>
  </si>
  <si>
    <t>CAVV</t>
  </si>
  <si>
    <r>
      <t>中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管理（海南）有限公司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</si>
  <si>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开胃酒; 果酒（含酒精）; 米酒;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清酒（日本米酒）; 葡萄酒</t>
    </r>
  </si>
  <si>
    <r>
      <t>醇小</t>
    </r>
    <r>
      <rPr>
        <sz val="11"/>
        <color theme="1"/>
        <rFont val="ＭＳ Ｐゴシック"/>
        <family val="3"/>
        <charset val="134"/>
        <scheme val="minor"/>
      </rPr>
      <t>乔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</si>
  <si>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>用烈酒; 白酒; 露酒;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高粱酒; 米酒; 果酒</t>
    </r>
  </si>
  <si>
    <t>DEIAOR GOLD CITY</t>
  </si>
  <si>
    <r>
      <t>张</t>
    </r>
    <r>
      <rPr>
        <sz val="11"/>
        <color theme="1"/>
        <rFont val="ＭＳ Ｐゴシック"/>
        <family val="3"/>
        <charset val="128"/>
        <scheme val="minor"/>
      </rPr>
      <t>程茗</t>
    </r>
  </si>
  <si>
    <r>
      <t xml:space="preserve">威士忌; 朗姆酒;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利口酒; 葡萄酒</t>
    </r>
  </si>
  <si>
    <t>德村青年</t>
  </si>
  <si>
    <r>
      <t>森禧（宁波）商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</si>
  <si>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水果汽酒;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汽酒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</si>
  <si>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半生半浮生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</si>
  <si>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青稞酒; 黄酒; 果酒（含酒精）; 露酒; 食用酒精</t>
    </r>
  </si>
  <si>
    <r>
      <t>荆钟</t>
    </r>
    <r>
      <rPr>
        <sz val="11"/>
        <color theme="1"/>
        <rFont val="ＭＳ Ｐゴシック"/>
        <family val="3"/>
        <charset val="128"/>
        <scheme val="minor"/>
      </rPr>
      <t>古丰</t>
    </r>
  </si>
  <si>
    <t>古金山</t>
  </si>
  <si>
    <r>
      <t xml:space="preserve">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黄酒;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果酒（含酒精）</t>
    </r>
  </si>
  <si>
    <t>GZNE SOLAR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</si>
  <si>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州国能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</si>
  <si>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葡萄酒;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烈酒; 黄酒</t>
    </r>
  </si>
  <si>
    <t>炊梁</t>
  </si>
  <si>
    <r>
      <t>巴中广</t>
    </r>
    <r>
      <rPr>
        <sz val="11"/>
        <color theme="1"/>
        <rFont val="ＭＳ Ｐゴシック"/>
        <family val="3"/>
        <charset val="134"/>
        <scheme val="minor"/>
      </rPr>
      <t>贸贸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</si>
  <si>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青梅酒; 甜酒; 白酒; 葡萄酒; 果酒;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</si>
  <si>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HIROKO KOSHINO</t>
  </si>
  <si>
    <t>株式会社弘子小篠</t>
  </si>
  <si>
    <r>
      <t>日式甜米酒; 伏特加酒;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草本型利口酒; 清酒（日本米酒）; 白酒; 威士忌;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利口酒;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朗姆酒</t>
    </r>
  </si>
  <si>
    <r>
      <t>山西</t>
    </r>
    <r>
      <rPr>
        <sz val="11"/>
        <color theme="1"/>
        <rFont val="ＭＳ Ｐゴシック"/>
        <family val="3"/>
        <charset val="134"/>
        <scheme val="minor"/>
      </rPr>
      <t>丽华</t>
    </r>
    <r>
      <rPr>
        <sz val="11"/>
        <color theme="1"/>
        <rFont val="ＭＳ Ｐゴシック"/>
        <family val="3"/>
        <charset val="128"/>
        <scheme val="minor"/>
      </rPr>
      <t>大酒店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</si>
  <si>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</si>
  <si>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邈福堂</t>
  </si>
  <si>
    <r>
      <t>高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</si>
  <si>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白酒; 葡萄酒</t>
    </r>
  </si>
  <si>
    <r>
      <t>荆钟</t>
    </r>
    <r>
      <rPr>
        <sz val="11"/>
        <color theme="1"/>
        <rFont val="ＭＳ Ｐゴシック"/>
        <family val="3"/>
        <charset val="128"/>
        <scheme val="minor"/>
      </rPr>
      <t>友志</t>
    </r>
  </si>
  <si>
    <r>
      <t>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葡萄酒; 利口酒;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</si>
  <si>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千</t>
    </r>
    <r>
      <rPr>
        <sz val="11"/>
        <color theme="1"/>
        <rFont val="ＭＳ Ｐゴシック"/>
        <family val="3"/>
        <charset val="134"/>
        <scheme val="minor"/>
      </rPr>
      <t>载</t>
    </r>
    <r>
      <rPr>
        <sz val="11"/>
        <color theme="1"/>
        <rFont val="ＭＳ Ｐゴシック"/>
        <family val="3"/>
        <charset val="128"/>
        <scheme val="minor"/>
      </rPr>
      <t>文君酒</t>
    </r>
  </si>
  <si>
    <r>
      <t>四川省文君酒厂有限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</si>
  <si>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</si>
  <si>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官谷鼎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</si>
  <si>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白干酒（中国白酒）;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</si>
  <si>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酒六后</t>
  </si>
  <si>
    <r>
      <t>北京国美品牌管理服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</si>
  <si>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蒸煮提取物（利口酒和烈酒）;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清酒;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</si>
  <si>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CHUENJOR</t>
  </si>
  <si>
    <r>
      <t>威士忌; 伏特加酒; 开胃酒; 朗姆酒; 混合威士忌酒;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</si>
  <si>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球陌陌</t>
  </si>
  <si>
    <r>
      <t>黄炳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</si>
  <si>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 xml:space="preserve">含酒精的气泡水;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烈酒; 果酒; 威士忌; 黄酒;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</si>
  <si>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OOAGE</t>
  </si>
  <si>
    <t>吴家怡</t>
  </si>
  <si>
    <r>
      <t xml:space="preserve">利口酒; 威士忌;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果酒; 薄荷酒;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</si>
  <si>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经</t>
    </r>
    <r>
      <rPr>
        <sz val="11"/>
        <color theme="1"/>
        <rFont val="ＭＳ Ｐゴシック"/>
        <family val="3"/>
        <charset val="128"/>
        <scheme val="minor"/>
      </rPr>
      <t>致</t>
    </r>
  </si>
  <si>
    <t>上官磊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</si>
  <si>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汽酒; 白酒; 果酒;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</t>
    </r>
  </si>
  <si>
    <r>
      <t>花</t>
    </r>
    <r>
      <rPr>
        <sz val="11"/>
        <color theme="1"/>
        <rFont val="ＭＳ Ｐゴシック"/>
        <family val="3"/>
        <charset val="134"/>
        <scheme val="minor"/>
      </rPr>
      <t>样</t>
    </r>
    <r>
      <rPr>
        <sz val="11"/>
        <color theme="1"/>
        <rFont val="ＭＳ Ｐゴシック"/>
        <family val="3"/>
        <charset val="128"/>
        <scheme val="minor"/>
      </rPr>
      <t>梅好</t>
    </r>
  </si>
  <si>
    <r>
      <t>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葡萄酒; 烈酒; 黄酒;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</si>
  <si>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吉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已</t>
    </r>
  </si>
  <si>
    <r>
      <t>利口酒;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黄酒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</si>
  <si>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欢欢</t>
    </r>
  </si>
  <si>
    <r>
      <t>甜果酒;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白干酒（中国白酒）;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果酒（含酒精）</t>
    </r>
  </si>
  <si>
    <t>酒8后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</si>
  <si>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清酒</t>
    </r>
  </si>
  <si>
    <t>圕将</t>
  </si>
  <si>
    <r>
      <t xml:space="preserve">白酒; 葡萄酒; 果酒（含酒精）; 米酒;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开胃酒</t>
    </r>
  </si>
  <si>
    <t>合融德通</t>
  </si>
  <si>
    <r>
      <t>德通法律咨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（河北）有限公司</t>
    </r>
  </si>
  <si>
    <r>
      <t xml:space="preserve">威士忌; 白酒; 甜果酒; 清酒（日本米酒）;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果酒（含酒精）; 梅酒</t>
    </r>
  </si>
  <si>
    <t>酒意思</t>
  </si>
  <si>
    <r>
      <t>龙</t>
    </r>
    <r>
      <rPr>
        <sz val="11"/>
        <color theme="1"/>
        <rFont val="ＭＳ Ｐゴシック"/>
        <family val="3"/>
        <charset val="128"/>
        <scheme val="minor"/>
      </rPr>
      <t>港淮达</t>
    </r>
    <r>
      <rPr>
        <sz val="11"/>
        <color theme="1"/>
        <rFont val="ＭＳ Ｐゴシック"/>
        <family val="3"/>
        <charset val="134"/>
        <scheme val="minor"/>
      </rPr>
      <t>标</t>
    </r>
    <r>
      <rPr>
        <sz val="11"/>
        <color theme="1"/>
        <rFont val="ＭＳ Ｐゴシック"/>
        <family val="3"/>
        <charset val="128"/>
        <scheme val="minor"/>
      </rPr>
      <t>牌有限公司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</si>
  <si>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果酒（含酒精）</t>
    </r>
  </si>
  <si>
    <t>GARUZIS</t>
  </si>
  <si>
    <r>
      <t>马</t>
    </r>
    <r>
      <rPr>
        <sz val="11"/>
        <color theme="1"/>
        <rFont val="ＭＳ Ｐゴシック"/>
        <family val="3"/>
        <charset val="128"/>
        <scheme val="minor"/>
      </rPr>
      <t>莫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科普夫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（私人）有限公司</t>
    </r>
  </si>
  <si>
    <t>琉璃胡同</t>
  </si>
  <si>
    <r>
      <t>北京雅居小厨餐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</si>
  <si>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青稞酒; 黄酒</t>
    </r>
  </si>
  <si>
    <r>
      <t>纯</t>
    </r>
    <r>
      <rPr>
        <sz val="11"/>
        <color theme="1"/>
        <rFont val="ＭＳ Ｐゴシック"/>
        <family val="3"/>
        <charset val="128"/>
        <scheme val="minor"/>
      </rPr>
      <t>牧源</t>
    </r>
  </si>
  <si>
    <r>
      <t>米酒; 黄酒;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</t>
    </r>
  </si>
  <si>
    <r>
      <t>陶小</t>
    </r>
    <r>
      <rPr>
        <sz val="11"/>
        <color theme="1"/>
        <rFont val="ＭＳ Ｐゴシック"/>
        <family val="3"/>
        <charset val="134"/>
        <scheme val="minor"/>
      </rPr>
      <t>乔</t>
    </r>
  </si>
  <si>
    <r>
      <t>露酒; 高粱酒;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食用酒精</t>
    </r>
  </si>
  <si>
    <r>
      <t>菜园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</si>
  <si>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陆</t>
    </r>
    <r>
      <rPr>
        <sz val="11"/>
        <color theme="1"/>
        <rFont val="ＭＳ Ｐゴシック"/>
        <family val="3"/>
        <charset val="128"/>
        <scheme val="minor"/>
      </rPr>
      <t>新旭</t>
    </r>
  </si>
  <si>
    <r>
      <t xml:space="preserve">黄酒; 食用酒精; 白酒; 清酒;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甜酒; 果酒; 米酒</t>
    </r>
  </si>
  <si>
    <r>
      <t>祥运</t>
    </r>
    <r>
      <rPr>
        <sz val="11"/>
        <color theme="1"/>
        <rFont val="ＭＳ Ｐゴシック"/>
        <family val="3"/>
        <charset val="134"/>
        <scheme val="minor"/>
      </rPr>
      <t>斋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</si>
  <si>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州正本堂健康管理有限公司</t>
    </r>
  </si>
  <si>
    <r>
      <t>清酒; 五加皮酒（中国混合烈酒）; 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开胃酒;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果酒; 黄酒</t>
    </r>
  </si>
  <si>
    <t>MULONDO</t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</si>
  <si>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含酒精的气泡水;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米酒</t>
    </r>
  </si>
  <si>
    <r>
      <t>万邦</t>
    </r>
    <r>
      <rPr>
        <sz val="11"/>
        <color theme="1"/>
        <rFont val="ＭＳ Ｐゴシック"/>
        <family val="3"/>
        <charset val="134"/>
        <scheme val="minor"/>
      </rPr>
      <t>红</t>
    </r>
  </si>
  <si>
    <t>林永泉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</si>
  <si>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</si>
  <si>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奚</t>
    </r>
    <r>
      <rPr>
        <sz val="11"/>
        <color theme="1"/>
        <rFont val="ＭＳ Ｐゴシック"/>
        <family val="3"/>
        <charset val="134"/>
        <scheme val="minor"/>
      </rPr>
      <t>营</t>
    </r>
  </si>
  <si>
    <r>
      <t>吉林省瑞天酒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</si>
  <si>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汽酒; 烈酒;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高粱酒; 果酒（含酒精）; 米酒</t>
    </r>
  </si>
  <si>
    <r>
      <t>薯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令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</si>
  <si>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三只羊酒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</si>
  <si>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食用酒精; 黄酒;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</si>
  <si>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酩英雄</t>
    </r>
  </si>
  <si>
    <r>
      <t xml:space="preserve">烈酒; 白酒; 葡萄酒; 清酒（日本米酒）; 开胃酒;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</si>
  <si>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菁霖牧</t>
    </r>
    <r>
      <rPr>
        <sz val="11"/>
        <color theme="1"/>
        <rFont val="ＭＳ Ｐゴシック"/>
        <family val="3"/>
        <charset val="134"/>
        <scheme val="minor"/>
      </rPr>
      <t>语</t>
    </r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</si>
  <si>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供商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</si>
  <si>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葡萄酒; 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</si>
  <si>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棠初</t>
    </r>
  </si>
  <si>
    <t>陈鸣红</t>
  </si>
  <si>
    <r>
      <t>白酒; 食用酒精;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</si>
  <si>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崝牛</t>
  </si>
  <si>
    <r>
      <t>梅</t>
    </r>
    <r>
      <rPr>
        <sz val="11"/>
        <color theme="1"/>
        <rFont val="ＭＳ Ｐゴシック"/>
        <family val="3"/>
        <charset val="134"/>
        <scheme val="minor"/>
      </rPr>
      <t>姗姗</t>
    </r>
  </si>
  <si>
    <r>
      <t>白干酒（中国白酒）; 黄酒; 开胃酒; 烈酒; 高粱酒;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</si>
  <si>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汣</t>
    </r>
    <r>
      <rPr>
        <sz val="11"/>
        <color theme="1"/>
        <rFont val="ＭＳ Ｐゴシック"/>
        <family val="3"/>
        <charset val="129"/>
        <scheme val="minor"/>
      </rPr>
      <t>渱</t>
    </r>
    <r>
      <rPr>
        <sz val="11"/>
        <color theme="1"/>
        <rFont val="ＭＳ Ｐゴシック"/>
        <family val="3"/>
        <charset val="128"/>
        <scheme val="minor"/>
      </rPr>
      <t>醇</t>
    </r>
  </si>
  <si>
    <t>王虹</t>
  </si>
  <si>
    <r>
      <t>开胃酒; 伏特加酒;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</t>
    </r>
  </si>
  <si>
    <r>
      <t>陶</t>
    </r>
    <r>
      <rPr>
        <sz val="11"/>
        <color theme="1"/>
        <rFont val="ＭＳ Ｐゴシック"/>
        <family val="3"/>
        <charset val="134"/>
        <scheme val="minor"/>
      </rPr>
      <t>凼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</si>
  <si>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露酒; 果酒; 白酒;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米酒; 食用酒精</t>
    </r>
  </si>
  <si>
    <r>
      <t>火</t>
    </r>
    <r>
      <rPr>
        <sz val="11"/>
        <color theme="1"/>
        <rFont val="ＭＳ Ｐゴシック"/>
        <family val="3"/>
        <charset val="134"/>
        <scheme val="minor"/>
      </rPr>
      <t>锅</t>
    </r>
    <r>
      <rPr>
        <sz val="11"/>
        <color theme="1"/>
        <rFont val="ＭＳ Ｐゴシック"/>
        <family val="3"/>
        <charset val="128"/>
        <scheme val="minor"/>
      </rPr>
      <t>皇上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</si>
  <si>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志春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</si>
  <si>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</si>
  <si>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迎</t>
    </r>
    <r>
      <rPr>
        <sz val="11"/>
        <color theme="1"/>
        <rFont val="ＭＳ Ｐゴシック"/>
        <family val="3"/>
        <charset val="134"/>
        <scheme val="minor"/>
      </rPr>
      <t>续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</si>
  <si>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州迎</t>
    </r>
    <r>
      <rPr>
        <sz val="11"/>
        <color theme="1"/>
        <rFont val="ＭＳ Ｐゴシック"/>
        <family val="3"/>
        <charset val="134"/>
        <scheme val="minor"/>
      </rPr>
      <t>续</t>
    </r>
    <r>
      <rPr>
        <sz val="11"/>
        <color theme="1"/>
        <rFont val="ＭＳ Ｐゴシック"/>
        <family val="3"/>
        <charset val="128"/>
        <scheme val="minor"/>
      </rPr>
      <t>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</si>
  <si>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名粮天下</t>
  </si>
  <si>
    <r>
      <t>费</t>
    </r>
    <r>
      <rPr>
        <sz val="11"/>
        <color theme="1"/>
        <rFont val="ＭＳ Ｐゴシック"/>
        <family val="3"/>
        <charset val="128"/>
        <scheme val="minor"/>
      </rPr>
      <t>裕康</t>
    </r>
  </si>
  <si>
    <r>
      <t xml:space="preserve">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清酒; 白干酒（中国白酒）</t>
    </r>
  </si>
  <si>
    <r>
      <t>牟</t>
    </r>
    <r>
      <rPr>
        <sz val="11"/>
        <color theme="1"/>
        <rFont val="ＭＳ Ｐゴシック"/>
        <family val="3"/>
        <charset val="134"/>
        <scheme val="minor"/>
      </rPr>
      <t>蓝</t>
    </r>
  </si>
  <si>
    <r>
      <t>靖宇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三道湖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向阳村村民委</t>
    </r>
    <r>
      <rPr>
        <sz val="11"/>
        <color theme="1"/>
        <rFont val="ＭＳ Ｐゴシック"/>
        <family val="3"/>
        <charset val="134"/>
        <scheme val="minor"/>
      </rPr>
      <t>员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</si>
  <si>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>蜂蜜酒;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</si>
  <si>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MEQING</t>
  </si>
  <si>
    <r>
      <t>白酒; 黄酒; 露酒; 米酒; 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</t>
    </r>
  </si>
  <si>
    <t>戎洲芯</t>
  </si>
  <si>
    <t>上海戎洲芯科技有限公司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</si>
  <si>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米酒;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白酒</t>
    </r>
  </si>
  <si>
    <r>
      <t>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甜酒; 果酒; 五加皮酒（中国混合烈酒）; 米酒; 开胃酒</t>
    </r>
  </si>
  <si>
    <r>
      <t>回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吟(高密)酒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</si>
  <si>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露酒; 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食用酒精;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</si>
  <si>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宇王星</t>
  </si>
  <si>
    <t>河北雄安星浩科技有限公司</t>
  </si>
  <si>
    <r>
      <t>青梅酒; 白酒; 白干酒（中国白酒）;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葡萄酒; 米酒</t>
    </r>
  </si>
  <si>
    <r>
      <t>拉</t>
    </r>
    <r>
      <rPr>
        <sz val="11"/>
        <color theme="1"/>
        <rFont val="ＭＳ Ｐゴシック"/>
        <family val="3"/>
        <charset val="134"/>
        <scheme val="minor"/>
      </rPr>
      <t>图</t>
    </r>
    <r>
      <rPr>
        <sz val="11"/>
        <color theme="1"/>
        <rFont val="ＭＳ Ｐゴシック"/>
        <family val="3"/>
        <charset val="128"/>
        <scheme val="minor"/>
      </rPr>
      <t>加德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</si>
  <si>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北京瑞巴特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物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出口有限公司</t>
    </r>
  </si>
  <si>
    <r>
      <t>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葡萄潘趣酒;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起泡白葡萄酒; 葡萄汽酒; 桑格利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汽酒; 加香料的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葡萄酒; 加烈葡萄酒</t>
    </r>
  </si>
  <si>
    <r>
      <t>闫</t>
    </r>
    <r>
      <rPr>
        <sz val="11"/>
        <color theme="1"/>
        <rFont val="ＭＳ Ｐゴシック"/>
        <family val="3"/>
        <charset val="128"/>
        <scheme val="minor"/>
      </rPr>
      <t>氏广富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</si>
  <si>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米酒;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</si>
  <si>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糖智</t>
    </r>
    <r>
      <rPr>
        <sz val="11"/>
        <color theme="1"/>
        <rFont val="ＭＳ Ｐゴシック"/>
        <family val="3"/>
        <charset val="134"/>
        <scheme val="minor"/>
      </rPr>
      <t>领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</si>
  <si>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沙市开福区逆糖健康管理工作室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</si>
  <si>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</si>
  <si>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王智博</t>
  </si>
  <si>
    <r>
      <t>果酒（含酒精）;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清酒; 黄酒</t>
    </r>
  </si>
  <si>
    <r>
      <t>鹿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康</t>
    </r>
  </si>
  <si>
    <r>
      <t>房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宇森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牧养殖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</si>
  <si>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白干酒（中国白酒）;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露酒; 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</si>
  <si>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寿</t>
    </r>
  </si>
  <si>
    <r>
      <t>石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娜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</si>
  <si>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葡萄酒;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</si>
  <si>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巡品匠</t>
  </si>
  <si>
    <r>
      <t>刘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</si>
  <si>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烈酒; 白酒; 开胃酒;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白干酒（中国白酒）;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</si>
  <si>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水茜十八寨</t>
  </si>
  <si>
    <r>
      <t>宁化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磨石寨大峡谷景区开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</si>
  <si>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白酒; 葡萄酒; 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</si>
  <si>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MECARON FORT</t>
  </si>
  <si>
    <r>
      <t>上海醉今朝酒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</si>
  <si>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起泡白葡萄酒;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</si>
  <si>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r>
      <t>萃养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方</t>
    </r>
  </si>
  <si>
    <t>金陵文化有限公司</t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</si>
  <si>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开胃酒;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</si>
  <si>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京香念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</si>
  <si>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食用酒精;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清酒（日本米酒）</t>
    </r>
  </si>
  <si>
    <r>
      <t>冯记</t>
    </r>
    <r>
      <rPr>
        <sz val="11"/>
        <color theme="1"/>
        <rFont val="ＭＳ Ｐゴシック"/>
        <family val="3"/>
        <charset val="128"/>
        <scheme val="minor"/>
      </rPr>
      <t>德盛园</t>
    </r>
  </si>
  <si>
    <r>
      <t>冯</t>
    </r>
    <r>
      <rPr>
        <sz val="11"/>
        <color theme="1"/>
        <rFont val="ＭＳ Ｐゴシック"/>
        <family val="3"/>
        <charset val="128"/>
        <scheme val="minor"/>
      </rPr>
      <t>海峰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</si>
  <si>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</t>
    </r>
  </si>
  <si>
    <r>
      <t>闫</t>
    </r>
    <r>
      <rPr>
        <sz val="11"/>
        <color theme="1"/>
        <rFont val="ＭＳ Ｐゴシック"/>
        <family val="3"/>
        <charset val="128"/>
        <scheme val="minor"/>
      </rPr>
      <t>氏广</t>
    </r>
    <r>
      <rPr>
        <sz val="11"/>
        <color theme="1"/>
        <rFont val="ＭＳ Ｐゴシック"/>
        <family val="3"/>
        <charset val="134"/>
        <scheme val="minor"/>
      </rPr>
      <t>发</t>
    </r>
  </si>
  <si>
    <r>
      <t>葡萄酒;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</si>
  <si>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叶久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</si>
  <si>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</si>
  <si>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十八甫潮臻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</si>
  <si>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十八甫（广州）文化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</si>
  <si>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黄酒; 葡萄酒;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米酒;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</si>
  <si>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劢</t>
    </r>
    <r>
      <rPr>
        <sz val="11"/>
        <color theme="1"/>
        <rFont val="ＭＳ Ｐゴシック"/>
        <family val="3"/>
        <charset val="128"/>
        <scheme val="minor"/>
      </rPr>
      <t>盟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</si>
  <si>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多彩企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</si>
  <si>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食用酒精; 烈酒; 蒸煮提取物（利口酒和烈酒）; 白干酒（中国白酒）;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</t>
    </r>
  </si>
  <si>
    <t>恒大</t>
  </si>
  <si>
    <r>
      <t>江西恒大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</si>
  <si>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</si>
  <si>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YELS 叶露莎</t>
  </si>
  <si>
    <r>
      <t>徐雄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</si>
  <si>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 xml:space="preserve">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蝮蛇酒;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开胃酒; 起泡白葡萄酒; 葡萄酒</t>
    </r>
  </si>
  <si>
    <t>善渡仁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</si>
  <si>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州善渡仁商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</si>
  <si>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白干酒（中国白酒）;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五加皮酒（中国混合烈酒）; 开胃酒; 葡萄酒;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</si>
  <si>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见</t>
    </r>
    <r>
      <rPr>
        <sz val="11"/>
        <color theme="1"/>
        <rFont val="ＭＳ Ｐゴシック"/>
        <family val="3"/>
        <charset val="128"/>
        <scheme val="minor"/>
      </rPr>
      <t>染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</si>
  <si>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易</t>
    </r>
    <r>
      <rPr>
        <sz val="11"/>
        <color theme="1"/>
        <rFont val="ＭＳ Ｐゴシック"/>
        <family val="3"/>
        <charset val="134"/>
        <scheme val="minor"/>
      </rPr>
      <t>营销</t>
    </r>
    <r>
      <rPr>
        <sz val="11"/>
        <color theme="1"/>
        <rFont val="ＭＳ Ｐゴシック"/>
        <family val="3"/>
        <charset val="128"/>
        <scheme val="minor"/>
      </rPr>
      <t>策划有限公司</t>
    </r>
  </si>
  <si>
    <r>
      <t xml:space="preserve">蜂蜜酒;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烈酒; 清酒; 黄酒; 葡萄酒</t>
    </r>
  </si>
  <si>
    <r>
      <t>鲍</t>
    </r>
    <r>
      <rPr>
        <sz val="11"/>
        <color theme="1"/>
        <rFont val="ＭＳ Ｐゴシック"/>
        <family val="3"/>
        <charset val="128"/>
        <scheme val="minor"/>
      </rPr>
      <t>牙先森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</si>
  <si>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威士忌</t>
    </r>
  </si>
  <si>
    <r>
      <t>绎酱</t>
    </r>
    <r>
      <rPr>
        <sz val="11"/>
        <color theme="1"/>
        <rFont val="ＭＳ Ｐゴシック"/>
        <family val="3"/>
        <charset val="128"/>
        <scheme val="minor"/>
      </rPr>
      <t>迎</t>
    </r>
    <r>
      <rPr>
        <sz val="11"/>
        <color theme="1"/>
        <rFont val="ＭＳ Ｐゴシック"/>
        <family val="3"/>
        <charset val="134"/>
        <scheme val="minor"/>
      </rPr>
      <t>缤</t>
    </r>
  </si>
  <si>
    <t>LATOUR GARDERE</t>
  </si>
  <si>
    <r>
      <t>加香料的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葡萄酒; 葡萄汽酒; 桑格利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葡萄潘趣酒;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起泡白葡萄酒; 加烈葡萄酒;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</t>
    </r>
  </si>
  <si>
    <r>
      <t>贺</t>
    </r>
    <r>
      <rPr>
        <sz val="11"/>
        <color theme="1"/>
        <rFont val="ＭＳ Ｐゴシック"/>
        <family val="3"/>
        <charset val="128"/>
        <scheme val="minor"/>
      </rPr>
      <t>京酩</t>
    </r>
  </si>
  <si>
    <r>
      <t>邱广</t>
    </r>
    <r>
      <rPr>
        <sz val="11"/>
        <color theme="1"/>
        <rFont val="ＭＳ Ｐゴシック"/>
        <family val="3"/>
        <charset val="134"/>
        <scheme val="minor"/>
      </rPr>
      <t>进</t>
    </r>
  </si>
  <si>
    <r>
      <t>朗姆酒; 黄酒; 白酒; 食用酒精; 威士忌;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</t>
    </r>
  </si>
  <si>
    <r>
      <t>优</t>
    </r>
    <r>
      <rPr>
        <sz val="11"/>
        <color theme="1"/>
        <rFont val="ＭＳ Ｐゴシック"/>
        <family val="3"/>
        <charset val="128"/>
        <scheme val="minor"/>
      </rPr>
      <t>美惠</t>
    </r>
  </si>
  <si>
    <r>
      <t>安徽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美惠食品有限公司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</si>
  <si>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</t>
    </r>
  </si>
  <si>
    <r>
      <t>君竹</t>
    </r>
    <r>
      <rPr>
        <sz val="11"/>
        <color theme="1"/>
        <rFont val="ＭＳ Ｐゴシック"/>
        <family val="3"/>
        <charset val="134"/>
        <scheme val="minor"/>
      </rPr>
      <t>蕴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</si>
  <si>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</si>
  <si>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食用酒精; 清酒（日本米酒）; 米酒; 果酒（含酒精）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</si>
  <si>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台鼎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</si>
  <si>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</si>
  <si>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朗姆酒; 伏特加酒; 白酒; 米酒;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葡萄酒; 果酒</t>
    </r>
  </si>
  <si>
    <t>谷花韵</t>
  </si>
  <si>
    <r>
      <t>谢</t>
    </r>
    <r>
      <rPr>
        <sz val="11"/>
        <color theme="1"/>
        <rFont val="ＭＳ Ｐゴシック"/>
        <family val="3"/>
        <charset val="128"/>
        <scheme val="minor"/>
      </rPr>
      <t>方喜</t>
    </r>
  </si>
  <si>
    <r>
      <t xml:space="preserve">白酒; 高粱酒; 米酒;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葡萄酒; 黄酒; 威士忌</t>
    </r>
  </si>
  <si>
    <t>牧小九</t>
  </si>
  <si>
    <t>陶俊</t>
  </si>
  <si>
    <r>
      <t xml:space="preserve">黄酒; 开胃酒; 葡萄酒;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高粱酒; 威士忌; 白酒</t>
    </r>
  </si>
  <si>
    <t>谷三千</t>
  </si>
  <si>
    <r>
      <t>谢</t>
    </r>
    <r>
      <rPr>
        <sz val="11"/>
        <color theme="1"/>
        <rFont val="ＭＳ Ｐゴシック"/>
        <family val="3"/>
        <charset val="128"/>
        <scheme val="minor"/>
      </rPr>
      <t>如</t>
    </r>
    <r>
      <rPr>
        <sz val="11"/>
        <color theme="1"/>
        <rFont val="ＭＳ Ｐゴシック"/>
        <family val="3"/>
        <charset val="134"/>
        <scheme val="minor"/>
      </rPr>
      <t>铭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</si>
  <si>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威士忌; 黄酒; 葡萄酒; 青稞酒; 白酒; 高粱酒</t>
    </r>
  </si>
  <si>
    <r>
      <t>踏云</t>
    </r>
    <r>
      <rPr>
        <sz val="11"/>
        <color theme="1"/>
        <rFont val="ＭＳ Ｐゴシック"/>
        <family val="3"/>
        <charset val="134"/>
        <scheme val="minor"/>
      </rPr>
      <t>边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</si>
  <si>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青稞酒; 白酒; 威士忌; 米酒;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葡萄酒</t>
    </r>
  </si>
  <si>
    <t>XSDUN</t>
  </si>
  <si>
    <r>
      <t>长</t>
    </r>
    <r>
      <rPr>
        <sz val="11"/>
        <color theme="1"/>
        <rFont val="ＭＳ Ｐゴシック"/>
        <family val="3"/>
        <charset val="128"/>
        <scheme val="minor"/>
      </rPr>
      <t>沙盛捷酒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</si>
  <si>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伏特加酒; 威士忌; 葡萄酒;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</si>
  <si>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羽美好</t>
  </si>
  <si>
    <r>
      <t>巴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九</t>
    </r>
    <r>
      <rPr>
        <sz val="11"/>
        <color theme="1"/>
        <rFont val="ＭＳ Ｐゴシック"/>
        <family val="3"/>
        <charset val="134"/>
        <scheme val="minor"/>
      </rPr>
      <t>赢</t>
    </r>
    <r>
      <rPr>
        <sz val="11"/>
        <color theme="1"/>
        <rFont val="ＭＳ Ｐゴシック"/>
        <family val="3"/>
        <charset val="128"/>
        <scheme val="minor"/>
      </rPr>
      <t>久道健康科技有限公司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</si>
  <si>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米酒; 白酒;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</si>
  <si>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呈握吉粮</t>
  </si>
  <si>
    <t>霍春雷</t>
  </si>
  <si>
    <r>
      <t>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葡萄酒; 烈酒; 白酒</t>
    </r>
  </si>
  <si>
    <t>君洋玉</t>
  </si>
  <si>
    <r>
      <t>陈</t>
    </r>
    <r>
      <rPr>
        <sz val="11"/>
        <color theme="1"/>
        <rFont val="ＭＳ Ｐゴシック"/>
        <family val="3"/>
        <charset val="128"/>
        <scheme val="minor"/>
      </rPr>
      <t>立君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</si>
  <si>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果酒（含酒精）;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</si>
  <si>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春庄</t>
  </si>
  <si>
    <t>张凯</t>
  </si>
  <si>
    <r>
      <t>葡萄酒; 伏特加酒; 黄酒;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</si>
  <si>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福桶山</t>
  </si>
  <si>
    <r>
      <t>平江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岳泰福寿山旅游开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</si>
  <si>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清酒（日本米酒）;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</si>
  <si>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威武炎炎</t>
  </si>
  <si>
    <r>
      <t>宁波威武炎炎餐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</si>
  <si>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白酒;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汽酒; 葡萄酒; 米酒;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甜果酒</t>
    </r>
  </si>
  <si>
    <t>九摘</t>
  </si>
  <si>
    <r>
      <t>武蒙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</si>
  <si>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果酒（含酒精）; 白酒; 高粱酒; 葡萄酒</t>
    </r>
  </si>
  <si>
    <t>JINGXIUFANG</t>
  </si>
  <si>
    <r>
      <t>曹国</t>
    </r>
    <r>
      <rPr>
        <sz val="11"/>
        <color theme="1"/>
        <rFont val="ＭＳ Ｐゴシック"/>
        <family val="3"/>
        <charset val="134"/>
        <scheme val="minor"/>
      </rPr>
      <t>财</t>
    </r>
  </si>
  <si>
    <r>
      <t>苹果酒; 餐后酒（利口酒和烈酒）;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米酒; 果酒（含酒精）</t>
    </r>
  </si>
  <si>
    <r>
      <t>秘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(北京)科技有限公司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</si>
  <si>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白酒; 威士忌; 开胃酒</t>
    </r>
  </si>
  <si>
    <t>色原元舍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</si>
  <si>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色原科技有限公司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</si>
  <si>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威士忌;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清酒; 高粱酒; 米酒</t>
    </r>
  </si>
  <si>
    <t>LUBERTNE</t>
  </si>
  <si>
    <r>
      <t xml:space="preserve">食用酒精;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伏特加酒; 朗姆酒;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</si>
  <si>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绿</t>
    </r>
    <r>
      <rPr>
        <sz val="11"/>
        <color theme="1"/>
        <rFont val="ＭＳ Ｐゴシック"/>
        <family val="3"/>
        <charset val="128"/>
        <scheme val="minor"/>
      </rPr>
      <t>夏</t>
    </r>
  </si>
  <si>
    <r>
      <t>天幕(香港)国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</si>
  <si>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日本梅子酒; 白酒</t>
    </r>
  </si>
  <si>
    <r>
      <t>银</t>
    </r>
    <r>
      <rPr>
        <sz val="11"/>
        <color theme="1"/>
        <rFont val="ＭＳ Ｐゴシック"/>
        <family val="3"/>
        <charset val="128"/>
        <scheme val="minor"/>
      </rPr>
      <t>岭将酒</t>
    </r>
  </si>
  <si>
    <r>
      <t>银</t>
    </r>
    <r>
      <rPr>
        <sz val="11"/>
        <color theme="1"/>
        <rFont val="ＭＳ Ｐゴシック"/>
        <family val="3"/>
        <charset val="128"/>
        <scheme val="minor"/>
      </rPr>
      <t>陵酒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（衡水）有限公司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</si>
  <si>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葡萄酒; 白酒; 米酒</t>
    </r>
  </si>
  <si>
    <t>GAYESHNER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</si>
  <si>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</si>
  <si>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君</t>
    </r>
    <r>
      <rPr>
        <sz val="11"/>
        <color theme="1"/>
        <rFont val="ＭＳ Ｐゴシック"/>
        <family val="3"/>
        <charset val="134"/>
        <scheme val="minor"/>
      </rPr>
      <t>鉴蕴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</si>
  <si>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食用酒精; 米酒;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葡萄酒</t>
    </r>
  </si>
  <si>
    <t>君厚美</t>
  </si>
  <si>
    <r>
      <t>果酒（含酒精）; 葡萄酒; 汽酒;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</si>
  <si>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t>甲居庄园</t>
  </si>
  <si>
    <r>
      <t>甘孜州丹巴女王城堡酒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</si>
  <si>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青稞酒;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葡萄酒; 不起泡葡萄酒;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白葡萄酒</t>
    </r>
  </si>
  <si>
    <t>黔酺老</t>
  </si>
  <si>
    <r>
      <t>钟</t>
    </r>
    <r>
      <rPr>
        <sz val="11"/>
        <color theme="1"/>
        <rFont val="ＭＳ Ｐゴシック"/>
        <family val="3"/>
        <charset val="128"/>
        <scheme val="minor"/>
      </rPr>
      <t>方毅</t>
    </r>
  </si>
  <si>
    <r>
      <t xml:space="preserve">清酒（日本米酒）; 汽酒;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</si>
  <si>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宫</t>
    </r>
    <r>
      <rPr>
        <sz val="11"/>
        <color theme="1"/>
        <rFont val="ＭＳ Ｐゴシック"/>
        <family val="3"/>
        <charset val="128"/>
        <scheme val="minor"/>
      </rPr>
      <t>酬</t>
    </r>
  </si>
  <si>
    <r>
      <t>汽酒; 清酒（日本米酒）;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米酒;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</si>
  <si>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优</t>
    </r>
    <r>
      <rPr>
        <sz val="11"/>
        <color theme="1"/>
        <rFont val="ＭＳ Ｐゴシック"/>
        <family val="3"/>
        <charset val="128"/>
        <scheme val="minor"/>
      </rPr>
      <t>豹</t>
    </r>
  </si>
  <si>
    <r>
      <t>清酒（日本米酒）;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</si>
  <si>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钱</t>
    </r>
    <r>
      <rPr>
        <sz val="11"/>
        <color theme="1"/>
        <rFont val="ＭＳ Ｐゴシック"/>
        <family val="3"/>
        <charset val="128"/>
        <scheme val="minor"/>
      </rPr>
      <t>酒金</t>
    </r>
    <r>
      <rPr>
        <sz val="11"/>
        <color theme="1"/>
        <rFont val="ＭＳ Ｐゴシック"/>
        <family val="3"/>
        <charset val="134"/>
        <scheme val="minor"/>
      </rPr>
      <t>钱</t>
    </r>
    <r>
      <rPr>
        <sz val="11"/>
        <color theme="1"/>
        <rFont val="ＭＳ Ｐゴシック"/>
        <family val="3"/>
        <charset val="128"/>
        <scheme val="minor"/>
      </rPr>
      <t>豹</t>
    </r>
  </si>
  <si>
    <r>
      <t>逸夫科技（集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</si>
  <si>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米酒; 青稞酒;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葡萄酒; 黄酒; 果酒; 梅酒</t>
    </r>
  </si>
  <si>
    <t>STONE LIFE</t>
  </si>
  <si>
    <t>李炎俊（深圳）品牌策划有限公司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</si>
  <si>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</t>
    </r>
  </si>
  <si>
    <r>
      <t>铁门</t>
    </r>
    <r>
      <rPr>
        <sz val="11"/>
        <color theme="1"/>
        <rFont val="ＭＳ Ｐゴシック"/>
        <family val="3"/>
        <charset val="128"/>
        <scheme val="minor"/>
      </rPr>
      <t>关市国源生物科技有限公司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</si>
  <si>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梨酒; 白干酒（中国白酒）; 葡萄汽酒;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白葡萄酒; 果酒（含酒精）; 苹果酒; 起泡白葡萄酒</t>
    </r>
  </si>
  <si>
    <t>拳中正楷</t>
  </si>
  <si>
    <r>
      <t>胡俊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</si>
  <si>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果酒（含酒精）</t>
    </r>
  </si>
  <si>
    <r>
      <t>唐</t>
    </r>
    <r>
      <rPr>
        <sz val="11"/>
        <color theme="1"/>
        <rFont val="ＭＳ Ｐゴシック"/>
        <family val="3"/>
        <charset val="134"/>
        <scheme val="minor"/>
      </rPr>
      <t>贵飞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</si>
  <si>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州遵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唐</t>
    </r>
    <r>
      <rPr>
        <sz val="11"/>
        <color theme="1"/>
        <rFont val="ＭＳ Ｐゴシック"/>
        <family val="3"/>
        <charset val="134"/>
        <scheme val="minor"/>
      </rPr>
      <t>贵飞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</si>
  <si>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米酒; 葡萄酒; 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白酒; 黄酒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</si>
  <si>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古裕</t>
    </r>
  </si>
  <si>
    <r>
      <t xml:space="preserve">威士忌; 米酒; 白酒;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高粱酒; 黄酒</t>
    </r>
  </si>
  <si>
    <r>
      <t>贰</t>
    </r>
    <r>
      <rPr>
        <sz val="11"/>
        <color theme="1"/>
        <rFont val="ＭＳ Ｐゴシック"/>
        <family val="3"/>
        <charset val="128"/>
        <scheme val="minor"/>
      </rPr>
      <t>零幺基</t>
    </r>
  </si>
  <si>
    <r>
      <t>严</t>
    </r>
    <r>
      <rPr>
        <sz val="11"/>
        <color theme="1"/>
        <rFont val="ＭＳ Ｐゴシック"/>
        <family val="3"/>
        <charset val="128"/>
        <scheme val="minor"/>
      </rPr>
      <t>光碧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</si>
  <si>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</si>
  <si>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绾</t>
    </r>
    <r>
      <rPr>
        <sz val="11"/>
        <color theme="1"/>
        <rFont val="ＭＳ Ｐゴシック"/>
        <family val="3"/>
        <charset val="128"/>
        <scheme val="minor"/>
      </rPr>
      <t>意</t>
    </r>
  </si>
  <si>
    <r>
      <t>浏</t>
    </r>
    <r>
      <rPr>
        <sz val="11"/>
        <color theme="1"/>
        <rFont val="ＭＳ Ｐゴシック"/>
        <family val="3"/>
        <charset val="128"/>
        <scheme val="minor"/>
      </rPr>
      <t>阳市康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</si>
  <si>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 xml:space="preserve">果酒（含酒精）; 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</t>
    </r>
  </si>
  <si>
    <r>
      <t>钱</t>
    </r>
    <r>
      <rPr>
        <sz val="11"/>
        <color theme="1"/>
        <rFont val="ＭＳ Ｐゴシック"/>
        <family val="3"/>
        <charset val="128"/>
        <scheme val="minor"/>
      </rPr>
      <t>王</t>
    </r>
    <r>
      <rPr>
        <sz val="11"/>
        <color theme="1"/>
        <rFont val="ＭＳ Ｐゴシック"/>
        <family val="3"/>
        <charset val="134"/>
        <scheme val="minor"/>
      </rPr>
      <t>钱</t>
    </r>
  </si>
  <si>
    <r>
      <t>青稞酒; 高粱酒; 果酒;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梅酒; 黄酒</t>
    </r>
  </si>
  <si>
    <t>苍龙浔</t>
  </si>
  <si>
    <r>
      <t>白酒; 食用酒精; 威士忌; 朗姆酒; 伏特加酒; 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</si>
  <si>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幽趣</t>
  </si>
  <si>
    <r>
      <t>白酒; 白干酒（中国白酒）;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烈酒;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蒸煮提取物（利口酒和烈酒）</t>
    </r>
  </si>
  <si>
    <r>
      <t>祝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仙</t>
    </r>
  </si>
  <si>
    <r>
      <t>黄酒; 青稞酒; 白酒;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高粱酒</t>
    </r>
  </si>
  <si>
    <r>
      <t>百</t>
    </r>
    <r>
      <rPr>
        <sz val="11"/>
        <color theme="1"/>
        <rFont val="ＭＳ Ｐゴシック"/>
        <family val="3"/>
        <charset val="134"/>
        <scheme val="minor"/>
      </rPr>
      <t>坛顺</t>
    </r>
  </si>
  <si>
    <r>
      <t>开胃酒; 白酒; 青稞酒; 黄酒;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高粱酒</t>
    </r>
  </si>
  <si>
    <t>西里御井</t>
  </si>
  <si>
    <t>太原仁和西里科技有限公司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</si>
  <si>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蒸煮提取物（利口酒和烈酒）;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</si>
  <si>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神草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</si>
  <si>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</si>
  <si>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硬</t>
    </r>
    <r>
      <rPr>
        <sz val="11"/>
        <color theme="1"/>
        <rFont val="ＭＳ Ｐゴシック"/>
        <family val="3"/>
        <charset val="134"/>
        <scheme val="minor"/>
      </rPr>
      <t>剑</t>
    </r>
  </si>
  <si>
    <r>
      <t>白酒; 高粱酒; 伏特加酒;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</si>
  <si>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青城四吉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眼泪</t>
    </r>
  </si>
  <si>
    <r>
      <t>都江堰市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之源食品有限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</si>
  <si>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青稞酒; 清酒;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白酒; 白干酒（中国白酒）</t>
    </r>
  </si>
  <si>
    <t>酺匠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</si>
  <si>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</si>
  <si>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一后</t>
    </r>
  </si>
  <si>
    <t>刘森林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</si>
  <si>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白酒</t>
    </r>
  </si>
  <si>
    <r>
      <t>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钟书</t>
    </r>
    <r>
      <rPr>
        <sz val="11"/>
        <color theme="1"/>
        <rFont val="ＭＳ Ｐゴシック"/>
        <family val="3"/>
        <charset val="128"/>
        <scheme val="minor"/>
      </rPr>
      <t>崇文</t>
    </r>
  </si>
  <si>
    <r>
      <t>青稞酒; 黄酒; 梅酒;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果酒;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</si>
  <si>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CABBEEN</t>
  </si>
  <si>
    <r>
      <t>广州市紫曦企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</si>
  <si>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威士忌; 开胃酒; 果酒（含酒精）;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</si>
  <si>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PAULBEMD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</si>
  <si>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食用酒精; 伏特加酒;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</si>
  <si>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t>燕台山</t>
  </si>
  <si>
    <r>
      <t>韦</t>
    </r>
    <r>
      <rPr>
        <sz val="11"/>
        <color theme="1"/>
        <rFont val="ＭＳ Ｐゴシック"/>
        <family val="3"/>
        <charset val="128"/>
        <scheme val="minor"/>
      </rPr>
      <t>政岳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</si>
  <si>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葡萄酒; 米酒; 白酒</t>
    </r>
  </si>
  <si>
    <r>
      <t>理</t>
    </r>
    <r>
      <rPr>
        <sz val="11"/>
        <color theme="1"/>
        <rFont val="ＭＳ Ｐゴシック"/>
        <family val="3"/>
        <charset val="134"/>
        <scheme val="minor"/>
      </rPr>
      <t>润</t>
    </r>
  </si>
  <si>
    <r>
      <t>广州好酒商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</si>
  <si>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白酒; 果酒（含酒精）; 黄酒; 利口酒; 清酒;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</si>
  <si>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武沟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</si>
  <si>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白酒; 黄酒; 高粱酒; 葡萄酒; 米酒</t>
    </r>
  </si>
  <si>
    <t>格律台·酒集坊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</si>
  <si>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</si>
  <si>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苹果酒; 露酒; 葡萄酒; 米酒; 餐后酒（利口酒和烈酒）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</si>
  <si>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酣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</si>
  <si>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高</t>
    </r>
    <r>
      <rPr>
        <sz val="11"/>
        <color theme="1"/>
        <rFont val="ＭＳ Ｐゴシック"/>
        <family val="3"/>
        <charset val="134"/>
        <scheme val="minor"/>
      </rPr>
      <t>杨杨</t>
    </r>
  </si>
  <si>
    <r>
      <t>利口酒; 米酒; 梅酒; 高粱酒; 清酒; 白酒; 烈酒; 青稞酒; 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</si>
  <si>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t>朱石基</t>
  </si>
  <si>
    <r>
      <t>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梨酒; 米酒; 苹果酒;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白酒</t>
    </r>
  </si>
  <si>
    <t>林双叙</t>
  </si>
  <si>
    <r>
      <t>周元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</si>
  <si>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果酒（含酒精）;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</si>
  <si>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帝王知叶</t>
  </si>
  <si>
    <t>黄志明</t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</si>
  <si>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高粱酒</t>
    </r>
  </si>
  <si>
    <r>
      <t>宁国笨虫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保咨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</si>
  <si>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开胃酒; 白酒; 米酒</t>
    </r>
  </si>
  <si>
    <r>
      <t>初入繁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</si>
  <si>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友盾数字科技有限公司</t>
    </r>
  </si>
  <si>
    <r>
      <t xml:space="preserve">果酒（含酒精）; 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</t>
    </r>
  </si>
  <si>
    <t>CLASHKNR</t>
  </si>
  <si>
    <r>
      <t xml:space="preserve">威士忌; 伏特加酒;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</si>
  <si>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七仙</t>
    </r>
    <r>
      <rPr>
        <sz val="11"/>
        <color theme="1"/>
        <rFont val="ＭＳ Ｐゴシック"/>
        <family val="3"/>
        <charset val="134"/>
        <scheme val="minor"/>
      </rPr>
      <t>桥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</si>
  <si>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青稞酒; 黄酒;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</si>
  <si>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之萃酒庄</t>
    </r>
  </si>
  <si>
    <r>
      <t>日照</t>
    </r>
    <r>
      <rPr>
        <sz val="11"/>
        <color theme="1"/>
        <rFont val="ＭＳ Ｐゴシック"/>
        <family val="3"/>
        <charset val="134"/>
        <scheme val="minor"/>
      </rPr>
      <t>齐鲁</t>
    </r>
    <r>
      <rPr>
        <sz val="11"/>
        <color theme="1"/>
        <rFont val="ＭＳ Ｐゴシック"/>
        <family val="3"/>
        <charset val="128"/>
        <scheme val="minor"/>
      </rPr>
      <t>青未了茶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</si>
  <si>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葡萄酒</t>
    </r>
  </si>
  <si>
    <r>
      <t>坛</t>
    </r>
    <r>
      <rPr>
        <sz val="11"/>
        <color theme="1"/>
        <rFont val="ＭＳ Ｐゴシック"/>
        <family val="3"/>
        <charset val="128"/>
        <scheme val="minor"/>
      </rPr>
      <t>口清花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</si>
  <si>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福成</t>
    </r>
  </si>
  <si>
    <r>
      <t xml:space="preserve">白酒;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开胃酒; 威士忌; 葡萄酒</t>
    </r>
  </si>
  <si>
    <t>莆甜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</si>
  <si>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清酒; 威士忌; 汽酒; 朗姆酒</t>
    </r>
  </si>
  <si>
    <t>笨虫</t>
  </si>
  <si>
    <r>
      <t xml:space="preserve">果酒; 葡萄酒; 黄酒; 蒸煮提取物（利口酒和烈酒）; 白酒; 米酒; 开胃酒;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</si>
  <si>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赛</t>
    </r>
    <r>
      <rPr>
        <sz val="11"/>
        <color theme="1"/>
        <rFont val="ＭＳ Ｐゴシック"/>
        <family val="3"/>
        <charset val="128"/>
        <scheme val="minor"/>
      </rPr>
      <t>出来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</si>
  <si>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粤声文化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</si>
  <si>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t>威士忌; 食用酒精; 烈酒; 黄酒; 白酒; 伏特加酒; 葡萄酒; 开胃酒; 清酒; 果酒</t>
  </si>
  <si>
    <r>
      <t>扁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堂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</si>
  <si>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（安徽）国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科技股份有限公司</t>
    </r>
  </si>
  <si>
    <r>
      <t>食用酒精; 米酒;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开胃酒; 白酒; 果酒; 朗姆酒; 黄酒</t>
    </r>
  </si>
  <si>
    <r>
      <t>林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福吃海喝</t>
    </r>
  </si>
  <si>
    <r>
      <t>福州九春商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</si>
  <si>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清酒; 白酒; 米酒;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</si>
  <si>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DXNGIERAE</t>
  </si>
  <si>
    <r>
      <t>利口酒; 威士忌;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葡萄酒; 食用酒精</t>
    </r>
  </si>
  <si>
    <t>LKANETZR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</si>
  <si>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白酒;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威士忌</t>
    </r>
  </si>
  <si>
    <r>
      <t>衡湖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衡酒</t>
    </r>
  </si>
  <si>
    <r>
      <t>河北衡湖</t>
    </r>
    <r>
      <rPr>
        <sz val="11"/>
        <color theme="1"/>
        <rFont val="ＭＳ Ｐゴシック"/>
        <family val="3"/>
        <charset val="134"/>
        <scheme val="minor"/>
      </rPr>
      <t>缘酿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</si>
  <si>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米酒; 黄酒; 烈酒; 果酒; 伏特加酒; 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白酒; 葡萄酒</t>
    </r>
  </si>
  <si>
    <r>
      <t>邀醉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</si>
  <si>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威士忌; 朗姆酒; 果酒（含酒精）;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葡萄酒; 伏特加酒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</si>
  <si>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千里</t>
    </r>
  </si>
  <si>
    <r>
      <t>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威士忌; 米酒; 黄酒;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</t>
    </r>
  </si>
  <si>
    <r>
      <t>良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村</t>
    </r>
  </si>
  <si>
    <r>
      <t>沈开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</si>
  <si>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米酒; 白酒; 青稞酒;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</si>
  <si>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BONASAVIR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</si>
  <si>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白酒;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果酒（含酒精）; 利口酒; 葡萄酒</t>
    </r>
  </si>
  <si>
    <t>乱香</t>
  </si>
  <si>
    <r>
      <t>黄宇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</si>
  <si>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清酒（日本米酒）;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</t>
    </r>
  </si>
  <si>
    <t>絮烈</t>
  </si>
  <si>
    <r>
      <t>庄</t>
    </r>
    <r>
      <rPr>
        <sz val="11"/>
        <color theme="1"/>
        <rFont val="ＭＳ Ｐゴシック"/>
        <family val="3"/>
        <charset val="134"/>
        <scheme val="minor"/>
      </rPr>
      <t>贻龙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</si>
  <si>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</si>
  <si>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果酒;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高粱酒;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</si>
  <si>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几多牛</t>
  </si>
  <si>
    <r>
      <t>刘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平</t>
    </r>
  </si>
  <si>
    <r>
      <t>黄酒;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</t>
    </r>
  </si>
  <si>
    <t>五承谷</t>
  </si>
  <si>
    <t>水新雷</t>
  </si>
  <si>
    <r>
      <t xml:space="preserve">开胃酒; 果酒（含酒精）; 利口酒; 清酒（日本米酒）; 威士忌; 米酒;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</si>
  <si>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位面一帝</t>
  </si>
  <si>
    <r>
      <t>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</t>
    </r>
  </si>
  <si>
    <r>
      <t>农</t>
    </r>
    <r>
      <rPr>
        <sz val="11"/>
        <color theme="1"/>
        <rFont val="ＭＳ Ｐゴシック"/>
        <family val="3"/>
        <charset val="128"/>
        <scheme val="minor"/>
      </rPr>
      <t>博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之源</t>
    </r>
  </si>
  <si>
    <r>
      <t>费县农</t>
    </r>
    <r>
      <rPr>
        <sz val="11"/>
        <color theme="1"/>
        <rFont val="ＭＳ Ｐゴシック"/>
        <family val="3"/>
        <charset val="128"/>
        <scheme val="minor"/>
      </rPr>
      <t>博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</si>
  <si>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白酒; 伏特加酒; 黄酒;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</si>
  <si>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SOTOWNTREE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</si>
  <si>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万皮思食品科技有限公司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</si>
  <si>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果酒（含酒精）;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</si>
  <si>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丰陵渡</t>
  </si>
  <si>
    <t>彭万云</t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</si>
  <si>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朗姆酒; 苹果酒; 伏特加酒; 葡萄酒; 蜂蜜酒; 果酒; 杜松子酒; 黄酒</t>
    </r>
  </si>
  <si>
    <t>崔利作品</t>
  </si>
  <si>
    <r>
      <t>米酒;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</si>
  <si>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御美好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</si>
  <si>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烈酒;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果酒（含酒精）</t>
    </r>
  </si>
  <si>
    <t>青云彩</t>
  </si>
  <si>
    <r>
      <t>李金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</si>
  <si>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白酒; 开胃酒; 威士忌; 葡萄酒;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</t>
    </r>
  </si>
  <si>
    <t>双星河</t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</si>
  <si>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高粱酒; 威士忌; 开胃酒; 葡萄酒</t>
    </r>
  </si>
  <si>
    <r>
      <t>卡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筱巷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</si>
  <si>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德林因达生物健康科技有限公司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</si>
  <si>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薄荷酒;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食用酒精; 白酒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</si>
  <si>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亭</t>
    </r>
    <r>
      <rPr>
        <sz val="11"/>
        <color theme="1"/>
        <rFont val="ＭＳ Ｐゴシック"/>
        <family val="3"/>
        <charset val="134"/>
        <scheme val="minor"/>
      </rPr>
      <t>蕴</t>
    </r>
  </si>
  <si>
    <r>
      <t>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</si>
  <si>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LOUI SYUEWAE</t>
  </si>
  <si>
    <r>
      <t xml:space="preserve">葡萄酒;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果酒（含酒精）</t>
    </r>
  </si>
  <si>
    <t>欧福像</t>
  </si>
  <si>
    <t>叶立新</t>
  </si>
  <si>
    <r>
      <t>清酒（日本米酒）; 开胃酒; 葡萄酒;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</si>
  <si>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SOLIOS</t>
  </si>
  <si>
    <r>
      <t>布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格股份有限公司</t>
    </r>
  </si>
  <si>
    <r>
      <t>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</si>
  <si>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菁客</t>
  </si>
  <si>
    <r>
      <t>张</t>
    </r>
    <r>
      <rPr>
        <sz val="11"/>
        <color theme="1"/>
        <rFont val="ＭＳ Ｐゴシック"/>
        <family val="3"/>
        <charset val="128"/>
        <scheme val="minor"/>
      </rPr>
      <t>秀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</si>
  <si>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黑覆盆子酒;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果酒（含酒精）; 米酒; 黄酒; 白酒</t>
    </r>
  </si>
  <si>
    <t>梦中池</t>
  </si>
  <si>
    <r>
      <t xml:space="preserve">黄酒; 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青稞酒;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</t>
    </r>
  </si>
  <si>
    <t>古清溪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</si>
  <si>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白酒; 高粱酒; 威士忌; 葡萄酒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</si>
  <si>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帝君</t>
    </r>
  </si>
  <si>
    <r>
      <t>白酒; 葡萄酒; 黄酒; 米酒; 青稞酒; 高粱酒;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</t>
    </r>
  </si>
  <si>
    <r>
      <t>小站元</t>
    </r>
    <r>
      <rPr>
        <sz val="11"/>
        <color theme="1"/>
        <rFont val="ＭＳ Ｐゴシック"/>
        <family val="3"/>
        <charset val="134"/>
        <scheme val="minor"/>
      </rPr>
      <t>驿</t>
    </r>
  </si>
  <si>
    <r>
      <t>天津市盛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</si>
  <si>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水果汽酒; 餐后酒（利口酒和烈酒）;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利口酒;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杜松子酒</t>
    </r>
  </si>
  <si>
    <t>HONZETEG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</si>
  <si>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利口酒; 威士忌; 伏特加酒;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</si>
  <si>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CHEMINGSHI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</si>
  <si>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果酒（含酒精）; 葡萄酒;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白酒</t>
    </r>
  </si>
  <si>
    <r>
      <t>伽翔隆</t>
    </r>
    <r>
      <rPr>
        <sz val="11"/>
        <color theme="1"/>
        <rFont val="ＭＳ Ｐゴシック"/>
        <family val="3"/>
        <charset val="134"/>
        <scheme val="minor"/>
      </rPr>
      <t>轩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</si>
  <si>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果酒（含酒精）; 葡萄酒;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</si>
  <si>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PUATEND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</si>
  <si>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威士忌; 汽酒; 伏特加酒; 起泡白葡萄酒;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</si>
  <si>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LNEGSAY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</si>
  <si>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伏特加酒; 葡萄酒; 果酒（含酒精）;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</si>
  <si>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渝</t>
    </r>
    <r>
      <rPr>
        <sz val="11"/>
        <color theme="1"/>
        <rFont val="ＭＳ Ｐゴシック"/>
        <family val="3"/>
        <charset val="129"/>
        <scheme val="minor"/>
      </rPr>
      <t>咂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</si>
  <si>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庆垫记</t>
    </r>
    <r>
      <rPr>
        <sz val="11"/>
        <color theme="1"/>
        <rFont val="ＭＳ Ｐゴシック"/>
        <family val="3"/>
        <charset val="128"/>
        <scheme val="minor"/>
      </rPr>
      <t>酒庄有限公司</t>
    </r>
  </si>
  <si>
    <r>
      <t>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露酒; 威士忌; 黄酒; 白酒; 果酒</t>
    </r>
  </si>
  <si>
    <t>汴津</t>
  </si>
  <si>
    <r>
      <t>开封市森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</si>
  <si>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露酒; 食用酒精;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果酒（含酒精）</t>
    </r>
  </si>
  <si>
    <t>金咜</t>
  </si>
  <si>
    <r>
      <t>陈</t>
    </r>
    <r>
      <rPr>
        <sz val="11"/>
        <color theme="1"/>
        <rFont val="ＭＳ Ｐゴシック"/>
        <family val="3"/>
        <charset val="128"/>
        <scheme val="minor"/>
      </rPr>
      <t>有</t>
    </r>
    <r>
      <rPr>
        <sz val="11"/>
        <color theme="1"/>
        <rFont val="ＭＳ Ｐゴシック"/>
        <family val="3"/>
        <charset val="134"/>
        <scheme val="minor"/>
      </rPr>
      <t>庆</t>
    </r>
  </si>
  <si>
    <r>
      <t>米酒; 甜酒; 白酒; 白干酒（中国白酒）; 青梅酒; 露酒;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高粱酒</t>
    </r>
  </si>
  <si>
    <t>名山幽趣</t>
  </si>
  <si>
    <r>
      <t>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米酒; 白酒;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白干酒（中国白酒）; 烈酒</t>
    </r>
  </si>
  <si>
    <r>
      <t>酣</t>
    </r>
    <r>
      <rPr>
        <sz val="11"/>
        <color theme="1"/>
        <rFont val="ＭＳ Ｐゴシック"/>
        <family val="3"/>
        <charset val="134"/>
        <scheme val="minor"/>
      </rPr>
      <t>岛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</si>
  <si>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米酒;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黄酒</t>
    </r>
  </si>
  <si>
    <t>首皇</t>
  </si>
  <si>
    <r>
      <t>酒和友（北京）酒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</si>
  <si>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开胃酒; 葡萄酒; 米酒</t>
    </r>
  </si>
  <si>
    <r>
      <t>仙梦</t>
    </r>
    <r>
      <rPr>
        <sz val="11"/>
        <color theme="1"/>
        <rFont val="ＭＳ Ｐゴシック"/>
        <family val="3"/>
        <charset val="129"/>
        <scheme val="minor"/>
      </rPr>
      <t>怀</t>
    </r>
  </si>
  <si>
    <r>
      <t xml:space="preserve">开胃酒; 青稞酒;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</si>
  <si>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竹子林园</t>
  </si>
  <si>
    <r>
      <t>海南省儋州隆丰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</si>
  <si>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黄酒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</si>
  <si>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味</t>
    </r>
    <r>
      <rPr>
        <sz val="11"/>
        <color theme="1"/>
        <rFont val="ＭＳ Ｐゴシック"/>
        <family val="3"/>
        <charset val="134"/>
        <scheme val="minor"/>
      </rPr>
      <t>忆</t>
    </r>
  </si>
  <si>
    <r>
      <t>黄酒; 白酒; 高粱酒; 烈酒; 米酒; 梅酒; 青稞酒; 利口酒;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清酒</t>
    </r>
  </si>
  <si>
    <t>LEMERUAN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</si>
  <si>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</si>
  <si>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杞丞</t>
  </si>
  <si>
    <r>
      <t>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</t>
    </r>
  </si>
  <si>
    <t>SANRMATN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</si>
  <si>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伏特加酒;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利口酒</t>
    </r>
  </si>
  <si>
    <r>
      <t>飞鹤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</si>
  <si>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开胃酒; 黄酒; 高粱酒; 米酒;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青稞酒</t>
    </r>
  </si>
  <si>
    <r>
      <t>果酒（含酒精）; 高粱酒;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</t>
    </r>
  </si>
  <si>
    <t>盛于夏</t>
  </si>
  <si>
    <r>
      <t>河南省盛于夏商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</si>
  <si>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果酒（含酒精）;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苹果酒; 葡萄酒; 黄酒;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</si>
  <si>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仲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享</t>
    </r>
  </si>
  <si>
    <r>
      <t>滕州仲家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</si>
  <si>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含酒精的气泡水; 清酒; 白酒;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威士忌;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</si>
  <si>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奢笑</t>
  </si>
  <si>
    <t>王文君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</si>
  <si>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果酒（含酒精）; 葡萄酒;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</si>
  <si>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方</t>
    </r>
    <r>
      <rPr>
        <sz val="11"/>
        <color theme="1"/>
        <rFont val="ＭＳ Ｐゴシック"/>
        <family val="3"/>
        <charset val="134"/>
        <scheme val="minor"/>
      </rPr>
      <t>砖</t>
    </r>
    <r>
      <rPr>
        <sz val="11"/>
        <color theme="1"/>
        <rFont val="ＭＳ Ｐゴシック"/>
        <family val="3"/>
        <charset val="128"/>
        <scheme val="minor"/>
      </rPr>
      <t>厂</t>
    </r>
  </si>
  <si>
    <r>
      <t>北京方</t>
    </r>
    <r>
      <rPr>
        <sz val="11"/>
        <color theme="1"/>
        <rFont val="ＭＳ Ｐゴシック"/>
        <family val="3"/>
        <charset val="134"/>
        <scheme val="minor"/>
      </rPr>
      <t>砖</t>
    </r>
    <r>
      <rPr>
        <sz val="11"/>
        <color theme="1"/>
        <rFont val="ＭＳ Ｐゴシック"/>
        <family val="3"/>
        <charset val="128"/>
        <scheme val="minor"/>
      </rPr>
      <t>厂六十九号餐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</si>
  <si>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</t>
    </r>
  </si>
  <si>
    <r>
      <t>欧阳</t>
    </r>
    <r>
      <rPr>
        <sz val="11"/>
        <color theme="1"/>
        <rFont val="ＭＳ Ｐゴシック"/>
        <family val="3"/>
        <charset val="134"/>
        <scheme val="minor"/>
      </rPr>
      <t>钰锦</t>
    </r>
    <r>
      <rPr>
        <sz val="11"/>
        <color theme="1"/>
        <rFont val="ＭＳ Ｐゴシック"/>
        <family val="3"/>
        <charset val="128"/>
        <scheme val="minor"/>
      </rPr>
      <t>的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</si>
  <si>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州火棘企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</si>
  <si>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</si>
  <si>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她俊</t>
  </si>
  <si>
    <r>
      <t>刘</t>
    </r>
    <r>
      <rPr>
        <sz val="11"/>
        <color theme="1"/>
        <rFont val="ＭＳ Ｐゴシック"/>
        <family val="3"/>
        <charset val="134"/>
        <scheme val="minor"/>
      </rPr>
      <t>赵</t>
    </r>
    <r>
      <rPr>
        <sz val="11"/>
        <color theme="1"/>
        <rFont val="ＭＳ Ｐゴシック"/>
        <family val="3"/>
        <charset val="128"/>
        <scheme val="minor"/>
      </rPr>
      <t>兵</t>
    </r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</si>
  <si>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威士忌; 清酒; 伏特加酒; 露酒; 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</si>
  <si>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何健弓</t>
  </si>
  <si>
    <r>
      <t>蓝</t>
    </r>
    <r>
      <rPr>
        <sz val="11"/>
        <color theme="1"/>
        <rFont val="ＭＳ Ｐゴシック"/>
        <family val="3"/>
        <charset val="128"/>
        <scheme val="minor"/>
      </rPr>
      <t>雅雍</t>
    </r>
  </si>
  <si>
    <r>
      <t xml:space="preserve">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含酒精的气泡水;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食用酒精; 甜酒; 白酒</t>
    </r>
  </si>
  <si>
    <r>
      <t>孙乡</t>
    </r>
    <r>
      <rPr>
        <sz val="11"/>
        <color theme="1"/>
        <rFont val="ＭＳ Ｐゴシック"/>
        <family val="3"/>
        <charset val="128"/>
        <scheme val="minor"/>
      </rPr>
      <t>府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</si>
  <si>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为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</si>
  <si>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汽酒; 黄酒; 白酒; 开胃酒;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</si>
  <si>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初口</t>
  </si>
  <si>
    <r>
      <t>内蒙古蒙玖商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</si>
  <si>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葡萄酒; 含酒精蛋奶酒;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</t>
    </r>
  </si>
  <si>
    <r>
      <t>香</t>
    </r>
    <r>
      <rPr>
        <sz val="11"/>
        <color theme="1"/>
        <rFont val="ＭＳ Ｐゴシック"/>
        <family val="3"/>
        <charset val="134"/>
        <scheme val="minor"/>
      </rPr>
      <t>灏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</si>
  <si>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南京禾日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</si>
  <si>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果酒; 米酒; 白酒</t>
    </r>
  </si>
  <si>
    <t>祖医古月</t>
  </si>
  <si>
    <t>合和太康（北京）生物科技有限公司</t>
  </si>
  <si>
    <r>
      <t xml:space="preserve">梨酒;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薄荷酒; 米酒; 果酒（含酒精）</t>
    </r>
  </si>
  <si>
    <t>仙功开物</t>
  </si>
  <si>
    <r>
      <t>丁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光</t>
    </r>
  </si>
  <si>
    <r>
      <t>米酒;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</si>
  <si>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低</t>
    </r>
    <r>
      <rPr>
        <sz val="11"/>
        <color theme="1"/>
        <rFont val="ＭＳ Ｐゴシック"/>
        <family val="3"/>
        <charset val="134"/>
        <scheme val="minor"/>
      </rPr>
      <t>词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</si>
  <si>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</si>
  <si>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卖</t>
    </r>
    <r>
      <rPr>
        <sz val="11"/>
        <color theme="1"/>
        <rFont val="ＭＳ Ｐゴシック"/>
        <family val="3"/>
        <charset val="128"/>
        <scheme val="minor"/>
      </rPr>
      <t>酒山</t>
    </r>
  </si>
  <si>
    <t>莱茵猫</t>
  </si>
  <si>
    <r>
      <t>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</si>
  <si>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诗</t>
    </r>
    <r>
      <rPr>
        <sz val="11"/>
        <color theme="1"/>
        <rFont val="ＭＳ Ｐゴシック"/>
        <family val="3"/>
        <charset val="128"/>
        <scheme val="minor"/>
      </rPr>
      <t>歌山</t>
    </r>
    <r>
      <rPr>
        <sz val="11"/>
        <color theme="1"/>
        <rFont val="ＭＳ Ｐゴシック"/>
        <family val="3"/>
        <charset val="134"/>
        <scheme val="minor"/>
      </rPr>
      <t>语</t>
    </r>
  </si>
  <si>
    <r>
      <t>济</t>
    </r>
    <r>
      <rPr>
        <sz val="11"/>
        <color theme="1"/>
        <rFont val="ＭＳ Ｐゴシック"/>
        <family val="3"/>
        <charset val="128"/>
        <scheme val="minor"/>
      </rPr>
      <t>南</t>
    </r>
    <r>
      <rPr>
        <sz val="11"/>
        <color theme="1"/>
        <rFont val="ＭＳ Ｐゴシック"/>
        <family val="3"/>
        <charset val="134"/>
        <scheme val="minor"/>
      </rPr>
      <t>东记</t>
    </r>
    <r>
      <rPr>
        <sz val="11"/>
        <color theme="1"/>
        <rFont val="ＭＳ Ｐゴシック"/>
        <family val="3"/>
        <charset val="128"/>
        <scheme val="minor"/>
      </rPr>
      <t>品牌管理咨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</si>
  <si>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葡萄酒; 蜂蜜酒;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伏特加酒;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果酒（含酒精）; 米酒</t>
    </r>
  </si>
  <si>
    <r>
      <t>河南涵彤</t>
    </r>
    <r>
      <rPr>
        <sz val="11"/>
        <color theme="1"/>
        <rFont val="ＭＳ Ｐゴシック"/>
        <family val="3"/>
        <charset val="134"/>
        <scheme val="minor"/>
      </rPr>
      <t>连锁</t>
    </r>
    <r>
      <rPr>
        <sz val="11"/>
        <color theme="1"/>
        <rFont val="ＭＳ Ｐゴシック"/>
        <family val="3"/>
        <charset val="128"/>
        <scheme val="minor"/>
      </rPr>
      <t>超市有限公司</t>
    </r>
  </si>
  <si>
    <r>
      <t xml:space="preserve">苹果酒; 威士忌;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伏特加酒</t>
    </r>
  </si>
  <si>
    <t>京世牛</t>
  </si>
  <si>
    <r>
      <t>保定市丰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</si>
  <si>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佐餐酒;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</si>
  <si>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恒盛毓</t>
  </si>
  <si>
    <r>
      <t>山西恒盛毓商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</si>
  <si>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汽酒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</si>
  <si>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慧娘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</si>
  <si>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尚启</t>
    </r>
    <r>
      <rPr>
        <sz val="11"/>
        <color theme="1"/>
        <rFont val="ＭＳ Ｐゴシック"/>
        <family val="3"/>
        <charset val="134"/>
        <scheme val="minor"/>
      </rPr>
      <t>联润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</si>
  <si>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黄酒; 餐后酒（利口酒和烈酒）;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</si>
  <si>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福慧清商</t>
  </si>
  <si>
    <r>
      <t>焦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雪</t>
    </r>
  </si>
  <si>
    <r>
      <t>果酒（含酒精）; 米酒; 白酒; 黄酒; 苹果酒; 葡萄酒;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</si>
  <si>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粮丰道</t>
  </si>
  <si>
    <r>
      <t>徐州粮道商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</si>
  <si>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茴香酒;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</si>
  <si>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蛙米侠</t>
  </si>
  <si>
    <r>
      <t xml:space="preserve">清酒（日本米酒）; 黄酒; 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威士忌;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</si>
  <si>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品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道</t>
    </r>
  </si>
  <si>
    <r>
      <t>佛山市金中泰医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器械有限公司</t>
    </r>
  </si>
  <si>
    <r>
      <t xml:space="preserve">青稞酒; 青梅酒;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梅酒; 白葡萄酒; 高粱酒; 果酒;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</si>
  <si>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昊来了</t>
  </si>
  <si>
    <r>
      <t>陈</t>
    </r>
    <r>
      <rPr>
        <sz val="11"/>
        <color theme="1"/>
        <rFont val="ＭＳ Ｐゴシック"/>
        <family val="3"/>
        <charset val="128"/>
        <scheme val="minor"/>
      </rPr>
      <t>昊</t>
    </r>
  </si>
  <si>
    <r>
      <t>蜂蜜酒; 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苹果酒;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日式甜米酒; 开胃酒;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</si>
  <si>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t>古酒洞</t>
  </si>
  <si>
    <r>
      <t>李</t>
    </r>
    <r>
      <rPr>
        <sz val="11"/>
        <color theme="1"/>
        <rFont val="ＭＳ Ｐゴシック"/>
        <family val="3"/>
        <charset val="134"/>
        <scheme val="minor"/>
      </rPr>
      <t>义</t>
    </r>
  </si>
  <si>
    <r>
      <t xml:space="preserve">蜂蜜酒;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开胃酒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</si>
  <si>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垂涎</t>
    </r>
  </si>
  <si>
    <r>
      <t>四川吉丰隆商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</si>
  <si>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高粱酒;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黄酒; 蒸煮提取物（利口酒和烈酒）; 开胃酒;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</si>
  <si>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立耕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</si>
  <si>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胶特啤酒有限公司</t>
    </r>
  </si>
  <si>
    <r>
      <t>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白干酒（中国白酒）; 威士忌; 白葡萄酒</t>
    </r>
  </si>
  <si>
    <r>
      <t>颐</t>
    </r>
    <r>
      <rPr>
        <sz val="11"/>
        <color theme="1"/>
        <rFont val="ＭＳ Ｐゴシック"/>
        <family val="3"/>
        <charset val="128"/>
        <scheme val="minor"/>
      </rPr>
      <t>谷堂</t>
    </r>
  </si>
  <si>
    <r>
      <t>韦</t>
    </r>
    <r>
      <rPr>
        <sz val="11"/>
        <color theme="1"/>
        <rFont val="ＭＳ Ｐゴシック"/>
        <family val="3"/>
        <charset val="128"/>
        <scheme val="minor"/>
      </rPr>
      <t>珂昕</t>
    </r>
  </si>
  <si>
    <r>
      <t>露酒; 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</t>
    </r>
  </si>
  <si>
    <t>律通天下</t>
  </si>
  <si>
    <r>
      <t>河南中律商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</si>
  <si>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青梅酒; 白酒; 黄酒; 白葡萄酒;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米酒; 果酒</t>
    </r>
  </si>
  <si>
    <r>
      <t>冰火</t>
    </r>
    <r>
      <rPr>
        <sz val="11"/>
        <color theme="1"/>
        <rFont val="ＭＳ Ｐゴシック"/>
        <family val="3"/>
        <charset val="134"/>
        <scheme val="minor"/>
      </rPr>
      <t>乐</t>
    </r>
  </si>
  <si>
    <t>麦安民</t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</si>
  <si>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清酒; 朗姆酒; 果酒;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</t>
    </r>
  </si>
  <si>
    <t>SHINEINTO</t>
  </si>
  <si>
    <r>
      <t>浙江香云控股集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</si>
  <si>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威士忌;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酸酒（低等葡萄酒）;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薄荷酒</t>
    </r>
  </si>
  <si>
    <t>心佰鹿</t>
  </si>
  <si>
    <r>
      <t>林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涛******************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</si>
  <si>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伏特加酒; 青稞酒;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</si>
  <si>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塔山大峡谷</t>
  </si>
  <si>
    <r>
      <t>赵</t>
    </r>
    <r>
      <rPr>
        <sz val="11"/>
        <color theme="1"/>
        <rFont val="ＭＳ Ｐゴシック"/>
        <family val="3"/>
        <charset val="128"/>
        <scheme val="minor"/>
      </rPr>
      <t>青</t>
    </r>
  </si>
  <si>
    <r>
      <t xml:space="preserve">葡萄酒; 草莓酒;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甜酒; 白酒; 高粱酒;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</si>
  <si>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神都牡丹花曲</t>
  </si>
  <si>
    <r>
      <t>兰</t>
    </r>
    <r>
      <rPr>
        <sz val="11"/>
        <color theme="1"/>
        <rFont val="ＭＳ Ｐゴシック"/>
        <family val="3"/>
        <charset val="128"/>
        <scheme val="minor"/>
      </rPr>
      <t>溪市小牛家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</si>
  <si>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蜂蜜酒;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清酒（日本米酒）; 果酒（含酒精）</t>
    </r>
  </si>
  <si>
    <t>APETCARE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</si>
  <si>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合光卡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文科技有限公司</t>
    </r>
  </si>
  <si>
    <r>
      <t>白葡萄酒; 佐餐酒; 含奶油利口酒; 蒸煮提取物（利口酒和烈酒）; 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蝮蛇酒; 水果汽酒; 日式甜米酒;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薄荷酒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</si>
  <si>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贝龙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</si>
  <si>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春集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</si>
  <si>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苹果酒; 果酒（含酒精）;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</si>
  <si>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琅戈姆</t>
  </si>
  <si>
    <r>
      <t>董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萍</t>
    </r>
  </si>
  <si>
    <r>
      <t xml:space="preserve">清酒;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果酒; 米酒; 黑覆盆子酒; 混合威士忌酒;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黄酒; 白酒; 朗姆酒</t>
    </r>
  </si>
  <si>
    <t>震辰</t>
  </si>
  <si>
    <r>
      <t>汪启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</si>
  <si>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露酒; 白酒; 果酒; 刺五加酒;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食用酒精;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五加皮酒（中国混合烈酒）; 黑覆盆子酒;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</t>
    </r>
  </si>
  <si>
    <t>莜梁山</t>
  </si>
  <si>
    <t>山西省汾阳市陀螺山酒厂有限公司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</si>
  <si>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烈酒; 白酒; 果酒（含酒精）; 高粱酒;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</si>
  <si>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沁合园</t>
  </si>
  <si>
    <t>余玉姣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</si>
  <si>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葡萄酒; 高粱酒</t>
    </r>
  </si>
  <si>
    <t>谷养堂</t>
  </si>
  <si>
    <t>符悦声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</si>
  <si>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黄酒; 清酒; 高粱酒; 露酒;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</t>
    </r>
  </si>
  <si>
    <t>品养号</t>
  </si>
  <si>
    <r>
      <t>云南道成商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</si>
  <si>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五加皮酒（中国混合烈酒）; 刺五加酒; 黑覆盆子酒; 露酒; 烈性干酒; 开胃酒; 蒸煮提取物（利口酒和烈酒）; 果酒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</si>
  <si>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首度弓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</si>
  <si>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张</t>
    </r>
    <r>
      <rPr>
        <sz val="11"/>
        <color theme="1"/>
        <rFont val="ＭＳ Ｐゴシック"/>
        <family val="3"/>
        <charset val="128"/>
        <scheme val="minor"/>
      </rPr>
      <t>弓</t>
    </r>
    <r>
      <rPr>
        <sz val="11"/>
        <color theme="1"/>
        <rFont val="ＭＳ Ｐゴシック"/>
        <family val="3"/>
        <charset val="134"/>
        <scheme val="minor"/>
      </rPr>
      <t>伟业</t>
    </r>
    <r>
      <rPr>
        <sz val="11"/>
        <color theme="1"/>
        <rFont val="ＭＳ Ｐゴシック"/>
        <family val="3"/>
        <charset val="128"/>
        <scheme val="minor"/>
      </rPr>
      <t>能源科技有限公司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</si>
  <si>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梨酒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</si>
  <si>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春台</t>
    </r>
  </si>
  <si>
    <r>
      <t>欧思</t>
    </r>
    <r>
      <rPr>
        <sz val="11"/>
        <color theme="1"/>
        <rFont val="ＭＳ Ｐゴシック"/>
        <family val="3"/>
        <charset val="134"/>
        <scheme val="minor"/>
      </rPr>
      <t>颖</t>
    </r>
  </si>
  <si>
    <r>
      <t>白酒; 朗姆酒; 食用酒精; 威士忌;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</si>
  <si>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田田</t>
    </r>
    <r>
      <rPr>
        <sz val="11"/>
        <color theme="1"/>
        <rFont val="ＭＳ Ｐゴシック"/>
        <family val="3"/>
        <charset val="134"/>
        <scheme val="minor"/>
      </rPr>
      <t>间间</t>
    </r>
  </si>
  <si>
    <t>上海思膳源健康食品有限公司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</si>
  <si>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米酒; 白酒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</si>
  <si>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</si>
  <si>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浙江府上</t>
    </r>
    <r>
      <rPr>
        <sz val="11"/>
        <color theme="1"/>
        <rFont val="ＭＳ Ｐゴシック"/>
        <family val="3"/>
        <charset val="134"/>
        <scheme val="minor"/>
      </rPr>
      <t>农产</t>
    </r>
    <r>
      <rPr>
        <sz val="11"/>
        <color theme="1"/>
        <rFont val="ＭＳ Ｐゴシック"/>
        <family val="3"/>
        <charset val="128"/>
        <scheme val="minor"/>
      </rPr>
      <t>品开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</si>
  <si>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开胃酒; 伏特加酒;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蜂蜜酒;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</si>
  <si>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武陵大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珍藏</t>
    </r>
  </si>
  <si>
    <t>湖南武陵酒有限公司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</si>
  <si>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蒸煮提取物（利口酒和烈酒）;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</si>
  <si>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华锦</t>
    </r>
    <r>
      <rPr>
        <sz val="11"/>
        <color theme="1"/>
        <rFont val="ＭＳ Ｐゴシック"/>
        <family val="3"/>
        <charset val="128"/>
        <scheme val="minor"/>
      </rPr>
      <t>瑞藏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</si>
  <si>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葡萄酒; 白酒; 食用酒精; 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</si>
  <si>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VOOLGA</t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</si>
  <si>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</t>
    </r>
    <r>
      <rPr>
        <sz val="11"/>
        <color theme="1"/>
        <rFont val="ＭＳ Ｐゴシック"/>
        <family val="3"/>
        <charset val="128"/>
        <scheme val="minor"/>
      </rPr>
      <t>敷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佳科技股份有限公司</t>
    </r>
  </si>
  <si>
    <r>
      <t>利口酒;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</si>
  <si>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r>
      <t>开洲岩水</t>
    </r>
    <r>
      <rPr>
        <sz val="11"/>
        <color theme="1"/>
        <rFont val="ＭＳ Ｐゴシック"/>
        <family val="3"/>
        <charset val="134"/>
        <scheme val="minor"/>
      </rPr>
      <t>坝</t>
    </r>
    <r>
      <rPr>
        <sz val="11"/>
        <color theme="1"/>
        <rFont val="ＭＳ Ｐゴシック"/>
        <family val="3"/>
        <charset val="128"/>
        <scheme val="minor"/>
      </rPr>
      <t>酒坊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</si>
  <si>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国家</t>
    </r>
  </si>
  <si>
    <r>
      <t xml:space="preserve">清酒; 开胃酒; 食用酒精; 果酒; 利口酒;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</si>
  <si>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氿珆</t>
  </si>
  <si>
    <r>
      <t>一品名仁(北京)商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</si>
  <si>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黄酒; 威士忌;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葡萄酒;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</si>
  <si>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尝轩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</si>
  <si>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庆尝轩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</si>
  <si>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五加皮酒（中国混合烈酒）;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</si>
  <si>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述今朝</t>
  </si>
  <si>
    <r>
      <t>黄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</si>
  <si>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果酒;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</si>
  <si>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鑫</t>
    </r>
    <r>
      <rPr>
        <sz val="11"/>
        <color theme="1"/>
        <rFont val="ＭＳ Ｐゴシック"/>
        <family val="3"/>
        <charset val="134"/>
        <scheme val="minor"/>
      </rPr>
      <t>鹤辉</t>
    </r>
  </si>
  <si>
    <r>
      <t>商丘</t>
    </r>
    <r>
      <rPr>
        <sz val="11"/>
        <color theme="1"/>
        <rFont val="ＭＳ Ｐゴシック"/>
        <family val="3"/>
        <charset val="134"/>
        <scheme val="minor"/>
      </rPr>
      <t>鹤辉</t>
    </r>
    <r>
      <rPr>
        <sz val="11"/>
        <color theme="1"/>
        <rFont val="ＭＳ Ｐゴシック"/>
        <family val="3"/>
        <charset val="128"/>
        <scheme val="minor"/>
      </rPr>
      <t>再生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源有限公司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</si>
  <si>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果酒; 葡萄酒; 梅酒;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汽酒</t>
    </r>
  </si>
  <si>
    <r>
      <t>觉</t>
    </r>
    <r>
      <rPr>
        <sz val="11"/>
        <color theme="1"/>
        <rFont val="ＭＳ Ｐゴシック"/>
        <family val="3"/>
        <charset val="128"/>
        <scheme val="minor"/>
      </rPr>
      <t>淼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</si>
  <si>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苏汉</t>
    </r>
    <r>
      <rPr>
        <sz val="11"/>
        <color theme="1"/>
        <rFont val="ＭＳ Ｐゴシック"/>
        <family val="3"/>
        <charset val="128"/>
        <scheme val="minor"/>
      </rPr>
      <t>生广告有限公司</t>
    </r>
  </si>
  <si>
    <r>
      <t>白酒;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含酒精的气泡水; 葡萄酒; 汽酒; 清酒（日本米酒）;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</si>
  <si>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巴中老酒酒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</si>
  <si>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</si>
  <si>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扬</t>
    </r>
    <r>
      <rPr>
        <sz val="11"/>
        <color theme="1"/>
        <rFont val="ＭＳ Ｐゴシック"/>
        <family val="3"/>
        <charset val="128"/>
        <scheme val="minor"/>
      </rPr>
      <t>城一味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</si>
  <si>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苏扬</t>
    </r>
    <r>
      <rPr>
        <sz val="11"/>
        <color theme="1"/>
        <rFont val="ＭＳ Ｐゴシック"/>
        <family val="3"/>
        <charset val="128"/>
        <scheme val="minor"/>
      </rPr>
      <t>城一味餐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</si>
  <si>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清酒（日本米酒）; 黄酒; 米酒; 威士忌;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</si>
  <si>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州宴米肆</t>
  </si>
  <si>
    <r>
      <t>宁都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翠微旅游投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</si>
  <si>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</t>
    </r>
  </si>
  <si>
    <r>
      <t>尝</t>
    </r>
    <r>
      <rPr>
        <sz val="11"/>
        <color theme="1"/>
        <rFont val="ＭＳ Ｐゴシック"/>
        <family val="3"/>
        <charset val="128"/>
        <scheme val="minor"/>
      </rPr>
      <t>芝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（重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）餐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</si>
  <si>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米酒;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葡萄酒; 果酒; 白酒</t>
    </r>
  </si>
  <si>
    <r>
      <t>赋</t>
    </r>
    <r>
      <rPr>
        <sz val="11"/>
        <color theme="1"/>
        <rFont val="ＭＳ Ｐゴシック"/>
        <family val="3"/>
        <charset val="128"/>
        <scheme val="minor"/>
      </rPr>
      <t>量</t>
    </r>
  </si>
  <si>
    <r>
      <t>高粱酒;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梅酒; 果酒; 威士忌</t>
    </r>
  </si>
  <si>
    <r>
      <t>井</t>
    </r>
    <r>
      <rPr>
        <sz val="11"/>
        <color theme="1"/>
        <rFont val="ＭＳ Ｐゴシック"/>
        <family val="3"/>
        <charset val="134"/>
        <scheme val="minor"/>
      </rPr>
      <t>揽</t>
    </r>
    <r>
      <rPr>
        <sz val="11"/>
        <color theme="1"/>
        <rFont val="ＭＳ Ｐゴシック"/>
        <family val="3"/>
        <charset val="128"/>
        <scheme val="minor"/>
      </rPr>
      <t>月</t>
    </r>
  </si>
  <si>
    <r>
      <t>陈业</t>
    </r>
    <r>
      <rPr>
        <sz val="11"/>
        <color theme="1"/>
        <rFont val="ＭＳ Ｐゴシック"/>
        <family val="3"/>
        <charset val="128"/>
        <scheme val="minor"/>
      </rPr>
      <t>忠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</si>
  <si>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威士忌; 开胃酒; 清酒（日本米酒）; 烈酒; 葡萄酒; 黄酒</t>
    </r>
  </si>
  <si>
    <r>
      <t>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果酒（含酒精）; 苹果酒;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</si>
  <si>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椹生源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</si>
  <si>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紫椹生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庄园有限公司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</si>
  <si>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餐后酒（利口酒和烈酒）;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</si>
  <si>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VALADE FAMILY</t>
  </si>
  <si>
    <r>
      <t>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8"/>
        <scheme val="minor"/>
      </rPr>
      <t>宝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烟酒商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</si>
  <si>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朗姆酒; 白葡萄酒;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果酒; 葡萄酒</t>
    </r>
  </si>
  <si>
    <t>京达山牛乙</t>
  </si>
  <si>
    <r>
      <t>赵</t>
    </r>
    <r>
      <rPr>
        <sz val="11"/>
        <color theme="1"/>
        <rFont val="ＭＳ Ｐゴシック"/>
        <family val="3"/>
        <charset val="128"/>
        <scheme val="minor"/>
      </rPr>
      <t>一明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</si>
  <si>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餐后酒（利口酒和烈酒）;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</si>
  <si>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皇佳山古堡</t>
  </si>
  <si>
    <r>
      <t>利口酒; 果酒（含酒精）;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</si>
  <si>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杏瓷</t>
    </r>
  </si>
  <si>
    <t>王俊勇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</si>
  <si>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露酒;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</si>
  <si>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斗杓</t>
  </si>
  <si>
    <r>
      <t>观</t>
    </r>
    <r>
      <rPr>
        <sz val="11"/>
        <color theme="1"/>
        <rFont val="ＭＳ Ｐゴシック"/>
        <family val="3"/>
        <charset val="128"/>
        <scheme val="minor"/>
      </rPr>
      <t>品科技（深圳）有限公司</t>
    </r>
  </si>
  <si>
    <r>
      <t>黄酒; 威士忌; 白酒; 汽酒; 米酒;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食用酒精</t>
    </r>
  </si>
  <si>
    <t>衢知源</t>
  </si>
  <si>
    <t>郑锋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</si>
  <si>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梨酒; 黄酒; 白酒; 食用酒精</t>
    </r>
  </si>
  <si>
    <r>
      <t>至阳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</si>
  <si>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淮安市一起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康中医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</si>
  <si>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白酒;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伏特加酒</t>
    </r>
  </si>
  <si>
    <t>尊禧堂</t>
  </si>
  <si>
    <r>
      <t>湖北省尊禧鹿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</si>
  <si>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白酒</t>
    </r>
  </si>
  <si>
    <r>
      <t>坛</t>
    </r>
    <r>
      <rPr>
        <sz val="11"/>
        <color theme="1"/>
        <rFont val="ＭＳ Ｐゴシック"/>
        <family val="3"/>
        <charset val="128"/>
        <scheme val="minor"/>
      </rPr>
      <t>美人</t>
    </r>
  </si>
  <si>
    <r>
      <t>娄</t>
    </r>
    <r>
      <rPr>
        <sz val="11"/>
        <color theme="1"/>
        <rFont val="ＭＳ Ｐゴシック"/>
        <family val="3"/>
        <charset val="134"/>
        <scheme val="minor"/>
      </rPr>
      <t>桥</t>
    </r>
    <r>
      <rPr>
        <sz val="11"/>
        <color theme="1"/>
        <rFont val="ＭＳ Ｐゴシック"/>
        <family val="3"/>
        <charset val="128"/>
        <scheme val="minor"/>
      </rPr>
      <t>波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</si>
  <si>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蜂蜜酒;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</si>
  <si>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r>
      <t>应</t>
    </r>
    <r>
      <rPr>
        <sz val="11"/>
        <color theme="1"/>
        <rFont val="ＭＳ Ｐゴシック"/>
        <family val="3"/>
        <charset val="128"/>
        <scheme val="minor"/>
      </rPr>
      <t>手亦安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</si>
  <si>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州萱嘉苗方堂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</si>
  <si>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露酒;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高粱酒</t>
    </r>
  </si>
  <si>
    <t>白版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</si>
  <si>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苹果酒; 葡萄酒;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</si>
  <si>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苹末微</t>
    </r>
    <r>
      <rPr>
        <sz val="11"/>
        <color theme="1"/>
        <rFont val="ＭＳ Ｐゴシック"/>
        <family val="3"/>
        <charset val="134"/>
        <scheme val="minor"/>
      </rPr>
      <t>澜</t>
    </r>
  </si>
  <si>
    <r>
      <t>董之</t>
    </r>
    <r>
      <rPr>
        <sz val="11"/>
        <color theme="1"/>
        <rFont val="ＭＳ Ｐゴシック"/>
        <family val="3"/>
        <charset val="134"/>
        <scheme val="minor"/>
      </rPr>
      <t>焕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</si>
  <si>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米酒;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开胃酒</t>
    </r>
  </si>
  <si>
    <t>自雅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</si>
  <si>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梨酒; 威士忌; 白酒; 黄酒; 开胃酒; 清酒（日本米酒）; 青稞酒; 利口酒</t>
    </r>
  </si>
  <si>
    <t>和宜宝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</si>
  <si>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鑫双洋生物科技有限公司</t>
    </r>
  </si>
  <si>
    <r>
      <t>果酒（含酒精）; 米酒;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利口酒; 露酒</t>
    </r>
  </si>
  <si>
    <t>她柔</t>
  </si>
  <si>
    <r>
      <t>清酒; 蜂蜜酒;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露酒;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</si>
  <si>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山泉思</t>
    </r>
    <r>
      <rPr>
        <sz val="11"/>
        <color theme="1"/>
        <rFont val="ＭＳ Ｐゴシック"/>
        <family val="3"/>
        <charset val="134"/>
        <scheme val="minor"/>
      </rPr>
      <t>亲</t>
    </r>
  </si>
  <si>
    <t>刘适</t>
  </si>
  <si>
    <r>
      <t>汽酒; 果酒（含酒精）;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</si>
  <si>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荷确</t>
  </si>
  <si>
    <r>
      <t>吴川市川谷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</si>
  <si>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 xml:space="preserve">果酒; 烈酒; 葡萄酒; 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米酒; 黄酒</t>
    </r>
  </si>
  <si>
    <r>
      <t>榴</t>
    </r>
    <r>
      <rPr>
        <sz val="11"/>
        <color theme="1"/>
        <rFont val="ＭＳ Ｐゴシック"/>
        <family val="3"/>
        <charset val="134"/>
        <scheme val="minor"/>
      </rPr>
      <t>颜</t>
    </r>
  </si>
  <si>
    <r>
      <t>荥</t>
    </r>
    <r>
      <rPr>
        <sz val="11"/>
        <color theme="1"/>
        <rFont val="ＭＳ Ｐゴシック"/>
        <family val="3"/>
        <charset val="128"/>
        <scheme val="minor"/>
      </rPr>
      <t>阳青</t>
    </r>
    <r>
      <rPr>
        <sz val="11"/>
        <color theme="1"/>
        <rFont val="ＭＳ Ｐゴシック"/>
        <family val="3"/>
        <charset val="134"/>
        <scheme val="minor"/>
      </rPr>
      <t>农创兴农业专业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</si>
  <si>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朗姆酒; 果酒（含酒精）;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甜果酒;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</si>
  <si>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颍</t>
    </r>
    <r>
      <rPr>
        <sz val="11"/>
        <color theme="1"/>
        <rFont val="ＭＳ Ｐゴシック"/>
        <family val="3"/>
        <charset val="128"/>
        <scheme val="minor"/>
      </rPr>
      <t>福</t>
    </r>
    <r>
      <rPr>
        <sz val="11"/>
        <color theme="1"/>
        <rFont val="ＭＳ Ｐゴシック"/>
        <family val="3"/>
        <charset val="134"/>
        <scheme val="minor"/>
      </rPr>
      <t>满</t>
    </r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</si>
  <si>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市复</t>
    </r>
    <r>
      <rPr>
        <sz val="11"/>
        <color theme="1"/>
        <rFont val="ＭＳ Ｐゴシック"/>
        <family val="3"/>
        <charset val="134"/>
        <scheme val="minor"/>
      </rPr>
      <t>兴兴</t>
    </r>
    <r>
      <rPr>
        <sz val="11"/>
        <color theme="1"/>
        <rFont val="ＭＳ Ｐゴシック"/>
        <family val="3"/>
        <charset val="128"/>
        <scheme val="minor"/>
      </rPr>
      <t>洲商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</si>
  <si>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苹果酒; 蜂蜜酒; 白酒; 柑香酒;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梨酒</t>
    </r>
  </si>
  <si>
    <t>行醉天下</t>
  </si>
  <si>
    <r>
      <t>露酒; 白酒; 果酒（含酒精）;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</t>
    </r>
  </si>
  <si>
    <r>
      <t>法尼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·</t>
    </r>
    <r>
      <rPr>
        <sz val="11"/>
        <color theme="1"/>
        <rFont val="ＭＳ Ｐゴシック"/>
        <family val="3"/>
        <charset val="134"/>
        <scheme val="minor"/>
      </rPr>
      <t>骑</t>
    </r>
    <r>
      <rPr>
        <sz val="11"/>
        <color theme="1"/>
        <rFont val="ＭＳ Ｐゴシック"/>
        <family val="3"/>
        <charset val="128"/>
        <scheme val="minor"/>
      </rPr>
      <t>士</t>
    </r>
  </si>
  <si>
    <r>
      <t>阿提雅（广州）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出口有限公司</t>
    </r>
  </si>
  <si>
    <r>
      <t>白酒;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伏特加酒; 利口酒;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</t>
    </r>
  </si>
  <si>
    <t>蔡琴</t>
  </si>
  <si>
    <r>
      <t>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</t>
    </r>
  </si>
  <si>
    <r>
      <t>归</t>
    </r>
    <r>
      <rPr>
        <sz val="11"/>
        <color theme="1"/>
        <rFont val="ＭＳ Ｐゴシック"/>
        <family val="3"/>
        <charset val="128"/>
        <scheme val="minor"/>
      </rPr>
      <t>封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</si>
  <si>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甜酒; 梅酒; 汽酒; 米酒; 白酒; 清酒; 烈酒; 果酒; 黄酒</t>
    </r>
  </si>
  <si>
    <t>炎梦樽酒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</si>
  <si>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校慧通教育科技有限公司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</si>
  <si>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</si>
  <si>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梵蒂思</t>
  </si>
  <si>
    <r>
      <t>宸食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</si>
  <si>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果酒（含酒精）;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清酒;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</si>
  <si>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果酒（含酒精）</t>
    </r>
  </si>
  <si>
    <r>
      <t>天晟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</si>
  <si>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内江市</t>
    </r>
    <r>
      <rPr>
        <sz val="11"/>
        <color theme="1"/>
        <rFont val="ＭＳ Ｐゴシック"/>
        <family val="3"/>
        <charset val="134"/>
        <scheme val="minor"/>
      </rPr>
      <t>东兴</t>
    </r>
    <r>
      <rPr>
        <sz val="11"/>
        <color theme="1"/>
        <rFont val="ＭＳ Ｐゴシック"/>
        <family val="3"/>
        <charset val="128"/>
        <scheme val="minor"/>
      </rPr>
      <t>区天晟养殖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</si>
  <si>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开胃酒; 甘蔗制烈酒;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</si>
  <si>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今必成</t>
  </si>
  <si>
    <t>王毛毛</t>
  </si>
  <si>
    <t>开胃酒; 汽酒; 清酒; 白酒; 黄酒; 食用酒精; 甜酒; 果酒; 葡萄酒; 米酒</t>
  </si>
  <si>
    <t>帮状元</t>
  </si>
  <si>
    <r>
      <t>张</t>
    </r>
    <r>
      <rPr>
        <sz val="11"/>
        <color theme="1"/>
        <rFont val="ＭＳ Ｐゴシック"/>
        <family val="3"/>
        <charset val="128"/>
        <scheme val="minor"/>
      </rPr>
      <t>运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</si>
  <si>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</si>
  <si>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关少侠</t>
  </si>
  <si>
    <r>
      <t>陈</t>
    </r>
    <r>
      <rPr>
        <sz val="11"/>
        <color theme="1"/>
        <rFont val="ＭＳ Ｐゴシック"/>
        <family val="3"/>
        <charset val="128"/>
        <scheme val="minor"/>
      </rPr>
      <t>盈盈</t>
    </r>
  </si>
  <si>
    <r>
      <t xml:space="preserve">果酒; 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</si>
  <si>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墨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香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</si>
  <si>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墨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香文化用品有限公司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</si>
  <si>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蜂蜜酒; 白酒;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果酒（含酒精）</t>
    </r>
  </si>
  <si>
    <r>
      <t>阜</t>
    </r>
    <r>
      <rPr>
        <sz val="11"/>
        <color theme="1"/>
        <rFont val="ＭＳ Ｐゴシック"/>
        <family val="3"/>
        <charset val="134"/>
        <scheme val="minor"/>
      </rPr>
      <t>娱饮</t>
    </r>
    <r>
      <rPr>
        <sz val="11"/>
        <color theme="1"/>
        <rFont val="ＭＳ Ｐゴシック"/>
        <family val="3"/>
        <charset val="128"/>
        <scheme val="minor"/>
      </rPr>
      <t>文化</t>
    </r>
  </si>
  <si>
    <r>
      <t>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米酒; 苦味酒;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甜酒; 葡萄酒</t>
    </r>
  </si>
  <si>
    <t>后天之本</t>
  </si>
  <si>
    <r>
      <t>河北雅智文化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</si>
  <si>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汽酒;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开胃酒;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</si>
  <si>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湄</t>
    </r>
    <r>
      <rPr>
        <sz val="11"/>
        <color theme="1"/>
        <rFont val="ＭＳ Ｐゴシック"/>
        <family val="3"/>
        <charset val="134"/>
        <scheme val="minor"/>
      </rPr>
      <t>屿</t>
    </r>
    <r>
      <rPr>
        <sz val="11"/>
        <color theme="1"/>
        <rFont val="ＭＳ Ｐゴシック"/>
        <family val="3"/>
        <charset val="128"/>
        <scheme val="minor"/>
      </rPr>
      <t>好物</t>
    </r>
  </si>
  <si>
    <r>
      <t>莆田市湄洲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旅游服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</si>
  <si>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</si>
  <si>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三涛</t>
  </si>
  <si>
    <r>
      <t>成都信易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</si>
  <si>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威士忌; 青稞酒;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黄酒; 清酒（日本米酒）</t>
    </r>
  </si>
  <si>
    <t>王金芝</t>
  </si>
  <si>
    <r>
      <t>米酒;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刺五加酒;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</si>
  <si>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吉花青</t>
  </si>
  <si>
    <r>
      <t>吉林省瑞雨食品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</si>
  <si>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果酒（含酒精）; 葡萄酒; 食用酒精</t>
    </r>
  </si>
  <si>
    <t>南岭灵狐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</si>
  <si>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南岭春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</si>
  <si>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葡萄酒; 苹果酒;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白酒; 黄酒</t>
    </r>
  </si>
  <si>
    <t>皇嘉山古堡</t>
  </si>
  <si>
    <r>
      <t>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利口酒; 葡萄酒; 白酒</t>
    </r>
  </si>
  <si>
    <t>分召</t>
  </si>
  <si>
    <r>
      <t>海口市昶智和百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</si>
  <si>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黄酒;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</si>
  <si>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舍</t>
    </r>
    <r>
      <rPr>
        <sz val="11"/>
        <color theme="1"/>
        <rFont val="ＭＳ Ｐゴシック"/>
        <family val="3"/>
        <charset val="134"/>
        <scheme val="minor"/>
      </rPr>
      <t>飒</t>
    </r>
  </si>
  <si>
    <r>
      <t xml:space="preserve">米酒; 清酒; 梅酒; 汽酒; 果酒; 黄酒; 烈酒; 白酒;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</si>
  <si>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禾心果</t>
  </si>
  <si>
    <t>漯河聚源美滋食品有限公司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</si>
  <si>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</si>
  <si>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宁波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特投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</si>
  <si>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汽酒; 果酒;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</si>
  <si>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水茗牧</t>
  </si>
  <si>
    <r>
      <t>米酒; 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</si>
  <si>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泰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客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</si>
  <si>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市泰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</si>
  <si>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</t>
    </r>
  </si>
  <si>
    <r>
      <t>一起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康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</si>
  <si>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汽酒; 露酒; 果酒（含酒精）;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</si>
  <si>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众情水</t>
  </si>
  <si>
    <r>
      <t>四川众粮液酒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</si>
  <si>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蒸煮提取物（利口酒和烈酒）;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</si>
  <si>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莱福</t>
    </r>
  </si>
  <si>
    <r>
      <t>宜</t>
    </r>
    <r>
      <rPr>
        <sz val="11"/>
        <color theme="1"/>
        <rFont val="ＭＳ Ｐゴシック"/>
        <family val="3"/>
        <charset val="134"/>
        <scheme val="minor"/>
      </rPr>
      <t>宾龙</t>
    </r>
    <r>
      <rPr>
        <sz val="11"/>
        <color theme="1"/>
        <rFont val="ＭＳ Ｐゴシック"/>
        <family val="3"/>
        <charset val="128"/>
        <scheme val="minor"/>
      </rPr>
      <t>莱福酒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</si>
  <si>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白干酒（中国白酒）;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白酒; 烈酒</t>
    </r>
  </si>
  <si>
    <t>中威名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</si>
  <si>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州中威酒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</si>
  <si>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威士忌; 伏特加酒; 朗姆酒; 食用酒精;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</si>
  <si>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日月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奇</t>
    </r>
  </si>
  <si>
    <r>
      <t xml:space="preserve">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食用酒精; 威士忌</t>
    </r>
  </si>
  <si>
    <t>她俏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</si>
  <si>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露酒; 葡萄酒; 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威士忌; 白酒</t>
    </r>
  </si>
  <si>
    <r>
      <t>名医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祖堂</t>
    </r>
  </si>
  <si>
    <r>
      <t>安徽国池酒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</si>
  <si>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伏特加酒; 米酒</t>
    </r>
  </si>
  <si>
    <r>
      <t>安再</t>
    </r>
    <r>
      <rPr>
        <sz val="11"/>
        <color theme="1"/>
        <rFont val="ＭＳ Ｐゴシック"/>
        <family val="3"/>
        <charset val="134"/>
        <scheme val="minor"/>
      </rPr>
      <t>尔</t>
    </r>
  </si>
  <si>
    <t>艾合麦提·提依甫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</si>
  <si>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苹果酒; 米酒; 白酒; 食用酒精; 薄荷酒; 果酒（含酒精）;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开胃酒; 梨酒</t>
    </r>
  </si>
  <si>
    <r>
      <t>白酒; 果酒（含酒精）;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开胃酒;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</si>
  <si>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醉公醉婆</t>
  </si>
  <si>
    <r>
      <t>海南中京</t>
    </r>
    <r>
      <rPr>
        <sz val="11"/>
        <color theme="1"/>
        <rFont val="ＭＳ Ｐゴシック"/>
        <family val="3"/>
        <charset val="134"/>
        <scheme val="minor"/>
      </rPr>
      <t>邮环</t>
    </r>
    <r>
      <rPr>
        <sz val="11"/>
        <color theme="1"/>
        <rFont val="ＭＳ Ｐゴシック"/>
        <family val="3"/>
        <charset val="128"/>
        <scheme val="minor"/>
      </rPr>
      <t>保科技有限公司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</si>
  <si>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米酒; 果酒（含酒精）;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</si>
  <si>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猪猪</t>
    </r>
    <r>
      <rPr>
        <sz val="11"/>
        <color theme="1"/>
        <rFont val="ＭＳ Ｐゴシック"/>
        <family val="3"/>
        <charset val="134"/>
        <scheme val="minor"/>
      </rPr>
      <t>鲤</t>
    </r>
  </si>
  <si>
    <r>
      <t>未来新品（山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）信息科技集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</si>
  <si>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</si>
  <si>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浅初</t>
  </si>
  <si>
    <r>
      <t>河北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广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</si>
  <si>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果酒（含酒精）;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</si>
  <si>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晨</t>
    </r>
    <r>
      <rPr>
        <sz val="11"/>
        <color theme="1"/>
        <rFont val="ＭＳ Ｐゴシック"/>
        <family val="3"/>
        <charset val="134"/>
        <scheme val="minor"/>
      </rPr>
      <t>铭</t>
    </r>
    <r>
      <rPr>
        <sz val="11"/>
        <color theme="1"/>
        <rFont val="ＭＳ Ｐゴシック"/>
        <family val="3"/>
        <charset val="128"/>
        <scheme val="minor"/>
      </rPr>
      <t>毅</t>
    </r>
  </si>
  <si>
    <t>邱正元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</si>
  <si>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</t>
    </r>
  </si>
  <si>
    <r>
      <t>侨见</t>
    </r>
    <r>
      <rPr>
        <sz val="11"/>
        <color theme="1"/>
        <rFont val="ＭＳ Ｐゴシック"/>
        <family val="3"/>
        <charset val="128"/>
        <scheme val="minor"/>
      </rPr>
      <t>故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</si>
  <si>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广德</t>
    </r>
    <r>
      <rPr>
        <sz val="11"/>
        <color theme="1"/>
        <rFont val="ＭＳ Ｐゴシック"/>
        <family val="3"/>
        <charset val="134"/>
        <scheme val="minor"/>
      </rPr>
      <t>聂</t>
    </r>
    <r>
      <rPr>
        <sz val="11"/>
        <color theme="1"/>
        <rFont val="ＭＳ Ｐゴシック"/>
        <family val="3"/>
        <charset val="128"/>
        <scheme val="minor"/>
      </rPr>
      <t>彬日用品</t>
    </r>
    <r>
      <rPr>
        <sz val="11"/>
        <color theme="1"/>
        <rFont val="ＭＳ Ｐゴシック"/>
        <family val="3"/>
        <charset val="134"/>
        <scheme val="minor"/>
      </rPr>
      <t>经营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</si>
  <si>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食用酒精; 米酒; 果酒（含酒精）;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</si>
  <si>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高路遇</t>
    </r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</si>
  <si>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江交投路域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源开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</si>
  <si>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含酒精的气泡水;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朗姆酒;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威士忌;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果酒（含酒精）</t>
    </r>
  </si>
  <si>
    <r>
      <t>敷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佳</t>
    </r>
  </si>
  <si>
    <r>
      <t>葡萄酒; 利口酒;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</si>
  <si>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阜愉</t>
  </si>
  <si>
    <r>
      <t>米酒; 黄酒;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甜酒;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白干酒（中国白酒）; 苦味酒</t>
    </r>
  </si>
  <si>
    <r>
      <t>铜</t>
    </r>
    <r>
      <rPr>
        <sz val="11"/>
        <color theme="1"/>
        <rFont val="ＭＳ Ｐゴシック"/>
        <family val="3"/>
        <charset val="128"/>
        <scheme val="minor"/>
      </rPr>
      <t>鼓郎</t>
    </r>
  </si>
  <si>
    <r>
      <t>江西谷窖酒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</si>
  <si>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食用酒精;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白干酒（中国白酒）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</si>
  <si>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克</t>
    </r>
  </si>
  <si>
    <r>
      <t>师</t>
    </r>
    <r>
      <rPr>
        <sz val="11"/>
        <color theme="1"/>
        <rFont val="ＭＳ Ｐゴシック"/>
        <family val="3"/>
        <charset val="128"/>
        <scheme val="minor"/>
      </rPr>
      <t>恩</t>
    </r>
    <r>
      <rPr>
        <sz val="11"/>
        <color theme="1"/>
        <rFont val="ＭＳ Ｐゴシック"/>
        <family val="3"/>
        <charset val="134"/>
        <scheme val="minor"/>
      </rPr>
      <t>树</t>
    </r>
  </si>
  <si>
    <r>
      <t>果酒;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</t>
    </r>
  </si>
  <si>
    <t>梅山金台</t>
  </si>
  <si>
    <r>
      <t>安徽省金寨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梅山酒厂（普通合伙）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</si>
  <si>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</si>
  <si>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李庄福</t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</si>
  <si>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</si>
  <si>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宝亭</t>
  </si>
  <si>
    <r>
      <t>上海万客莱商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中心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</si>
  <si>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黄酒</t>
    </r>
  </si>
  <si>
    <r>
      <t>岩水</t>
    </r>
    <r>
      <rPr>
        <sz val="11"/>
        <color theme="1"/>
        <rFont val="ＭＳ Ｐゴシック"/>
        <family val="3"/>
        <charset val="134"/>
        <scheme val="minor"/>
      </rPr>
      <t>坝</t>
    </r>
    <r>
      <rPr>
        <sz val="11"/>
        <color theme="1"/>
        <rFont val="ＭＳ Ｐゴシック"/>
        <family val="3"/>
        <charset val="128"/>
        <scheme val="minor"/>
      </rPr>
      <t>酒坊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</si>
  <si>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利口酒; 高粱酒; 食用酒精; 清酒; 开胃酒; 白酒</t>
    </r>
  </si>
  <si>
    <r>
      <t>钦</t>
    </r>
    <r>
      <rPr>
        <sz val="11"/>
        <color theme="1"/>
        <rFont val="ＭＳ Ｐゴシック"/>
        <family val="3"/>
        <charset val="128"/>
        <scheme val="minor"/>
      </rPr>
      <t>述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</si>
  <si>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t>陈恳</t>
  </si>
  <si>
    <r>
      <t xml:space="preserve">果酒（含酒精）; 葡萄酒; 高粱酒; 清酒;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</t>
    </r>
  </si>
  <si>
    <t>浦圃</t>
  </si>
  <si>
    <t>四川二牛科技有限公司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</si>
  <si>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清酒; 果酒; 白酒;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</si>
  <si>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她倩</t>
  </si>
  <si>
    <r>
      <t>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蜂蜜酒; 露酒</t>
    </r>
  </si>
  <si>
    <r>
      <t>她</t>
    </r>
    <r>
      <rPr>
        <sz val="11"/>
        <color theme="1"/>
        <rFont val="ＭＳ Ｐゴシック"/>
        <family val="3"/>
        <charset val="134"/>
        <scheme val="minor"/>
      </rPr>
      <t>纯</t>
    </r>
  </si>
  <si>
    <r>
      <t>果酒;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蜂蜜酒; 威士忌;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</si>
  <si>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炎梦酒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</si>
  <si>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</si>
  <si>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葡萄酒; 白葡萄酒;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</si>
  <si>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SEWU</t>
  </si>
  <si>
    <r>
      <t>江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林保健食品有限公司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</si>
  <si>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伏特加酒</t>
    </r>
  </si>
  <si>
    <r>
      <t>香</t>
    </r>
    <r>
      <rPr>
        <sz val="11"/>
        <color theme="1"/>
        <rFont val="ＭＳ Ｐゴシック"/>
        <family val="3"/>
        <charset val="134"/>
        <scheme val="minor"/>
      </rPr>
      <t>灏缘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</si>
  <si>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葡萄酒; 黄酒; 米酒; 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</si>
  <si>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商湃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</si>
  <si>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白酒; 开胃酒;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</si>
  <si>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彩久歌</t>
    </r>
  </si>
  <si>
    <r>
      <t>创业</t>
    </r>
    <r>
      <rPr>
        <sz val="11"/>
        <color theme="1"/>
        <rFont val="ＭＳ Ｐゴシック"/>
        <family val="3"/>
        <charset val="128"/>
        <scheme val="minor"/>
      </rPr>
      <t>帮工商税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代理无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</si>
  <si>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黄酒; 果酒（含酒精）; 白酒; 蜂蜜酒; 米酒; 葡萄酒;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</t>
    </r>
  </si>
  <si>
    <r>
      <t>易知</t>
    </r>
    <r>
      <rPr>
        <sz val="11"/>
        <color theme="1"/>
        <rFont val="ＭＳ Ｐゴシック"/>
        <family val="3"/>
        <charset val="134"/>
        <scheme val="minor"/>
      </rPr>
      <t>闲</t>
    </r>
  </si>
  <si>
    <r>
      <t>葡萄酒; 汽酒; 果酒（含酒精）;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</si>
  <si>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东炜烧</t>
  </si>
  <si>
    <r>
      <t>高</t>
    </r>
    <r>
      <rPr>
        <sz val="11"/>
        <color theme="1"/>
        <rFont val="ＭＳ Ｐゴシック"/>
        <family val="3"/>
        <charset val="134"/>
        <scheme val="minor"/>
      </rPr>
      <t>东炜</t>
    </r>
  </si>
  <si>
    <r>
      <t xml:space="preserve">烈酒;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食用酒精</t>
    </r>
  </si>
  <si>
    <t>毅行</t>
  </si>
  <si>
    <r>
      <t>济</t>
    </r>
    <r>
      <rPr>
        <sz val="11"/>
        <color theme="1"/>
        <rFont val="ＭＳ Ｐゴシック"/>
        <family val="3"/>
        <charset val="128"/>
        <scheme val="minor"/>
      </rPr>
      <t>南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</si>
  <si>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葡萄酒; 米酒;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食用酒精</t>
    </r>
  </si>
  <si>
    <r>
      <t>正信</t>
    </r>
    <r>
      <rPr>
        <sz val="11"/>
        <color theme="1"/>
        <rFont val="ＭＳ Ｐゴシック"/>
        <family val="3"/>
        <charset val="134"/>
        <scheme val="minor"/>
      </rPr>
      <t>问</t>
    </r>
    <r>
      <rPr>
        <sz val="11"/>
        <color theme="1"/>
        <rFont val="ＭＳ Ｐゴシック"/>
        <family val="3"/>
        <charset val="128"/>
        <scheme val="minor"/>
      </rPr>
      <t>花</t>
    </r>
  </si>
  <si>
    <r>
      <t xml:space="preserve">清酒（日本米酒）; 伏特加酒; 威士忌;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白酒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</si>
  <si>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堤</t>
    </r>
  </si>
  <si>
    <r>
      <t>成都</t>
    </r>
    <r>
      <rPr>
        <sz val="11"/>
        <color theme="1"/>
        <rFont val="ＭＳ Ｐゴシック"/>
        <family val="3"/>
        <charset val="134"/>
        <scheme val="minor"/>
      </rPr>
      <t>兴华业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</si>
  <si>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梅酒; 果酒（含酒精）; 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甜酒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</si>
  <si>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箭坡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</si>
  <si>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丫新公社</t>
    </r>
  </si>
  <si>
    <r>
      <t>唐山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丫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</si>
  <si>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苹果酒;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</t>
    </r>
  </si>
  <si>
    <t>雪山花海</t>
  </si>
  <si>
    <r>
      <t>云南喏佳特酒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</si>
  <si>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</t>
    </r>
  </si>
  <si>
    <r>
      <t>公</t>
    </r>
    <r>
      <rPr>
        <sz val="11"/>
        <color theme="1"/>
        <rFont val="ＭＳ Ｐゴシック"/>
        <family val="3"/>
        <charset val="134"/>
        <scheme val="minor"/>
      </rPr>
      <t>张</t>
    </r>
    <r>
      <rPr>
        <sz val="11"/>
        <color theme="1"/>
        <rFont val="ＭＳ Ｐゴシック"/>
        <family val="3"/>
        <charset val="128"/>
        <scheme val="minor"/>
      </rPr>
      <t>社弓</t>
    </r>
  </si>
  <si>
    <r>
      <t xml:space="preserve">白干酒（中国白酒）;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梨酒;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</t>
    </r>
  </si>
  <si>
    <r>
      <t>正</t>
    </r>
    <r>
      <rPr>
        <sz val="11"/>
        <color theme="1"/>
        <rFont val="ＭＳ Ｐゴシック"/>
        <family val="3"/>
        <charset val="134"/>
        <scheme val="minor"/>
      </rPr>
      <t>钱</t>
    </r>
  </si>
  <si>
    <r>
      <t>姚正</t>
    </r>
    <r>
      <rPr>
        <sz val="11"/>
        <color theme="1"/>
        <rFont val="ＭＳ Ｐゴシック"/>
        <family val="3"/>
        <charset val="134"/>
        <scheme val="minor"/>
      </rPr>
      <t>钱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</si>
  <si>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米酒; 葡萄酒; 白酒; 食用酒精;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</si>
  <si>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念花田</t>
  </si>
  <si>
    <t>沈群森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</si>
  <si>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米酒; 青稞酒; 食用酒精; 白酒</t>
    </r>
  </si>
  <si>
    <r>
      <t>她</t>
    </r>
    <r>
      <rPr>
        <sz val="11"/>
        <color theme="1"/>
        <rFont val="ＭＳ Ｐゴシック"/>
        <family val="3"/>
        <charset val="134"/>
        <scheme val="minor"/>
      </rPr>
      <t>靓</t>
    </r>
  </si>
  <si>
    <r>
      <t>白酒;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清酒; 露酒; 果酒;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</si>
  <si>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她真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</si>
  <si>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蜂蜜酒; 果酒;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清酒</t>
    </r>
  </si>
  <si>
    <t>哲柔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</si>
  <si>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汽酒; 米酒; 黄酒; 果酒; 甜酒; 白酒; 清酒; 梅酒; 烈酒</t>
    </r>
  </si>
  <si>
    <t>求璞</t>
  </si>
  <si>
    <r>
      <t>徐州首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</si>
  <si>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米酒; 青稞酒; 利口酒; 清酒（日本米酒）; 开胃酒; 梨酒;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</si>
  <si>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颂时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</si>
  <si>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葡萄酒; 食用酒精; 黄酒; 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</si>
  <si>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拉迪戈</t>
  </si>
  <si>
    <r>
      <t xml:space="preserve">黑覆盆子酒; 混合威士忌酒; 果酒; 清酒; 米酒; 白酒; 朗姆酒;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</si>
  <si>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t>犁</t>
  </si>
  <si>
    <r>
      <t>釜阳春酒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</si>
  <si>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米酒</t>
    </r>
  </si>
  <si>
    <r>
      <t>瑞普</t>
    </r>
    <r>
      <rPr>
        <sz val="11"/>
        <color theme="1"/>
        <rFont val="ＭＳ Ｐゴシック"/>
        <family val="3"/>
        <charset val="129"/>
        <scheme val="minor"/>
      </rPr>
      <t>优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</si>
  <si>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尚</t>
    </r>
    <r>
      <rPr>
        <sz val="11"/>
        <color theme="1"/>
        <rFont val="ＭＳ Ｐゴシック"/>
        <family val="3"/>
        <charset val="134"/>
        <scheme val="minor"/>
      </rPr>
      <t>电动车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</si>
  <si>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薄荷酒;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黄酒; 葡萄酒; 米酒; 青稞酒</t>
    </r>
  </si>
  <si>
    <r>
      <t>逸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坊</t>
    </r>
  </si>
  <si>
    <t>林江山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</si>
  <si>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果酒（含酒精）; 威士忌; 葡萄酒; 米酒</t>
    </r>
  </si>
  <si>
    <t>厚德清商</t>
  </si>
  <si>
    <r>
      <t>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清酒; 苹果酒; 葡萄酒; 蜂蜜酒; 白酒; 黄酒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</si>
  <si>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酉堂</t>
    </r>
  </si>
  <si>
    <r>
      <t>北京正丰万福商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</si>
  <si>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白酒;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</t>
    </r>
  </si>
  <si>
    <r>
      <t>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薄荷酒;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梨酒; 米酒; 青稞酒;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</si>
  <si>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天百通</t>
  </si>
  <si>
    <t>四川天百通生物科技有限公司</t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</si>
  <si>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餐后酒（利口酒和烈酒）;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</t>
    </r>
  </si>
  <si>
    <r>
      <t>詹厂</t>
    </r>
    <r>
      <rPr>
        <sz val="11"/>
        <color theme="1"/>
        <rFont val="ＭＳ Ｐゴシック"/>
        <family val="3"/>
        <charset val="134"/>
        <scheme val="minor"/>
      </rPr>
      <t>长</t>
    </r>
  </si>
  <si>
    <t>占彦昌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</si>
  <si>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蒸煮提取物（利口酒和烈酒）; 白酒; 果酒; 五加皮酒（中国混合烈酒）; 黄酒;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</si>
  <si>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琦楠</t>
  </si>
  <si>
    <r>
      <t>上海琦楠香文化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</si>
  <si>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混合威士忌酒; 威士忌</t>
    </r>
  </si>
  <si>
    <r>
      <t>河南少康</t>
    </r>
    <r>
      <rPr>
        <sz val="11"/>
        <color theme="1"/>
        <rFont val="ＭＳ Ｐゴシック"/>
        <family val="3"/>
        <charset val="134"/>
        <scheme val="minor"/>
      </rPr>
      <t>龙实业</t>
    </r>
    <r>
      <rPr>
        <sz val="11"/>
        <color theme="1"/>
        <rFont val="ＭＳ Ｐゴシック"/>
        <family val="3"/>
        <charset val="128"/>
        <scheme val="minor"/>
      </rPr>
      <t>股份公司</t>
    </r>
  </si>
  <si>
    <r>
      <t>青稞酒; 黄酒; 开胃酒;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</si>
  <si>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诸</t>
    </r>
    <r>
      <rPr>
        <sz val="11"/>
        <color theme="1"/>
        <rFont val="ＭＳ Ｐゴシック"/>
        <family val="3"/>
        <charset val="129"/>
        <scheme val="minor"/>
      </rPr>
      <t>暨</t>
    </r>
    <r>
      <rPr>
        <sz val="11"/>
        <color theme="1"/>
        <rFont val="ＭＳ Ｐゴシック"/>
        <family val="3"/>
        <charset val="128"/>
        <scheme val="minor"/>
      </rPr>
      <t>旭拓袜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</si>
  <si>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汽酒; 青稞酒;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</si>
  <si>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t>滇年</t>
  </si>
  <si>
    <r>
      <t>吕</t>
    </r>
    <r>
      <rPr>
        <sz val="11"/>
        <color theme="1"/>
        <rFont val="ＭＳ Ｐゴシック"/>
        <family val="3"/>
        <charset val="128"/>
        <scheme val="minor"/>
      </rPr>
      <t>惠芬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</si>
  <si>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清酒（日本米酒）; 黄酒; 烈酒; 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</si>
  <si>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t>亮丞相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</si>
  <si>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薄荷酒; 葡萄酒; 白酒; 烈酒; 青稞酒;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</t>
    </r>
  </si>
  <si>
    <r>
      <t>易玩（上海）网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</si>
  <si>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</si>
  <si>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梦淳臻</t>
  </si>
  <si>
    <r>
      <t>于</t>
    </r>
    <r>
      <rPr>
        <sz val="11"/>
        <color theme="1"/>
        <rFont val="ＭＳ Ｐゴシック"/>
        <family val="3"/>
        <charset val="134"/>
        <scheme val="minor"/>
      </rPr>
      <t>钟</t>
    </r>
    <r>
      <rPr>
        <sz val="11"/>
        <color theme="1"/>
        <rFont val="ＭＳ Ｐゴシック"/>
        <family val="3"/>
        <charset val="128"/>
        <scheme val="minor"/>
      </rPr>
      <t>姚</t>
    </r>
  </si>
  <si>
    <r>
      <t>含酒精的气泡水; 米酒; 白酒; 葡萄酒; 甜果酒;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</si>
  <si>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欢</t>
    </r>
    <r>
      <rPr>
        <sz val="11"/>
        <color theme="1"/>
        <rFont val="ＭＳ Ｐゴシック"/>
        <family val="3"/>
        <charset val="128"/>
        <scheme val="minor"/>
      </rPr>
      <t>粮渡</t>
    </r>
  </si>
  <si>
    <r>
      <t xml:space="preserve">清酒; 白酒; 高粱酒;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烈酒; 黄酒</t>
    </r>
  </si>
  <si>
    <r>
      <t>呵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族</t>
    </r>
  </si>
  <si>
    <t>刘冰琳</t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</si>
  <si>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食用酒精; 蜂蜜酒; 葡萄酒</t>
    </r>
  </si>
  <si>
    <r>
      <t>堡歌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黄</t>
    </r>
  </si>
  <si>
    <r>
      <t>微醺小伴（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州）国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</si>
  <si>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白酒;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汽酒;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</si>
  <si>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一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8"/>
        <scheme val="minor"/>
      </rPr>
      <t>町</t>
    </r>
  </si>
  <si>
    <r>
      <t>苍</t>
    </r>
    <r>
      <rPr>
        <sz val="11"/>
        <color theme="1"/>
        <rFont val="ＭＳ Ｐゴシック"/>
        <family val="3"/>
        <charset val="128"/>
        <scheme val="minor"/>
      </rPr>
      <t>南一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8"/>
        <scheme val="minor"/>
      </rPr>
      <t>町品牌管理有限公司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</si>
  <si>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葡萄酒; 伏特加酒; 米酒; 白酒; 利口酒; 威士忌</t>
    </r>
  </si>
  <si>
    <t>瓶安常酒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</si>
  <si>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州中沈青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</si>
  <si>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高粱酒; 黄酒;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</si>
  <si>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渔</t>
    </r>
    <r>
      <rPr>
        <sz val="11"/>
        <color theme="1"/>
        <rFont val="ＭＳ Ｐゴシック"/>
        <family val="3"/>
        <charset val="128"/>
        <scheme val="minor"/>
      </rPr>
      <t>夫</t>
    </r>
    <r>
      <rPr>
        <sz val="11"/>
        <color theme="1"/>
        <rFont val="ＭＳ Ｐゴシック"/>
        <family val="3"/>
        <charset val="134"/>
        <scheme val="minor"/>
      </rPr>
      <t>汉</t>
    </r>
  </si>
  <si>
    <r>
      <t xml:space="preserve">加烈葡萄酒;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葡萄酒; 黄酒; 威士忌;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五加皮酒（中国混合烈酒）; 白酒</t>
    </r>
  </si>
  <si>
    <r>
      <t>禧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</si>
  <si>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孟</t>
    </r>
    <r>
      <rPr>
        <sz val="11"/>
        <color theme="1"/>
        <rFont val="ＭＳ Ｐゴシック"/>
        <family val="3"/>
        <charset val="134"/>
        <scheme val="minor"/>
      </rPr>
      <t>艳</t>
    </r>
    <r>
      <rPr>
        <sz val="11"/>
        <color theme="1"/>
        <rFont val="ＭＳ Ｐゴシック"/>
        <family val="3"/>
        <charset val="128"/>
        <scheme val="minor"/>
      </rPr>
      <t>尊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</si>
  <si>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米酒; 葡萄酒; 青稞酒; 果酒（含酒精）; 高粱酒;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</si>
  <si>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中霖</t>
  </si>
  <si>
    <r>
      <t>李文</t>
    </r>
    <r>
      <rPr>
        <sz val="11"/>
        <color theme="1"/>
        <rFont val="ＭＳ Ｐゴシック"/>
        <family val="3"/>
        <charset val="134"/>
        <scheme val="minor"/>
      </rPr>
      <t>凯</t>
    </r>
  </si>
  <si>
    <r>
      <t>果酒（含酒精）; 米酒; 青稞酒; 白酒;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露酒; 葡萄酒</t>
    </r>
  </si>
  <si>
    <r>
      <t>经</t>
    </r>
    <r>
      <rPr>
        <sz val="11"/>
        <color theme="1"/>
        <rFont val="ＭＳ Ｐゴシック"/>
        <family val="3"/>
        <charset val="128"/>
        <scheme val="minor"/>
      </rPr>
      <t>喜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</si>
  <si>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青稞酒; 米酒; 果酒（含酒精）;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高粱酒; 葡萄酒</t>
    </r>
  </si>
  <si>
    <t>侏伎</t>
  </si>
  <si>
    <r>
      <t>海口市熙嘉旭商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</si>
  <si>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米酒;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</si>
  <si>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天政</t>
  </si>
  <si>
    <r>
      <t xml:space="preserve">葡萄酒; 青稞酒; 白酒; 果酒（含酒精）; 露酒;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</si>
  <si>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守</t>
    </r>
    <r>
      <rPr>
        <sz val="11"/>
        <color theme="1"/>
        <rFont val="ＭＳ Ｐゴシック"/>
        <family val="3"/>
        <charset val="134"/>
        <scheme val="minor"/>
      </rPr>
      <t>词</t>
    </r>
  </si>
  <si>
    <r>
      <t xml:space="preserve">清酒; 梅酒; 烈酒;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甜酒; 黄酒; 汽酒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</si>
  <si>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娇</t>
    </r>
    <r>
      <rPr>
        <sz val="11"/>
        <color theme="1"/>
        <rFont val="ＭＳ Ｐゴシック"/>
        <family val="3"/>
        <charset val="128"/>
        <scheme val="minor"/>
      </rPr>
      <t>夫</t>
    </r>
  </si>
  <si>
    <r>
      <t>烈酒; 白酒; 米酒; 葡萄酒; 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开胃酒</t>
    </r>
  </si>
  <si>
    <r>
      <t>庆</t>
    </r>
    <r>
      <rPr>
        <sz val="11"/>
        <color theme="1"/>
        <rFont val="ＭＳ Ｐゴシック"/>
        <family val="3"/>
        <charset val="128"/>
        <scheme val="minor"/>
      </rPr>
      <t>清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</si>
  <si>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清酒; 烈酒; 白酒; 高粱酒; 葡萄酒; 黄酒; 果酒</t>
    </r>
  </si>
  <si>
    <r>
      <t>月</t>
    </r>
    <r>
      <rPr>
        <sz val="11"/>
        <color theme="1"/>
        <rFont val="ＭＳ Ｐゴシック"/>
        <family val="3"/>
        <charset val="134"/>
        <scheme val="minor"/>
      </rPr>
      <t>调</t>
    </r>
  </si>
  <si>
    <r>
      <t>高粱酒; 葡萄酒;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清酒; 黄酒; 烈酒; 白酒</t>
    </r>
  </si>
  <si>
    <t>盛小汐</t>
  </si>
  <si>
    <r>
      <t>吉林省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</si>
  <si>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含酒精的气泡水; 食用酒精;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葡萄酒</t>
    </r>
  </si>
  <si>
    <r>
      <t>烈火</t>
    </r>
    <r>
      <rPr>
        <sz val="11"/>
        <color theme="1"/>
        <rFont val="ＭＳ Ｐゴシック"/>
        <family val="3"/>
        <charset val="134"/>
        <scheme val="minor"/>
      </rPr>
      <t>岛</t>
    </r>
  </si>
  <si>
    <r>
      <t>詹翠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</si>
  <si>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 xml:space="preserve">清酒（日本米酒）; 清酒; 白葡萄酒; 白酒;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</si>
  <si>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雁城</t>
    </r>
    <r>
      <rPr>
        <sz val="11"/>
        <color theme="1"/>
        <rFont val="ＭＳ Ｐゴシック"/>
        <family val="3"/>
        <charset val="134"/>
        <scheme val="minor"/>
      </rPr>
      <t>渔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</si>
  <si>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>清酒（日本米酒）; 白酒; 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</t>
    </r>
  </si>
  <si>
    <r>
      <t>今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谷</t>
    </r>
  </si>
  <si>
    <t>李幸龍</t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</si>
  <si>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高粱酒; 露酒;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清酒</t>
    </r>
  </si>
  <si>
    <r>
      <t>富</t>
    </r>
    <r>
      <rPr>
        <sz val="11"/>
        <color theme="1"/>
        <rFont val="ＭＳ Ｐゴシック"/>
        <family val="3"/>
        <charset val="134"/>
        <scheme val="minor"/>
      </rPr>
      <t>娱</t>
    </r>
  </si>
  <si>
    <r>
      <t xml:space="preserve">苦味酒;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甜酒; 米酒; 白干酒（中国白酒）; 汽酒;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</si>
  <si>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喜柔台</t>
  </si>
  <si>
    <r>
      <t xml:space="preserve">果酒（含酒精）; 黄酒;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</t>
    </r>
  </si>
  <si>
    <t>何但</t>
  </si>
  <si>
    <r>
      <t>海口市</t>
    </r>
    <r>
      <rPr>
        <sz val="11"/>
        <color theme="1"/>
        <rFont val="ＭＳ Ｐゴシック"/>
        <family val="3"/>
        <charset val="134"/>
        <scheme val="minor"/>
      </rPr>
      <t>蕴</t>
    </r>
    <r>
      <rPr>
        <sz val="11"/>
        <color theme="1"/>
        <rFont val="ＭＳ Ｐゴシック"/>
        <family val="3"/>
        <charset val="128"/>
        <scheme val="minor"/>
      </rPr>
      <t>和佳商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</si>
  <si>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伏特加酒;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</si>
  <si>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赣</t>
    </r>
    <r>
      <rPr>
        <sz val="11"/>
        <color theme="1"/>
        <rFont val="ＭＳ Ｐゴシック"/>
        <family val="3"/>
        <charset val="128"/>
        <scheme val="minor"/>
      </rPr>
      <t>南.源蜜</t>
    </r>
  </si>
  <si>
    <t>叶虹雨</t>
  </si>
  <si>
    <r>
      <t>米酒; 青稞酒;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黄酒; 威士忌; 食用酒精</t>
    </r>
  </si>
  <si>
    <t>开弓</t>
  </si>
  <si>
    <r>
      <t>李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永</t>
    </r>
  </si>
  <si>
    <r>
      <t>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葡萄酒; 白酒; 黄酒; 开胃酒; 露酒; 米酒; 甜酒</t>
    </r>
  </si>
  <si>
    <r>
      <t>晶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</si>
  <si>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>葡萄酒; 白酒; 米酒; 高粱酒;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果酒（含酒精）</t>
    </r>
  </si>
  <si>
    <r>
      <t>帝清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</si>
  <si>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 xml:space="preserve">葡萄酒; 高粱酒;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白酒; 果酒; 米酒;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</si>
  <si>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贺沧</t>
    </r>
    <r>
      <rPr>
        <sz val="11"/>
        <color theme="1"/>
        <rFont val="ＭＳ Ｐゴシック"/>
        <family val="3"/>
        <charset val="128"/>
        <scheme val="minor"/>
      </rPr>
      <t>海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</si>
  <si>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果酒; 高粱酒; 白酒; 清酒; 葡萄酒; 烈酒</t>
    </r>
  </si>
  <si>
    <t>裕百仙</t>
  </si>
  <si>
    <r>
      <t>古</t>
    </r>
    <r>
      <rPr>
        <sz val="11"/>
        <color theme="1"/>
        <rFont val="ＭＳ Ｐゴシック"/>
        <family val="3"/>
        <charset val="134"/>
        <scheme val="minor"/>
      </rPr>
      <t>艳凤</t>
    </r>
  </si>
  <si>
    <r>
      <t xml:space="preserve">葡萄酒;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果酒; 白酒; 高粱酒; 清酒</t>
    </r>
  </si>
  <si>
    <t>和仔</t>
  </si>
  <si>
    <r>
      <t xml:space="preserve">果酒; 清酒; 黄酒;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露酒;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</si>
  <si>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桃林紫林坊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</si>
  <si>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桃林酒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</si>
  <si>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</si>
  <si>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珠</t>
    </r>
    <r>
      <rPr>
        <sz val="11"/>
        <color theme="1"/>
        <rFont val="ＭＳ Ｐゴシック"/>
        <family val="3"/>
        <charset val="134"/>
        <scheme val="minor"/>
      </rPr>
      <t>兰</t>
    </r>
  </si>
  <si>
    <t>安徽朝廷科技有限公司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</si>
  <si>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黄酒; 威士忌;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白酒</t>
    </r>
  </si>
  <si>
    <r>
      <t>源</t>
    </r>
    <r>
      <rPr>
        <sz val="11"/>
        <color theme="1"/>
        <rFont val="ＭＳ Ｐゴシック"/>
        <family val="3"/>
        <charset val="134"/>
        <scheme val="minor"/>
      </rPr>
      <t>质选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</si>
  <si>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国尚供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</si>
  <si>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白酒;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</t>
    </r>
  </si>
  <si>
    <r>
      <t>扬</t>
    </r>
    <r>
      <rPr>
        <sz val="11"/>
        <color theme="1"/>
        <rFont val="ＭＳ Ｐゴシック"/>
        <family val="3"/>
        <charset val="128"/>
        <scheme val="minor"/>
      </rPr>
      <t>帆</t>
    </r>
  </si>
  <si>
    <r>
      <t>河北神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</si>
  <si>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苹果酒; 餐后酒（利口酒和烈酒）; 葡萄酒; 白酒; 开胃酒; 蜂蜜酒;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</si>
  <si>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GLUGLUG</t>
  </si>
  <si>
    <r>
      <t>吕</t>
    </r>
    <r>
      <rPr>
        <sz val="11"/>
        <color theme="1"/>
        <rFont val="ＭＳ Ｐゴシック"/>
        <family val="3"/>
        <charset val="128"/>
        <scheme val="minor"/>
      </rPr>
      <t>英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</si>
  <si>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白干酒（中国白酒）; 果酒（含酒精）; 蜂蜜酒; 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</t>
    </r>
  </si>
  <si>
    <t>中周</t>
  </si>
  <si>
    <r>
      <t xml:space="preserve">高粱酒;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黄酒; 白酒; 果酒（含酒精）</t>
    </r>
  </si>
  <si>
    <r>
      <t>旗</t>
    </r>
    <r>
      <rPr>
        <sz val="11"/>
        <color theme="1"/>
        <rFont val="ＭＳ Ｐゴシック"/>
        <family val="3"/>
        <charset val="134"/>
        <scheme val="minor"/>
      </rPr>
      <t>际</t>
    </r>
  </si>
  <si>
    <r>
      <t>海南旗</t>
    </r>
    <r>
      <rPr>
        <sz val="11"/>
        <color theme="1"/>
        <rFont val="ＭＳ Ｐゴシック"/>
        <family val="3"/>
        <charset val="134"/>
        <scheme val="minor"/>
      </rPr>
      <t>际饮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</si>
  <si>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 xml:space="preserve">果酒（含酒精）; 葡萄酒; 黄酒;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</t>
    </r>
  </si>
  <si>
    <t>食光村</t>
  </si>
  <si>
    <r>
      <t>史建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</si>
  <si>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 xml:space="preserve">开胃酒; 果酒（含酒精）; 利口酒;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</si>
  <si>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台之神</t>
  </si>
  <si>
    <r>
      <t xml:space="preserve">高粱酒;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露酒;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</si>
  <si>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</si>
  <si>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果酒（含酒精）; 露酒; 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</t>
    </r>
  </si>
  <si>
    <r>
      <t>科里</t>
    </r>
    <r>
      <rPr>
        <sz val="11"/>
        <color theme="1"/>
        <rFont val="ＭＳ Ｐゴシック"/>
        <family val="3"/>
        <charset val="134"/>
        <scheme val="minor"/>
      </rPr>
      <t>顿</t>
    </r>
    <r>
      <rPr>
        <sz val="11"/>
        <color theme="1"/>
        <rFont val="ＭＳ Ｐゴシック"/>
        <family val="3"/>
        <charset val="128"/>
        <scheme val="minor"/>
      </rPr>
      <t>·堡歌</t>
    </r>
  </si>
  <si>
    <r>
      <t>葡萄酒; 汽酒;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</t>
    </r>
  </si>
  <si>
    <t>元上客 FISOKE</t>
  </si>
  <si>
    <r>
      <t>王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芳</t>
    </r>
  </si>
  <si>
    <r>
      <t>果酒（含酒精）; 苹果酒;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米酒</t>
    </r>
  </si>
  <si>
    <t>小坤河</t>
  </si>
  <si>
    <t>宋福来</t>
  </si>
  <si>
    <r>
      <t>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汽酒; 青稞酒; 葡萄酒; 黄酒; 白酒</t>
    </r>
  </si>
  <si>
    <t>耿功臣</t>
  </si>
  <si>
    <r>
      <t>山西四方通寄</t>
    </r>
    <r>
      <rPr>
        <sz val="11"/>
        <color theme="1"/>
        <rFont val="ＭＳ Ｐゴシック"/>
        <family val="3"/>
        <charset val="134"/>
        <scheme val="minor"/>
      </rPr>
      <t>卖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</si>
  <si>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白酒; 米酒; 白干酒（中国白酒）; 黄酒; 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</t>
    </r>
  </si>
  <si>
    <r>
      <t>谷香</t>
    </r>
    <r>
      <rPr>
        <sz val="11"/>
        <color theme="1"/>
        <rFont val="ＭＳ Ｐゴシック"/>
        <family val="3"/>
        <charset val="134"/>
        <scheme val="minor"/>
      </rPr>
      <t>涧</t>
    </r>
  </si>
  <si>
    <r>
      <t xml:space="preserve">高粱酒; 清酒;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果酒; 白酒</t>
    </r>
  </si>
  <si>
    <t>滇小里</t>
  </si>
  <si>
    <r>
      <t>保山新冉商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</si>
  <si>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杜松子酒; 利口酒;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</si>
  <si>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悦翁</t>
  </si>
  <si>
    <t>吴文雄</t>
  </si>
  <si>
    <r>
      <t>黄酒; 利口酒;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白干酒（中国白酒）; 白酒; 清酒;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</si>
  <si>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延关</t>
  </si>
  <si>
    <r>
      <t>黄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太</t>
    </r>
  </si>
  <si>
    <r>
      <t xml:space="preserve">烈酒;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</si>
  <si>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藤中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</si>
  <si>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 xml:space="preserve">开胃酒;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清酒; 白干酒（中国白酒）; 葡萄酒;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</si>
  <si>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池九川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</si>
  <si>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烈酒;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青稞酒;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</si>
  <si>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BEHE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</si>
  <si>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澳劦商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</si>
  <si>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白葡萄酒;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</si>
  <si>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鲲</t>
    </r>
    <r>
      <rPr>
        <sz val="11"/>
        <color theme="1"/>
        <rFont val="ＭＳ Ｐゴシック"/>
        <family val="3"/>
        <charset val="128"/>
        <scheme val="minor"/>
      </rPr>
      <t>昊</t>
    </r>
  </si>
  <si>
    <r>
      <t>杨亚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</si>
  <si>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黄酒; 白酒; 清酒; 果酒（含酒精）;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</si>
  <si>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中云关</t>
  </si>
  <si>
    <r>
      <t>烈酒;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白酒;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</si>
  <si>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浔</t>
    </r>
    <r>
      <rPr>
        <sz val="11"/>
        <color theme="1"/>
        <rFont val="ＭＳ Ｐゴシック"/>
        <family val="3"/>
        <charset val="128"/>
        <scheme val="minor"/>
      </rPr>
      <t>十三弄</t>
    </r>
  </si>
  <si>
    <r>
      <t>浙江江</t>
    </r>
    <r>
      <rPr>
        <sz val="11"/>
        <color theme="1"/>
        <rFont val="ＭＳ Ｐゴシック"/>
        <family val="3"/>
        <charset val="134"/>
        <scheme val="minor"/>
      </rPr>
      <t>浔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</si>
  <si>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米酒; 含酒精的气泡水;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</si>
  <si>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t>云桂芳</t>
  </si>
  <si>
    <r>
      <t xml:space="preserve">白酒; 利口酒;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开胃酒; 白干酒（中国白酒）;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</si>
  <si>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壮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元方</t>
    </r>
  </si>
  <si>
    <r>
      <t>广西</t>
    </r>
    <r>
      <rPr>
        <sz val="11"/>
        <color theme="1"/>
        <rFont val="ＭＳ Ｐゴシック"/>
        <family val="3"/>
        <charset val="134"/>
        <scheme val="minor"/>
      </rPr>
      <t>兴凯农</t>
    </r>
    <r>
      <rPr>
        <sz val="11"/>
        <color theme="1"/>
        <rFont val="ＭＳ Ｐゴシック"/>
        <family val="3"/>
        <charset val="128"/>
        <scheme val="minor"/>
      </rPr>
      <t>林有限公司</t>
    </r>
  </si>
  <si>
    <r>
      <t>梅酒;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食用酒精; 蜂蜜酒; 果酒（含酒精）;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葡萄酒; 苹果酒; 米酒</t>
    </r>
  </si>
  <si>
    <t>著者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</si>
  <si>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果酒; 黄酒; 威士忌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</si>
  <si>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</si>
  <si>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本色演</t>
    </r>
    <r>
      <rPr>
        <sz val="11"/>
        <color theme="1"/>
        <rFont val="ＭＳ Ｐゴシック"/>
        <family val="3"/>
        <charset val="134"/>
        <scheme val="minor"/>
      </rPr>
      <t>义</t>
    </r>
  </si>
  <si>
    <r>
      <t xml:space="preserve">利口酒; 开胃酒; 黄酒; 果酒（含酒精）; 白干酒（中国白酒）; 清酒;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</si>
  <si>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鼎沸笙歌</t>
  </si>
  <si>
    <r>
      <t xml:space="preserve">开胃酒;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白干酒（中国白酒）; 葡萄酒; 果酒（含酒精）; 白酒</t>
    </r>
  </si>
  <si>
    <r>
      <t>汇</t>
    </r>
    <r>
      <rPr>
        <sz val="11"/>
        <color theme="1"/>
        <rFont val="ＭＳ Ｐゴシック"/>
        <family val="3"/>
        <charset val="128"/>
        <scheme val="minor"/>
      </rPr>
      <t>所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</si>
  <si>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利口酒; 白干酒（中国白酒）;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黄酒; 果酒（含酒精）; 白酒; 葡萄酒</t>
    </r>
  </si>
  <si>
    <t>英雄悦</t>
  </si>
  <si>
    <r>
      <t xml:space="preserve">黄酒; 利口酒; 葡萄酒; 果酒（含酒精）;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白干酒（中国白酒）; 开胃酒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</si>
  <si>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明霸</t>
    </r>
  </si>
  <si>
    <t>李幸燃</t>
  </si>
  <si>
    <r>
      <t>果酒（含酒精）; 杜松子酒;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利口酒; 米酒; 白酒</t>
    </r>
  </si>
  <si>
    <t>LOUIS DISK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</si>
  <si>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</t>
    </r>
  </si>
  <si>
    <t>三色堂</t>
  </si>
  <si>
    <r>
      <t xml:space="preserve">果酒（含酒精）; 开胃酒; 白酒; 黄酒; 清酒; 白干酒（中国白酒）;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</si>
  <si>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遇</t>
    </r>
    <r>
      <rPr>
        <sz val="11"/>
        <color theme="1"/>
        <rFont val="ＭＳ Ｐゴシック"/>
        <family val="3"/>
        <charset val="129"/>
        <scheme val="minor"/>
      </rPr>
      <t>毽</t>
    </r>
    <r>
      <rPr>
        <sz val="11"/>
        <color theme="1"/>
        <rFont val="ＭＳ Ｐゴシック"/>
        <family val="3"/>
        <charset val="128"/>
        <scheme val="minor"/>
      </rPr>
      <t>奇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</si>
  <si>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沈阳市中</t>
    </r>
    <r>
      <rPr>
        <sz val="11"/>
        <color theme="1"/>
        <rFont val="ＭＳ Ｐゴシック"/>
        <family val="3"/>
        <charset val="134"/>
        <scheme val="minor"/>
      </rPr>
      <t>兴红</t>
    </r>
    <r>
      <rPr>
        <sz val="11"/>
        <color theme="1"/>
        <rFont val="ＭＳ Ｐゴシック"/>
        <family val="3"/>
        <charset val="128"/>
        <scheme val="minor"/>
      </rPr>
      <t>高梁酒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</si>
  <si>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食用酒精; 果酒（含酒精）</t>
    </r>
  </si>
  <si>
    <t>天下潮人壹㙱</t>
  </si>
  <si>
    <r>
      <t>天下潮人(广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)酒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</si>
  <si>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米酒;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</si>
  <si>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川棠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</si>
  <si>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米酒;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</si>
  <si>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r>
      <t>览</t>
    </r>
    <r>
      <rPr>
        <sz val="11"/>
        <color theme="1"/>
        <rFont val="ＭＳ Ｐゴシック"/>
        <family val="3"/>
        <charset val="128"/>
        <scheme val="minor"/>
      </rPr>
      <t>英雄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</si>
  <si>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开胃酒; 黄酒; 白酒; 葡萄酒</t>
    </r>
  </si>
  <si>
    <r>
      <t>晓</t>
    </r>
    <r>
      <rPr>
        <sz val="11"/>
        <color theme="1"/>
        <rFont val="ＭＳ Ｐゴシック"/>
        <family val="3"/>
        <charset val="128"/>
        <scheme val="minor"/>
      </rPr>
      <t>英雄</t>
    </r>
  </si>
  <si>
    <r>
      <t xml:space="preserve">果酒（含酒精）; 白干酒（中国白酒）; 开胃酒; 利口酒;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</t>
    </r>
  </si>
  <si>
    <t>武棠</t>
  </si>
  <si>
    <r>
      <t>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青稞酒;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</si>
  <si>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御医</t>
    </r>
    <r>
      <rPr>
        <sz val="11"/>
        <color theme="1"/>
        <rFont val="ＭＳ Ｐゴシック"/>
        <family val="3"/>
        <charset val="129"/>
        <scheme val="minor"/>
      </rPr>
      <t>喵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</si>
  <si>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衡</t>
    </r>
  </si>
  <si>
    <r>
      <t>白酒; 葡萄酒; 黄酒; 米酒;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</si>
  <si>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t>巨非凡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</si>
  <si>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葡萄酒; 开胃酒; 黄酒; 利口酒</t>
    </r>
  </si>
  <si>
    <t>刻拉</t>
  </si>
  <si>
    <r>
      <t>广西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9"/>
        <scheme val="minor"/>
      </rPr>
      <t>嘟嘟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</si>
  <si>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青稞酒;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</si>
  <si>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雷庄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</si>
  <si>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俊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</si>
  <si>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果酒; 餐后酒（利口酒和烈酒）;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米酒; 露酒</t>
    </r>
  </si>
  <si>
    <r>
      <t>延吉市跨境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务协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</si>
  <si>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梨酒;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餐后酒（利口酒和烈酒）;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</si>
  <si>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徽毛</t>
  </si>
  <si>
    <t>陈长发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</si>
  <si>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清酒（日本米酒）;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</si>
  <si>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苗億健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</si>
  <si>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黔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医健康管理有限公司</t>
    </r>
  </si>
  <si>
    <r>
      <t xml:space="preserve">烈酒; 白酒; 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葡萄酒; 开胃酒</t>
    </r>
  </si>
  <si>
    <t>魏少侠</t>
  </si>
  <si>
    <r>
      <t>钱</t>
    </r>
    <r>
      <rPr>
        <sz val="11"/>
        <color theme="1"/>
        <rFont val="ＭＳ Ｐゴシック"/>
        <family val="3"/>
        <charset val="128"/>
        <scheme val="minor"/>
      </rPr>
      <t>如意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</si>
  <si>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白酒; 米酒;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</si>
  <si>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夏禾立方</t>
    </r>
  </si>
  <si>
    <r>
      <t>河南省鑫惠民生</t>
    </r>
    <r>
      <rPr>
        <sz val="11"/>
        <color theme="1"/>
        <rFont val="ＭＳ Ｐゴシック"/>
        <family val="3"/>
        <charset val="134"/>
        <scheme val="minor"/>
      </rPr>
      <t>态农业发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</si>
  <si>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青稞酒; 黄酒; 薄荷酒; 食用酒精; 果酒（含酒精）</t>
    </r>
  </si>
  <si>
    <r>
      <t>故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密</t>
    </r>
    <r>
      <rPr>
        <sz val="11"/>
        <color theme="1"/>
        <rFont val="ＭＳ Ｐゴシック"/>
        <family val="3"/>
        <charset val="134"/>
        <scheme val="minor"/>
      </rPr>
      <t>码</t>
    </r>
  </si>
  <si>
    <t>彭文立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</si>
  <si>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含酒精的气泡水</t>
    </r>
  </si>
  <si>
    <t>CCPEF</t>
  </si>
  <si>
    <r>
      <t>中国林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与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境促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</si>
  <si>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>茴芹酒（利口酒）; 茴香酒（利口酒）;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薄荷酒; 苦味酒; 苹果酒; 果酒（含酒精）</t>
    </r>
  </si>
  <si>
    <r>
      <t>高大思享</t>
    </r>
    <r>
      <rPr>
        <sz val="11"/>
        <color theme="1"/>
        <rFont val="ＭＳ Ｐゴシック"/>
        <family val="3"/>
        <charset val="134"/>
        <scheme val="minor"/>
      </rPr>
      <t>汇</t>
    </r>
  </si>
  <si>
    <r>
      <t>沧</t>
    </r>
    <r>
      <rPr>
        <sz val="11"/>
        <color theme="1"/>
        <rFont val="ＭＳ Ｐゴシック"/>
        <family val="3"/>
        <charset val="128"/>
        <scheme val="minor"/>
      </rPr>
      <t>州高大宏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塑料制品有限公司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</si>
  <si>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果酒; 葡萄酒; 苹果酒;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米酒; 白酒</t>
    </r>
  </si>
  <si>
    <r>
      <t>衡昌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坊太平</t>
    </r>
  </si>
  <si>
    <r>
      <t>清酒; 白酒; 开胃酒; 白干酒（中国白酒）;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五加皮酒（中国混合烈酒）; 黄酒</t>
    </r>
  </si>
  <si>
    <r>
      <t>御壹</t>
    </r>
    <r>
      <rPr>
        <sz val="11"/>
        <color theme="1"/>
        <rFont val="ＭＳ Ｐゴシック"/>
        <family val="3"/>
        <charset val="134"/>
        <scheme val="minor"/>
      </rPr>
      <t>坛</t>
    </r>
  </si>
  <si>
    <r>
      <t>北京中海万悦酒文化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</si>
  <si>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清酒（日本米酒）; 果酒（含酒精）; 黄酒; 烈酒; 米酒</t>
    </r>
  </si>
  <si>
    <t>匠古今蓉樽</t>
  </si>
  <si>
    <r>
      <t>开胃酒; 餐后酒(利口酒和烈酒); 葡萄酒; 威士忌; 黄酒; 烈酒(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料);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果酒(含酒精)</t>
    </r>
  </si>
  <si>
    <r>
      <t>泓奕</t>
    </r>
    <r>
      <rPr>
        <sz val="11"/>
        <color theme="1"/>
        <rFont val="ＭＳ Ｐゴシック"/>
        <family val="3"/>
        <charset val="134"/>
        <scheme val="minor"/>
      </rPr>
      <t>轻创</t>
    </r>
    <r>
      <rPr>
        <sz val="11"/>
        <color theme="1"/>
        <rFont val="ＭＳ Ｐゴシック"/>
        <family val="3"/>
        <charset val="128"/>
        <scheme val="minor"/>
      </rPr>
      <t>(石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)商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</si>
  <si>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白酒; 果酒（含酒精）; 葡萄酒;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</si>
  <si>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良医生</t>
  </si>
  <si>
    <t>王雨超</t>
  </si>
  <si>
    <t>汽酒; 葡萄酒; 食用酒精; 黄酒; 果酒; 甜酒; 白酒; 开胃酒; 米酒; 清酒</t>
  </si>
  <si>
    <r>
      <t>宽</t>
    </r>
    <r>
      <rPr>
        <sz val="11"/>
        <color theme="1"/>
        <rFont val="ＭＳ Ｐゴシック"/>
        <family val="3"/>
        <charset val="128"/>
        <scheme val="minor"/>
      </rPr>
      <t>域</t>
    </r>
  </si>
  <si>
    <t>王小勇</t>
  </si>
  <si>
    <t>果酒; 甜酒; 汽酒; 清酒; 食用酒精; 黄酒; 米酒; 开胃酒; 葡萄酒; 白酒</t>
  </si>
  <si>
    <t>寄春君</t>
  </si>
  <si>
    <r>
      <t>嫩江市名</t>
    </r>
    <r>
      <rPr>
        <sz val="11"/>
        <color theme="1"/>
        <rFont val="ＭＳ Ｐゴシック"/>
        <family val="3"/>
        <charset val="134"/>
        <scheme val="minor"/>
      </rPr>
      <t>扬</t>
    </r>
    <r>
      <rPr>
        <sz val="11"/>
        <color theme="1"/>
        <rFont val="ＭＳ Ｐゴシック"/>
        <family val="3"/>
        <charset val="128"/>
        <scheme val="minor"/>
      </rPr>
      <t>养殖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</si>
  <si>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果酒（含酒精）;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</si>
  <si>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越盛</t>
  </si>
  <si>
    <r>
      <t>绍兴</t>
    </r>
    <r>
      <rPr>
        <sz val="11"/>
        <color theme="1"/>
        <rFont val="ＭＳ Ｐゴシック"/>
        <family val="3"/>
        <charset val="128"/>
        <scheme val="minor"/>
      </rPr>
      <t>越盛酒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</si>
  <si>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</si>
  <si>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文山三七投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</si>
  <si>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开胃酒; 米酒; 果酒（含酒精）; 苦味酒; 食用酒精; 威士忌;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</si>
  <si>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宣杰上</t>
    </r>
    <r>
      <rPr>
        <sz val="11"/>
        <color theme="1"/>
        <rFont val="ＭＳ Ｐゴシック"/>
        <family val="3"/>
        <charset val="134"/>
        <scheme val="minor"/>
      </rPr>
      <t>进</t>
    </r>
  </si>
  <si>
    <r>
      <t>山西黔</t>
    </r>
    <r>
      <rPr>
        <sz val="11"/>
        <color theme="1"/>
        <rFont val="ＭＳ Ｐゴシック"/>
        <family val="3"/>
        <charset val="134"/>
        <scheme val="minor"/>
      </rPr>
      <t>鹏贵轩贸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</si>
  <si>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开胃酒;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</si>
  <si>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千酒万</t>
    </r>
    <r>
      <rPr>
        <sz val="11"/>
        <color theme="1"/>
        <rFont val="ＭＳ Ｐゴシック"/>
        <family val="3"/>
        <charset val="134"/>
        <scheme val="minor"/>
      </rPr>
      <t>馆</t>
    </r>
  </si>
  <si>
    <r>
      <t>河南豫酒振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</si>
  <si>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清酒; 高粱酒; 果酒; 米酒; 朗姆酒; 薄荷酒; 葡萄酒;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</si>
  <si>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头</t>
    </r>
    <r>
      <rPr>
        <sz val="11"/>
        <color theme="1"/>
        <rFont val="ＭＳ Ｐゴシック"/>
        <family val="3"/>
        <charset val="128"/>
        <scheme val="minor"/>
      </rPr>
      <t>站</t>
    </r>
  </si>
  <si>
    <t>高海涛******************</t>
  </si>
  <si>
    <r>
      <t xml:space="preserve">米酒; 葡萄酒;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高粱酒; 利口酒</t>
    </r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</si>
  <si>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浦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</si>
  <si>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威士忌; 蜂蜜酒; 白酒; 开胃酒;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清酒（日本米酒）;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</si>
  <si>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港湾九号</t>
  </si>
  <si>
    <t>李明亮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</si>
  <si>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高粱酒;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</si>
  <si>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岜凤</t>
  </si>
  <si>
    <r>
      <t>来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兴宾</t>
    </r>
    <r>
      <rPr>
        <sz val="11"/>
        <color theme="1"/>
        <rFont val="ＭＳ Ｐゴシック"/>
        <family val="3"/>
        <charset val="128"/>
        <scheme val="minor"/>
      </rPr>
      <t>区彩之益</t>
    </r>
    <r>
      <rPr>
        <sz val="11"/>
        <color theme="1"/>
        <rFont val="ＭＳ Ｐゴシック"/>
        <family val="3"/>
        <charset val="134"/>
        <scheme val="minor"/>
      </rPr>
      <t>综</t>
    </r>
    <r>
      <rPr>
        <sz val="11"/>
        <color theme="1"/>
        <rFont val="ＭＳ Ｐゴシック"/>
        <family val="3"/>
        <charset val="128"/>
        <scheme val="minor"/>
      </rPr>
      <t>合</t>
    </r>
    <r>
      <rPr>
        <sz val="11"/>
        <color theme="1"/>
        <rFont val="ＭＳ Ｐゴシック"/>
        <family val="3"/>
        <charset val="134"/>
        <scheme val="minor"/>
      </rPr>
      <t>经营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</si>
  <si>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酸酒（低等葡萄酒）; 果酒;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</si>
  <si>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印象</t>
    </r>
  </si>
  <si>
    <r>
      <t>云南</t>
    </r>
    <r>
      <rPr>
        <sz val="11"/>
        <color theme="1"/>
        <rFont val="ＭＳ Ｐゴシック"/>
        <family val="3"/>
        <charset val="134"/>
        <scheme val="minor"/>
      </rPr>
      <t>汉腾</t>
    </r>
    <r>
      <rPr>
        <sz val="11"/>
        <color theme="1"/>
        <rFont val="ＭＳ Ｐゴシック"/>
        <family val="3"/>
        <charset val="128"/>
        <scheme val="minor"/>
      </rPr>
      <t>生物科技集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</si>
  <si>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</si>
  <si>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诵华</t>
    </r>
    <r>
      <rPr>
        <sz val="11"/>
        <color theme="1"/>
        <rFont val="ＭＳ Ｐゴシック"/>
        <family val="3"/>
        <charset val="128"/>
        <scheme val="minor"/>
      </rPr>
      <t>年</t>
    </r>
  </si>
  <si>
    <r>
      <t>河北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正商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</si>
  <si>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开胃酒; 黄酒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</si>
  <si>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三缸</t>
    </r>
  </si>
  <si>
    <r>
      <t>绍兴</t>
    </r>
    <r>
      <rPr>
        <sz val="11"/>
        <color theme="1"/>
        <rFont val="ＭＳ Ｐゴシック"/>
        <family val="3"/>
        <charset val="128"/>
        <scheme val="minor"/>
      </rPr>
      <t>不土土特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</si>
  <si>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甘蔗制烈酒;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米酒; 白酒</t>
    </r>
  </si>
  <si>
    <t>明艾医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</si>
  <si>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州品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尚美企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</si>
  <si>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黄酒;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威士忌; 果酒（含酒精）</t>
    </r>
  </si>
  <si>
    <r>
      <t>卒</t>
    </r>
    <r>
      <rPr>
        <sz val="11"/>
        <color theme="1"/>
        <rFont val="ＭＳ Ｐゴシック"/>
        <family val="3"/>
        <charset val="134"/>
        <scheme val="minor"/>
      </rPr>
      <t>获</t>
    </r>
  </si>
  <si>
    <r>
      <t>宁夏</t>
    </r>
    <r>
      <rPr>
        <sz val="11"/>
        <color theme="1"/>
        <rFont val="ＭＳ Ｐゴシック"/>
        <family val="3"/>
        <charset val="134"/>
        <scheme val="minor"/>
      </rPr>
      <t>鸣龙</t>
    </r>
    <r>
      <rPr>
        <sz val="11"/>
        <color theme="1"/>
        <rFont val="ＭＳ Ｐゴシック"/>
        <family val="3"/>
        <charset val="128"/>
        <scheme val="minor"/>
      </rPr>
      <t>健康科技有限公司</t>
    </r>
  </si>
  <si>
    <r>
      <t xml:space="preserve">甜酒; 黄酒; 梅酒; 葡萄酒; 白干酒（中国白酒）;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米酒; 蜂蜜酒;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</si>
  <si>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初雪湖亭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</si>
  <si>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情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天下商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</si>
  <si>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</si>
  <si>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别</t>
    </r>
    <r>
      <rPr>
        <sz val="11"/>
        <color theme="1"/>
        <rFont val="ＭＳ Ｐゴシック"/>
        <family val="3"/>
        <charset val="128"/>
        <scheme val="minor"/>
      </rPr>
      <t>京</t>
    </r>
  </si>
  <si>
    <r>
      <t>徐可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</si>
  <si>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白酒;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</t>
    </r>
  </si>
  <si>
    <r>
      <t>承花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</si>
  <si>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丁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朋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</si>
  <si>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</si>
  <si>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橘帛</t>
  </si>
  <si>
    <t>姜圣先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</si>
  <si>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食用酒精;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</si>
  <si>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季富春</t>
  </si>
  <si>
    <r>
      <t>河北信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</si>
  <si>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朗姆酒;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果酒（含酒精）</t>
    </r>
  </si>
  <si>
    <r>
      <t>矅</t>
    </r>
    <r>
      <rPr>
        <sz val="11"/>
        <color theme="1"/>
        <rFont val="ＭＳ Ｐゴシック"/>
        <family val="3"/>
        <charset val="128"/>
        <scheme val="minor"/>
      </rPr>
      <t>池</t>
    </r>
  </si>
  <si>
    <r>
      <t>徐州尊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</si>
  <si>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米酒; 果酒（含酒精）; 葡萄酒; 黄酒; 食用酒精</t>
    </r>
  </si>
  <si>
    <t>孟嘉私藏</t>
  </si>
  <si>
    <r>
      <t>张</t>
    </r>
    <r>
      <rPr>
        <sz val="11"/>
        <color theme="1"/>
        <rFont val="ＭＳ Ｐゴシック"/>
        <family val="3"/>
        <charset val="128"/>
        <scheme val="minor"/>
      </rPr>
      <t>渝沅</t>
    </r>
  </si>
  <si>
    <r>
      <t>葡萄酒; 蜂蜜酒;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果酒（含酒精）; 食用酒精; 烈酒;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</t>
    </r>
  </si>
  <si>
    <r>
      <t>富</t>
    </r>
    <r>
      <rPr>
        <sz val="11"/>
        <color theme="1"/>
        <rFont val="ＭＳ Ｐゴシック"/>
        <family val="3"/>
        <charset val="134"/>
        <scheme val="minor"/>
      </rPr>
      <t>辂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</si>
  <si>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绍兴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多收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</si>
  <si>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食用酒精; 白酒; 苹果酒;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</si>
  <si>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舵主春秋</t>
  </si>
  <si>
    <t>深圳市南山区玖拾商行</t>
  </si>
  <si>
    <r>
      <t>米酒; 食用酒精; 清酒（日本米酒）;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</si>
  <si>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天惠卉天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</si>
  <si>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西天惠科技（集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</si>
  <si>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</t>
    </r>
  </si>
  <si>
    <r>
      <t>豫遵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</si>
  <si>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州手性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物研究院有限公司</t>
    </r>
  </si>
  <si>
    <r>
      <t>白酒;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威士忌;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</si>
  <si>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ICLUB</t>
  </si>
  <si>
    <r>
      <t>北京英集国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28"/>
        <scheme val="minor"/>
      </rPr>
      <t>影</t>
    </r>
    <r>
      <rPr>
        <sz val="11"/>
        <color theme="1"/>
        <rFont val="ＭＳ Ｐゴシック"/>
        <family val="3"/>
        <charset val="134"/>
        <scheme val="minor"/>
      </rPr>
      <t>视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</si>
  <si>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梨酒; 伏特加酒; 蜂蜜酒; 汽酒; 黄酒; 白酒</t>
    </r>
  </si>
  <si>
    <r>
      <t>博</t>
    </r>
    <r>
      <rPr>
        <sz val="11"/>
        <color theme="1"/>
        <rFont val="ＭＳ Ｐゴシック"/>
        <family val="3"/>
        <charset val="134"/>
        <scheme val="minor"/>
      </rPr>
      <t>诺</t>
    </r>
    <r>
      <rPr>
        <sz val="11"/>
        <color theme="1"/>
        <rFont val="ＭＳ Ｐゴシック"/>
        <family val="3"/>
        <charset val="128"/>
        <scheme val="minor"/>
      </rPr>
      <t>九</t>
    </r>
  </si>
  <si>
    <r>
      <t>象山博</t>
    </r>
    <r>
      <rPr>
        <sz val="11"/>
        <color theme="1"/>
        <rFont val="ＭＳ Ｐゴシック"/>
        <family val="3"/>
        <charset val="134"/>
        <scheme val="minor"/>
      </rPr>
      <t>诺</t>
    </r>
    <r>
      <rPr>
        <sz val="11"/>
        <color theme="1"/>
        <rFont val="ＭＳ Ｐゴシック"/>
        <family val="3"/>
        <charset val="128"/>
        <scheme val="minor"/>
      </rPr>
      <t>白酒小作坊（个体工商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</si>
  <si>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</si>
  <si>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故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榜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</si>
  <si>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含酒精的气泡水; 果酒（含酒精）;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</t>
    </r>
  </si>
  <si>
    <t>玖圈</t>
  </si>
  <si>
    <t>陈畅</t>
  </si>
  <si>
    <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果酒; 白酒; 果酒（含酒精）</t>
    </r>
  </si>
  <si>
    <r>
      <t>壁</t>
    </r>
    <r>
      <rPr>
        <sz val="11"/>
        <color theme="1"/>
        <rFont val="ＭＳ Ｐゴシック"/>
        <family val="3"/>
        <charset val="134"/>
        <scheme val="minor"/>
      </rPr>
      <t>须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</si>
  <si>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丹城老酒有限公司</t>
    </r>
  </si>
  <si>
    <r>
      <t>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白酒; 露酒; 伏特加酒;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</si>
  <si>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t>集福康</t>
  </si>
  <si>
    <t>湖北余伯年科技有限公司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</si>
  <si>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</si>
  <si>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山千益</t>
  </si>
  <si>
    <r>
      <t>闽</t>
    </r>
    <r>
      <rPr>
        <sz val="11"/>
        <color theme="1"/>
        <rFont val="ＭＳ Ｐゴシック"/>
        <family val="3"/>
        <charset val="128"/>
        <scheme val="minor"/>
      </rPr>
      <t>王（厦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</si>
  <si>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</si>
  <si>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康美元气五福</t>
  </si>
  <si>
    <t>杜邦乾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</si>
  <si>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白干酒（中国白酒）;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米酒;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高粱酒</t>
    </r>
  </si>
  <si>
    <t>PIAK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</si>
  <si>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清酒（日本米酒）; 米酒; 果酒（含酒精）;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汽酒</t>
    </r>
  </si>
  <si>
    <t>GOODYOU</t>
  </si>
  <si>
    <t>广西周小袋科技有限公司</t>
  </si>
  <si>
    <r>
      <t xml:space="preserve">米酒;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甜酒; 白酒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</si>
  <si>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献</t>
    </r>
  </si>
  <si>
    <r>
      <t xml:space="preserve">烈酒; 汽酒; 甜酒; 果酒; 梅酒;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白酒; 米酒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</si>
  <si>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耕酒</t>
    </r>
  </si>
  <si>
    <t>潮州市青草仙茗健康管理有限公司</t>
  </si>
  <si>
    <r>
      <t>果酒;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开胃酒; 露酒; 含酒精的潘趣酒;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黄酒</t>
    </r>
  </si>
  <si>
    <r>
      <t>赞</t>
    </r>
    <r>
      <rPr>
        <sz val="11"/>
        <color theme="1"/>
        <rFont val="ＭＳ Ｐゴシック"/>
        <family val="3"/>
        <charset val="128"/>
        <scheme val="minor"/>
      </rPr>
      <t>医哥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</si>
  <si>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春市延寿堂医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</si>
  <si>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开胃酒; 葡萄酒;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露酒; 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</si>
  <si>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XIAN HAI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</si>
  <si>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州老灶酒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</si>
  <si>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白酒; 露酒; 汽酒; 米酒; 清酒; 烈酒; 果酒; 甜酒</t>
    </r>
  </si>
  <si>
    <r>
      <t>雄</t>
    </r>
    <r>
      <rPr>
        <sz val="11"/>
        <color theme="1"/>
        <rFont val="ＭＳ Ｐゴシック"/>
        <family val="3"/>
        <charset val="134"/>
        <scheme val="minor"/>
      </rPr>
      <t>鹰</t>
    </r>
    <r>
      <rPr>
        <sz val="11"/>
        <color theme="1"/>
        <rFont val="ＭＳ Ｐゴシック"/>
        <family val="3"/>
        <charset val="128"/>
        <scheme val="minor"/>
      </rPr>
      <t>庄皇家之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</si>
  <si>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南法食品供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（广州）有限公司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</si>
  <si>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</t>
    </r>
  </si>
  <si>
    <r>
      <t>食美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</si>
  <si>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>绍兴铭</t>
    </r>
    <r>
      <rPr>
        <sz val="11"/>
        <color theme="1"/>
        <rFont val="ＭＳ Ｐゴシック"/>
        <family val="3"/>
        <charset val="128"/>
        <scheme val="minor"/>
      </rPr>
      <t>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</si>
  <si>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梨酒;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开胃酒; 黄酒</t>
    </r>
  </si>
  <si>
    <t>莂各木</t>
  </si>
  <si>
    <r>
      <t>阿卜来提·如</t>
    </r>
    <r>
      <rPr>
        <sz val="11"/>
        <color theme="1"/>
        <rFont val="ＭＳ Ｐゴシック"/>
        <family val="3"/>
        <charset val="134"/>
        <scheme val="minor"/>
      </rPr>
      <t>则</t>
    </r>
  </si>
  <si>
    <r>
      <t>苦味酒;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餐后酒（利口酒和烈酒）; 柑香酒; 薄荷酒; 果酒; 白酒; 苹果酒; 葡萄酒</t>
    </r>
  </si>
  <si>
    <t>梵玖尊</t>
  </si>
  <si>
    <r>
      <t>王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民</t>
    </r>
  </si>
  <si>
    <r>
      <t>白酒; 甜酒;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清酒; 青梅酒; 水果汽酒;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</si>
  <si>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河理</t>
  </si>
  <si>
    <t>郭玉喜</t>
  </si>
  <si>
    <r>
      <t>白酒;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清酒; 威士忌;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</si>
  <si>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弘鼎尚</t>
    </r>
  </si>
  <si>
    <r>
      <t>许</t>
    </r>
    <r>
      <rPr>
        <sz val="11"/>
        <color theme="1"/>
        <rFont val="ＭＳ Ｐゴシック"/>
        <family val="3"/>
        <charset val="128"/>
        <scheme val="minor"/>
      </rPr>
      <t>志敏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</si>
  <si>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开胃酒;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烈酒; 黄酒</t>
    </r>
  </si>
  <si>
    <t>旭少侠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</si>
  <si>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餐后酒（利口酒和烈酒）;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</si>
  <si>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疆渝友</t>
  </si>
  <si>
    <r>
      <t>郑</t>
    </r>
    <r>
      <rPr>
        <sz val="11"/>
        <color theme="1"/>
        <rFont val="ＭＳ Ｐゴシック"/>
        <family val="3"/>
        <charset val="128"/>
        <scheme val="minor"/>
      </rPr>
      <t>文兵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</si>
  <si>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</si>
  <si>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AKIMBO</t>
  </si>
  <si>
    <r>
      <t>上海吃好喝好餐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</si>
  <si>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黄酒; 米酒; 甜酒; 威士忌; 果酒;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</t>
    </r>
  </si>
  <si>
    <r>
      <t>宝石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</si>
  <si>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小玲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</si>
  <si>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白干酒（中国白酒）; 果酒（含酒精）;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</t>
    </r>
  </si>
  <si>
    <r>
      <t>玺囩</t>
    </r>
    <r>
      <rPr>
        <sz val="11"/>
        <color theme="1"/>
        <rFont val="ＭＳ Ｐゴシック"/>
        <family val="3"/>
        <charset val="128"/>
        <scheme val="minor"/>
      </rPr>
      <t>古坊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</si>
  <si>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大寨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</si>
  <si>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清酒（日本米酒）;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威士忌; 烈酒;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</si>
  <si>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芷鹿</t>
  </si>
  <si>
    <r>
      <t>北京歪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</si>
  <si>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</t>
    </r>
  </si>
  <si>
    <t>斟宋</t>
  </si>
  <si>
    <r>
      <t>长</t>
    </r>
    <r>
      <rPr>
        <sz val="11"/>
        <color theme="1"/>
        <rFont val="ＭＳ Ｐゴシック"/>
        <family val="3"/>
        <charset val="128"/>
        <scheme val="minor"/>
      </rPr>
      <t>沙英工智能科技有限公司</t>
    </r>
  </si>
  <si>
    <r>
      <t xml:space="preserve">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露酒; 葡萄酒; 利口酒; 米酒; 食用酒精</t>
    </r>
  </si>
  <si>
    <r>
      <t>晋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竹</t>
    </r>
  </si>
  <si>
    <r>
      <t>山西醇柔酒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</si>
  <si>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白酒; 黄酒;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</si>
  <si>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橖</t>
    </r>
  </si>
  <si>
    <r>
      <t>海南瀚霖投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</si>
  <si>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</si>
  <si>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喽</t>
    </r>
    <r>
      <rPr>
        <sz val="11"/>
        <color theme="1"/>
        <rFont val="ＭＳ Ｐゴシック"/>
        <family val="3"/>
        <charset val="128"/>
        <scheme val="minor"/>
      </rPr>
      <t>笑</t>
    </r>
  </si>
  <si>
    <r>
      <t>米酒;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蜂蜜酒;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苹果酒;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果酒</t>
    </r>
  </si>
  <si>
    <t>浓赋</t>
  </si>
  <si>
    <t>蒋柱青</t>
  </si>
  <si>
    <r>
      <t xml:space="preserve">米酒; 白酒; 食用酒精; 高粱酒;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</si>
  <si>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老花</t>
    </r>
    <r>
      <rPr>
        <sz val="11"/>
        <color theme="1"/>
        <rFont val="ＭＳ Ｐゴシック"/>
        <family val="3"/>
        <charset val="134"/>
        <scheme val="minor"/>
      </rPr>
      <t>头</t>
    </r>
  </si>
  <si>
    <t>上海醒喜食品有限公司</t>
  </si>
  <si>
    <r>
      <t xml:space="preserve">白酒;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</si>
  <si>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骏</t>
    </r>
    <r>
      <rPr>
        <sz val="11"/>
        <color theme="1"/>
        <rFont val="ＭＳ Ｐゴシック"/>
        <family val="3"/>
        <charset val="128"/>
        <scheme val="minor"/>
      </rPr>
      <t>酬</t>
    </r>
  </si>
  <si>
    <r>
      <t>沈</t>
    </r>
    <r>
      <rPr>
        <sz val="11"/>
        <color theme="1"/>
        <rFont val="ＭＳ Ｐゴシック"/>
        <family val="3"/>
        <charset val="134"/>
        <scheme val="minor"/>
      </rPr>
      <t>骏</t>
    </r>
  </si>
  <si>
    <r>
      <t xml:space="preserve">米酒; 黄酒; 利口酒;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</si>
  <si>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卟</t>
    </r>
    <r>
      <rPr>
        <sz val="11"/>
        <color theme="1"/>
        <rFont val="ＭＳ Ｐゴシック"/>
        <family val="3"/>
        <charset val="128"/>
        <scheme val="minor"/>
      </rPr>
      <t>禹</t>
    </r>
    <r>
      <rPr>
        <sz val="11"/>
        <color theme="1"/>
        <rFont val="ＭＳ Ｐゴシック"/>
        <family val="3"/>
        <charset val="134"/>
        <scheme val="minor"/>
      </rPr>
      <t>桡</t>
    </r>
  </si>
  <si>
    <r>
      <t>镇</t>
    </r>
    <r>
      <rPr>
        <sz val="11"/>
        <color theme="1"/>
        <rFont val="ＭＳ Ｐゴシック"/>
        <family val="3"/>
        <charset val="128"/>
        <scheme val="minor"/>
      </rPr>
      <t>宁自治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9"/>
        <scheme val="minor"/>
      </rPr>
      <t>朵</t>
    </r>
    <r>
      <rPr>
        <sz val="11"/>
        <color theme="1"/>
        <rFont val="ＭＳ Ｐゴシック"/>
        <family val="3"/>
        <charset val="128"/>
        <scheme val="minor"/>
      </rPr>
      <t>卜</t>
    </r>
    <r>
      <rPr>
        <sz val="11"/>
        <color theme="1"/>
        <rFont val="ＭＳ Ｐゴシック"/>
        <family val="3"/>
        <charset val="134"/>
        <scheme val="minor"/>
      </rPr>
      <t>陇</t>
    </r>
    <r>
      <rPr>
        <sz val="11"/>
        <color theme="1"/>
        <rFont val="ＭＳ Ｐゴシック"/>
        <family val="3"/>
        <charset val="128"/>
        <scheme val="minor"/>
      </rPr>
      <t>布依土酒坊有限公司</t>
    </r>
  </si>
  <si>
    <r>
      <t xml:space="preserve">果酒（含酒精）; 苹果酒; 青稞酒; 蜂蜜酒;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</si>
  <si>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庆</t>
    </r>
    <r>
      <rPr>
        <sz val="11"/>
        <color theme="1"/>
        <rFont val="ＭＳ Ｐゴシック"/>
        <family val="3"/>
        <charset val="128"/>
        <scheme val="minor"/>
      </rPr>
      <t>粮丰</t>
    </r>
  </si>
  <si>
    <r>
      <t>威士忌;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</si>
  <si>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萧</t>
    </r>
    <r>
      <rPr>
        <sz val="11"/>
        <color theme="1"/>
        <rFont val="ＭＳ Ｐゴシック"/>
        <family val="3"/>
        <charset val="128"/>
        <scheme val="minor"/>
      </rPr>
      <t>忠</t>
    </r>
    <r>
      <rPr>
        <sz val="11"/>
        <color theme="1"/>
        <rFont val="ＭＳ Ｐゴシック"/>
        <family val="3"/>
        <charset val="134"/>
        <scheme val="minor"/>
      </rPr>
      <t>义</t>
    </r>
  </si>
  <si>
    <r>
      <t xml:space="preserve">米酒; 甘蔗制烈酒;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</si>
  <si>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祥安玖瑞</t>
  </si>
  <si>
    <r>
      <t>东</t>
    </r>
    <r>
      <rPr>
        <sz val="11"/>
        <color theme="1"/>
        <rFont val="ＭＳ Ｐゴシック"/>
        <family val="3"/>
        <charset val="128"/>
        <scheme val="minor"/>
      </rPr>
      <t>莞</t>
    </r>
    <r>
      <rPr>
        <sz val="11"/>
        <color theme="1"/>
        <rFont val="ＭＳ Ｐゴシック"/>
        <family val="3"/>
        <charset val="134"/>
        <scheme val="minor"/>
      </rPr>
      <t>华硕</t>
    </r>
    <r>
      <rPr>
        <sz val="11"/>
        <color theme="1"/>
        <rFont val="ＭＳ Ｐゴシック"/>
        <family val="3"/>
        <charset val="128"/>
        <scheme val="minor"/>
      </rPr>
      <t>中医健康管理有限公司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</si>
  <si>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</si>
  <si>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江清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</si>
  <si>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葡萄酒;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威士忌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</si>
  <si>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少侠</t>
    </r>
  </si>
  <si>
    <r>
      <t>邓</t>
    </r>
    <r>
      <rPr>
        <sz val="11"/>
        <color theme="1"/>
        <rFont val="ＭＳ Ｐゴシック"/>
        <family val="3"/>
        <charset val="128"/>
        <scheme val="minor"/>
      </rPr>
      <t>阳</t>
    </r>
  </si>
  <si>
    <r>
      <t>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餐后酒（利口酒和烈酒）;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</si>
  <si>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沁</t>
    </r>
  </si>
  <si>
    <r>
      <t>威士忌; 葡萄酒;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黄酒; 高粱酒;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</si>
  <si>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老田艮</t>
  </si>
  <si>
    <r>
      <t>杭州宸泰酒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</si>
  <si>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清酒（日本米酒）; 白干酒（中国白酒）; 葡萄酒; 米酒; 高粱酒; 青稞酒; 黄酒;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</si>
  <si>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赏</t>
    </r>
    <r>
      <rPr>
        <sz val="11"/>
        <color theme="1"/>
        <rFont val="ＭＳ Ｐゴシック"/>
        <family val="3"/>
        <charset val="128"/>
        <scheme val="minor"/>
      </rPr>
      <t>卿</t>
    </r>
  </si>
  <si>
    <r>
      <t>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</si>
  <si>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春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春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</si>
  <si>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春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</si>
  <si>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葡萄酒; 白酒; 米酒; 清酒; 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甜酒; 果酒</t>
    </r>
  </si>
  <si>
    <r>
      <t>豫澳</t>
    </r>
    <r>
      <rPr>
        <sz val="11"/>
        <color theme="1"/>
        <rFont val="ＭＳ Ｐゴシック"/>
        <family val="3"/>
        <charset val="134"/>
        <scheme val="minor"/>
      </rPr>
      <t>荟</t>
    </r>
  </si>
  <si>
    <r>
      <t>琴澳</t>
    </r>
    <r>
      <rPr>
        <sz val="11"/>
        <color theme="1"/>
        <rFont val="ＭＳ Ｐゴシック"/>
        <family val="3"/>
        <charset val="134"/>
        <scheme val="minor"/>
      </rPr>
      <t>荟</t>
    </r>
    <r>
      <rPr>
        <sz val="11"/>
        <color theme="1"/>
        <rFont val="ＭＳ Ｐゴシック"/>
        <family val="3"/>
        <charset val="128"/>
        <scheme val="minor"/>
      </rPr>
      <t>（珠海）餐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品牌管理有限公司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</si>
  <si>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</si>
  <si>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桃惑</t>
  </si>
  <si>
    <t>徐德成</t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</si>
  <si>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酸酒（低等葡萄酒）; 伏特加酒; 威士忌; 利口酒; 葡萄酒</t>
    </r>
  </si>
  <si>
    <r>
      <t>迈</t>
    </r>
    <r>
      <rPr>
        <sz val="11"/>
        <color theme="1"/>
        <rFont val="ＭＳ Ｐゴシック"/>
        <family val="3"/>
        <charset val="128"/>
        <scheme val="minor"/>
      </rPr>
      <t>赤河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</si>
  <si>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市慧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</si>
  <si>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果酒（含酒精）; 柑香酒; 食用酒精; 餐后酒（利口酒和烈酒）;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</si>
  <si>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程素</t>
    </r>
    <r>
      <rPr>
        <sz val="11"/>
        <color theme="1"/>
        <rFont val="ＭＳ Ｐゴシック"/>
        <family val="3"/>
        <charset val="129"/>
        <scheme val="minor"/>
      </rPr>
      <t>洁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</si>
  <si>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米酒; 黄酒; 白酒; 葡萄酒;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</si>
  <si>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黄付彦******************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</si>
  <si>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朗姆酒; 黄酒; 葡萄酒;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</si>
  <si>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黔雄秦源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</si>
  <si>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市黔雄酒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</si>
  <si>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开胃酒; 威士忌;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</t>
    </r>
  </si>
  <si>
    <r>
      <t>楚云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</si>
  <si>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但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青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</si>
  <si>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食用酒精; 开胃酒; 清酒（日本米酒）;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葡萄酒</t>
    </r>
  </si>
  <si>
    <t>仁湖畔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</si>
  <si>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仁湖酒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</si>
  <si>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白酒; 葡萄酒</t>
    </r>
  </si>
  <si>
    <t>仁湖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</si>
  <si>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白酒; 葡萄酒; 果酒（含酒精）; 黄酒;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</si>
  <si>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安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普</t>
    </r>
    <r>
      <rPr>
        <sz val="11"/>
        <color theme="1"/>
        <rFont val="ＭＳ Ｐゴシック"/>
        <family val="3"/>
        <charset val="134"/>
        <scheme val="minor"/>
      </rPr>
      <t>庆</t>
    </r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</si>
  <si>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汽酒; 葡萄酒; 黄酒; 威士忌</t>
    </r>
  </si>
  <si>
    <t>修开息</t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</si>
  <si>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市金品利酒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</si>
  <si>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苹果酒; 餐后酒（利口酒和烈酒）; 白酒; 米酒</t>
    </r>
  </si>
  <si>
    <t>彩之益</t>
  </si>
  <si>
    <r>
      <t>广州步云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</si>
  <si>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烈酒; 酸酒（低等葡萄酒）;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</si>
  <si>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飘靓</t>
  </si>
  <si>
    <r>
      <t>赵</t>
    </r>
    <r>
      <rPr>
        <sz val="11"/>
        <color theme="1"/>
        <rFont val="ＭＳ Ｐゴシック"/>
        <family val="3"/>
        <charset val="128"/>
        <scheme val="minor"/>
      </rPr>
      <t>金法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</si>
  <si>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黄酒; 果酒（含酒精）</t>
    </r>
  </si>
  <si>
    <t>京香帝</t>
  </si>
  <si>
    <r>
      <t xml:space="preserve">高粱酒; 葡萄酒; 果酒;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黄酒; 烈酒</t>
    </r>
  </si>
  <si>
    <r>
      <t>云南羿熙投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</si>
  <si>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米酒; 甜酒; 果酒（含酒精）; 黄酒</t>
    </r>
  </si>
  <si>
    <r>
      <t>葡萄酒;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汽酒</t>
    </r>
  </si>
  <si>
    <t>科妍熙</t>
  </si>
  <si>
    <r>
      <t>北京丹丹姐商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</si>
  <si>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</si>
  <si>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景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甑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</si>
  <si>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樽之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</si>
  <si>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高粱酒;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</si>
  <si>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聚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名仕</t>
    </r>
  </si>
  <si>
    <r>
      <t>南京欧酩</t>
    </r>
    <r>
      <rPr>
        <sz val="11"/>
        <color theme="1"/>
        <rFont val="ＭＳ Ｐゴシック"/>
        <family val="3"/>
        <charset val="134"/>
        <scheme val="minor"/>
      </rPr>
      <t>汇贸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</si>
  <si>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白酒;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开胃酒; 葡萄酒; 米酒; 威士忌</t>
    </r>
  </si>
  <si>
    <t>醉墨邨</t>
  </si>
  <si>
    <t>广州市泰网信息科技有限公司</t>
  </si>
  <si>
    <r>
      <t>白干酒（中国白酒）;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餐后酒（利口酒和烈酒）;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利口酒; 烈酒</t>
    </r>
  </si>
  <si>
    <t>紫金潭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</si>
  <si>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州梅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酒庄有限公司</t>
    </r>
  </si>
  <si>
    <r>
      <t xml:space="preserve">青稞酒; 白酒; 黄酒; 威士忌;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</si>
  <si>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桥</t>
    </r>
    <r>
      <rPr>
        <sz val="11"/>
        <color theme="1"/>
        <rFont val="ＭＳ Ｐゴシック"/>
        <family val="3"/>
        <charset val="128"/>
        <scheme val="minor"/>
      </rPr>
      <t>靖付</t>
    </r>
  </si>
  <si>
    <r>
      <t>铜</t>
    </r>
    <r>
      <rPr>
        <sz val="11"/>
        <color theme="1"/>
        <rFont val="ＭＳ Ｐゴシック"/>
        <family val="3"/>
        <charset val="128"/>
        <scheme val="minor"/>
      </rPr>
      <t>仁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仙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</si>
  <si>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开胃酒; 柑香酒; 果酒; 青稞酒; 茴香酒; 果酒（含酒精）;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汽酒; 梅酒; 水果汽酒</t>
    </r>
  </si>
  <si>
    <t>MAEQICHEN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</si>
  <si>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镁</t>
    </r>
    <r>
      <rPr>
        <sz val="11"/>
        <color theme="1"/>
        <rFont val="ＭＳ Ｐゴシック"/>
        <family val="3"/>
        <charset val="128"/>
        <scheme val="minor"/>
      </rPr>
      <t>麒晨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</si>
  <si>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</t>
    </r>
  </si>
  <si>
    <t>XIAO JIAO TIAN</t>
  </si>
  <si>
    <r>
      <t>郭峰</t>
    </r>
    <r>
      <rPr>
        <sz val="11"/>
        <color theme="1"/>
        <rFont val="ＭＳ Ｐゴシック"/>
        <family val="3"/>
        <charset val="134"/>
        <scheme val="minor"/>
      </rPr>
      <t>栋</t>
    </r>
  </si>
  <si>
    <r>
      <t>黄酒; 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蜂蜜酒; 佐餐酒;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</si>
  <si>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霞多</t>
    </r>
    <r>
      <rPr>
        <sz val="11"/>
        <color theme="1"/>
        <rFont val="ＭＳ Ｐゴシック"/>
        <family val="3"/>
        <charset val="134"/>
        <scheme val="minor"/>
      </rPr>
      <t>洣</t>
    </r>
  </si>
  <si>
    <r>
      <t>绍兴</t>
    </r>
    <r>
      <rPr>
        <sz val="11"/>
        <color theme="1"/>
        <rFont val="ＭＳ Ｐゴシック"/>
        <family val="3"/>
        <charset val="128"/>
        <scheme val="minor"/>
      </rPr>
      <t>酒作文化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</si>
  <si>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料(啤酒除外);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果酒(含酒精); 葡萄酒; 黄酒; 烈酒(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料); 杜松子酒</t>
    </r>
  </si>
  <si>
    <t>AAQL</t>
  </si>
  <si>
    <t>万百万*********</t>
  </si>
  <si>
    <r>
      <t xml:space="preserve">蒸煮提取物（利口酒和烈酒）; 薄荷酒; 青稞酒; 利口酒; 白酒; 米酒; 苹果酒;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</si>
  <si>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梨某某</t>
  </si>
  <si>
    <r>
      <t>云和</t>
    </r>
    <r>
      <rPr>
        <sz val="11"/>
        <color theme="1"/>
        <rFont val="ＭＳ Ｐゴシック"/>
        <family val="3"/>
        <charset val="134"/>
        <scheme val="minor"/>
      </rPr>
      <t>县红绿</t>
    </r>
    <r>
      <rPr>
        <sz val="11"/>
        <color theme="1"/>
        <rFont val="ＭＳ Ｐゴシック"/>
        <family val="3"/>
        <charset val="128"/>
        <scheme val="minor"/>
      </rPr>
      <t>融合文化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</si>
  <si>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梨酒; 水果汽酒; 果酒（含酒精）;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</si>
  <si>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戎韵春</t>
  </si>
  <si>
    <t>尹升全</t>
  </si>
  <si>
    <r>
      <t>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高粱酒; 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青梅酒;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露酒</t>
    </r>
  </si>
  <si>
    <t>旱河湾 酒</t>
  </si>
  <si>
    <r>
      <t>周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盛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</si>
  <si>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蒸煮提取物（利口酒和烈酒）;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</si>
  <si>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草之典</t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</si>
  <si>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</si>
  <si>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川香郁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</si>
  <si>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高粱酒;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葡萄酒; 米酒; 黄酒; 白酒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</si>
  <si>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迎雪</t>
    </r>
  </si>
  <si>
    <r>
      <t>张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喜</t>
    </r>
  </si>
  <si>
    <r>
      <t xml:space="preserve">含酒精的气泡水;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葡萄酒;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</si>
  <si>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绿</t>
    </r>
    <r>
      <rPr>
        <sz val="11"/>
        <color theme="1"/>
        <rFont val="ＭＳ Ｐゴシック"/>
        <family val="3"/>
        <charset val="128"/>
        <scheme val="minor"/>
      </rPr>
      <t>佑</t>
    </r>
  </si>
  <si>
    <r>
      <t>果酒（含酒精）; 利口酒; 白酒; 葡萄酒;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</si>
  <si>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开花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</si>
  <si>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渝冬来食品有限公司</t>
    </r>
  </si>
  <si>
    <r>
      <t>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佐餐酒;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白酒; 露酒; 甜酒; 水果汽酒; 葡萄酒</t>
    </r>
  </si>
  <si>
    <t>宫铺</t>
  </si>
  <si>
    <t>申建峰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</si>
  <si>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</t>
    </r>
  </si>
  <si>
    <t>天元固生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</si>
  <si>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州广</t>
    </r>
    <r>
      <rPr>
        <sz val="11"/>
        <color theme="1"/>
        <rFont val="ＭＳ Ｐゴシック"/>
        <family val="3"/>
        <charset val="134"/>
        <scheme val="minor"/>
      </rPr>
      <t>济</t>
    </r>
    <r>
      <rPr>
        <sz val="11"/>
        <color theme="1"/>
        <rFont val="ＭＳ Ｐゴシック"/>
        <family val="3"/>
        <charset val="128"/>
        <scheme val="minor"/>
      </rPr>
      <t>堂健康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</si>
  <si>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汽酒; 烈酒;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白酒; 露酒; 葡萄酒</t>
    </r>
  </si>
  <si>
    <t>宝慧伍味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</si>
  <si>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西大慧定健康管理有限公司</t>
    </r>
  </si>
  <si>
    <r>
      <t>青梅酒; 黄酒; 米酒; 果酒; 汽酒; 苦艾酒; 开胃酒;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料(啤酒除外); 佐餐酒; 白酒</t>
    </r>
  </si>
  <si>
    <t>兄会</t>
  </si>
  <si>
    <r>
      <t>汤</t>
    </r>
    <r>
      <rPr>
        <sz val="11"/>
        <color theme="1"/>
        <rFont val="ＭＳ Ｐゴシック"/>
        <family val="3"/>
        <charset val="128"/>
        <scheme val="minor"/>
      </rPr>
      <t>瑞如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</si>
  <si>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白酒; 威士忌;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</si>
  <si>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稽山湖</t>
  </si>
  <si>
    <r>
      <t xml:space="preserve">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甘蔗制烈酒;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</si>
  <si>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</si>
  <si>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衡昌同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</si>
  <si>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高粱酒; 黄酒; 五加皮酒（中国混合烈酒）;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蒸煮提取物（利口酒和烈酒）; 开胃酒; 清酒; 白酒</t>
    </r>
  </si>
  <si>
    <r>
      <t>坐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</si>
  <si>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雅酌酒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</si>
  <si>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伏特加酒; 威士忌;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白酒; 葡萄酒; 米酒</t>
    </r>
  </si>
  <si>
    <t>亮哥一下</t>
  </si>
  <si>
    <t>上海播种者科技有限公司</t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</si>
  <si>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</si>
  <si>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来婉儿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</si>
  <si>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州李婉儿酒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</si>
  <si>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清酒（日本米酒）; 威士忌; 果酒（含酒精）; 白酒</t>
    </r>
  </si>
  <si>
    <r>
      <t>诚</t>
    </r>
    <r>
      <rPr>
        <sz val="11"/>
        <color theme="1"/>
        <rFont val="ＭＳ Ｐゴシック"/>
        <family val="3"/>
        <charset val="128"/>
        <scheme val="minor"/>
      </rPr>
      <t>果益家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</si>
  <si>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果科技有限公司</t>
    </r>
  </si>
  <si>
    <r>
      <t>威士忌; 果酒;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起泡白葡萄酒;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</si>
  <si>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博佳泉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</si>
  <si>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吉保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</si>
  <si>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利口酒;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葡萄酒; 白酒</t>
    </r>
  </si>
  <si>
    <r>
      <t>今</t>
    </r>
    <r>
      <rPr>
        <sz val="11"/>
        <color theme="1"/>
        <rFont val="ＭＳ Ｐゴシック"/>
        <family val="3"/>
        <charset val="134"/>
        <scheme val="minor"/>
      </rPr>
      <t>岚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尧</t>
    </r>
  </si>
  <si>
    <r>
      <t>佛山大</t>
    </r>
    <r>
      <rPr>
        <sz val="11"/>
        <color theme="1"/>
        <rFont val="ＭＳ Ｐゴシック"/>
        <family val="3"/>
        <charset val="134"/>
        <scheme val="minor"/>
      </rPr>
      <t>尧</t>
    </r>
    <r>
      <rPr>
        <sz val="11"/>
        <color theme="1"/>
        <rFont val="ＭＳ Ｐゴシック"/>
        <family val="3"/>
        <charset val="128"/>
        <scheme val="minor"/>
      </rPr>
      <t>木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</si>
  <si>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白干酒（中国白酒）;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高粱酒; 加烈葡萄酒;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</si>
  <si>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红锅</t>
    </r>
    <r>
      <rPr>
        <sz val="11"/>
        <color theme="1"/>
        <rFont val="ＭＳ Ｐゴシック"/>
        <family val="3"/>
        <charset val="128"/>
        <scheme val="minor"/>
      </rPr>
      <t>惠 HOTPOTGO</t>
    </r>
  </si>
  <si>
    <t>田海霞</t>
  </si>
  <si>
    <r>
      <t>米酒;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果酒（含酒精）; 威士忌</t>
    </r>
  </si>
  <si>
    <r>
      <t>闽</t>
    </r>
    <r>
      <rPr>
        <sz val="11"/>
        <color theme="1"/>
        <rFont val="ＭＳ Ｐゴシック"/>
        <family val="3"/>
        <charset val="128"/>
        <scheme val="minor"/>
      </rPr>
      <t>雀</t>
    </r>
  </si>
  <si>
    <r>
      <t>泉州</t>
    </r>
    <r>
      <rPr>
        <sz val="11"/>
        <color theme="1"/>
        <rFont val="ＭＳ Ｐゴシック"/>
        <family val="3"/>
        <charset val="134"/>
        <scheme val="minor"/>
      </rPr>
      <t>闽</t>
    </r>
    <r>
      <rPr>
        <sz val="11"/>
        <color theme="1"/>
        <rFont val="ＭＳ Ｐゴシック"/>
        <family val="3"/>
        <charset val="128"/>
        <scheme val="minor"/>
      </rPr>
      <t>雀机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</si>
  <si>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黄酒; 白酒; 食用酒精</t>
    </r>
  </si>
  <si>
    <t>洋妹友礼</t>
  </si>
  <si>
    <t>李守局</t>
  </si>
  <si>
    <r>
      <t xml:space="preserve">葡萄酒; 伏特加酒;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</si>
  <si>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玛</t>
    </r>
    <r>
      <rPr>
        <sz val="11"/>
        <color theme="1"/>
        <rFont val="ＭＳ Ｐゴシック"/>
        <family val="3"/>
        <charset val="128"/>
        <scheme val="minor"/>
      </rPr>
      <t>特宇宙</t>
    </r>
  </si>
  <si>
    <r>
      <t>杭州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特宇宙数字科技有限公司</t>
    </r>
  </si>
  <si>
    <r>
      <t>威士忌; 黄酒;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</si>
  <si>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甘泉桂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</si>
  <si>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利口酒; 烈酒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</si>
  <si>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薄荷酒;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果酒; 白酒</t>
    </r>
  </si>
  <si>
    <t>仐芖</t>
  </si>
  <si>
    <r>
      <t>江西</t>
    </r>
    <r>
      <rPr>
        <sz val="11"/>
        <color theme="1"/>
        <rFont val="ＭＳ Ｐゴシック"/>
        <family val="3"/>
        <charset val="134"/>
        <scheme val="minor"/>
      </rPr>
      <t>库</t>
    </r>
    <r>
      <rPr>
        <sz val="11"/>
        <color theme="1"/>
        <rFont val="ＭＳ Ｐゴシック"/>
        <family val="3"/>
        <charset val="128"/>
        <scheme val="minor"/>
      </rPr>
      <t>美快告文化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</si>
  <si>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米酒;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</si>
  <si>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（深圳）智能物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</si>
  <si>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果酒（含酒精); 米酒</t>
    </r>
  </si>
  <si>
    <r>
      <t>琼满</t>
    </r>
    <r>
      <rPr>
        <sz val="11"/>
        <color theme="1"/>
        <rFont val="ＭＳ Ｐゴシック"/>
        <family val="3"/>
        <charset val="128"/>
        <scheme val="minor"/>
      </rPr>
      <t>春</t>
    </r>
  </si>
  <si>
    <r>
      <t xml:space="preserve">威士忌; 葡萄酒; 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清酒（日本米酒）</t>
    </r>
  </si>
  <si>
    <r>
      <t>骄</t>
    </r>
    <r>
      <rPr>
        <sz val="11"/>
        <color theme="1"/>
        <rFont val="ＭＳ Ｐゴシック"/>
        <family val="3"/>
        <charset val="128"/>
        <scheme val="minor"/>
      </rPr>
      <t>启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</si>
  <si>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九厨印食品科技有限公司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</si>
  <si>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米酒; 苹果酒; 黄酒; 汽酒; 葡萄酒; 烈酒(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料);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果酒(含酒精)</t>
    </r>
  </si>
  <si>
    <r>
      <t>鲸</t>
    </r>
    <r>
      <rPr>
        <sz val="11"/>
        <color theme="1"/>
        <rFont val="ＭＳ Ｐゴシック"/>
        <family val="3"/>
        <charset val="128"/>
        <scheme val="minor"/>
      </rPr>
      <t>海森林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</si>
  <si>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御佳皇品生物科技有限公司</t>
    </r>
  </si>
  <si>
    <r>
      <t>含酒精的气泡水;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果酒; 草莓酒;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</t>
    </r>
  </si>
  <si>
    <r>
      <t>项</t>
    </r>
    <r>
      <rPr>
        <sz val="11"/>
        <color theme="1"/>
        <rFont val="ＭＳ Ｐゴシック"/>
        <family val="3"/>
        <charset val="128"/>
        <scheme val="minor"/>
      </rPr>
      <t>少侠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</si>
  <si>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餐后酒（利口酒和烈酒）; 米酒; 白酒;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</si>
  <si>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天朝王者</t>
  </si>
  <si>
    <t>何小娟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</si>
  <si>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甜酒; 果酒（含酒精）; 葡萄酒; 烈酒</t>
    </r>
  </si>
  <si>
    <t>GUOLIJIANG</t>
  </si>
  <si>
    <r>
      <t>涡</t>
    </r>
    <r>
      <rPr>
        <sz val="11"/>
        <color theme="1"/>
        <rFont val="ＭＳ Ｐゴシック"/>
        <family val="3"/>
        <charset val="128"/>
        <scheme val="minor"/>
      </rPr>
      <t>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果梨酒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</si>
  <si>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白酒; 果酒（含酒精）; 黄酒</t>
    </r>
  </si>
  <si>
    <t>伊甸雄</t>
  </si>
  <si>
    <r>
      <t>石台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大山村硒土地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</si>
  <si>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酒(利口酒); 黄酒; 清酒; 酒(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料);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</si>
  <si>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信鼎浩</t>
  </si>
  <si>
    <r>
      <t>长</t>
    </r>
    <r>
      <rPr>
        <sz val="11"/>
        <color theme="1"/>
        <rFont val="ＭＳ Ｐゴシック"/>
        <family val="3"/>
        <charset val="128"/>
        <scheme val="minor"/>
      </rPr>
      <t>春市君品酒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</si>
  <si>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白酒; 食用酒精; 米酒; 清酒（日本米酒）; 开胃酒</t>
    </r>
  </si>
  <si>
    <r>
      <t>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果酒（含酒精）; 葡萄酒; 朗姆酒;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</si>
  <si>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法利普</t>
  </si>
  <si>
    <r>
      <t>骆</t>
    </r>
    <r>
      <rPr>
        <sz val="11"/>
        <color theme="1"/>
        <rFont val="ＭＳ Ｐゴシック"/>
        <family val="3"/>
        <charset val="128"/>
        <scheme val="minor"/>
      </rPr>
      <t>永新</t>
    </r>
  </si>
  <si>
    <r>
      <t>白酒; 黄酒; 食用酒精;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葡萄酒; 朗姆酒; 果酒（含酒精）</t>
    </r>
  </si>
  <si>
    <t>GRASSKING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</si>
  <si>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</si>
  <si>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渡慷</t>
    </r>
    <r>
      <rPr>
        <sz val="11"/>
        <color theme="1"/>
        <rFont val="ＭＳ Ｐゴシック"/>
        <family val="3"/>
        <charset val="134"/>
        <scheme val="minor"/>
      </rPr>
      <t>汣</t>
    </r>
  </si>
  <si>
    <r>
      <t>米酒; 高粱酒;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蜂蜜酒; 威士忌; 白酒; 利口酒;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</si>
  <si>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帛玉</t>
    </r>
  </si>
  <si>
    <r>
      <t>广西祥越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</si>
  <si>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露酒; 果酒; 清酒; 果酒（含酒精）;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</si>
  <si>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臻醉云境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</si>
  <si>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州天下名匠酒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</si>
  <si>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白干酒（中国白酒）; 烈酒; 高粱酒;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米酒; 果酒（含酒精）;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</si>
  <si>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r>
      <t>米奇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名款</t>
    </r>
  </si>
  <si>
    <r>
      <t>米奇酒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</si>
  <si>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利口酒; 伏特加酒; 白酒</t>
    </r>
  </si>
  <si>
    <t>巴登人</t>
  </si>
  <si>
    <r>
      <t>广州猴子谷酒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</si>
  <si>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果酒; 米酒; 甜酒; 烈酒;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汽酒</t>
    </r>
  </si>
  <si>
    <t>巨窑</t>
  </si>
  <si>
    <t>袁敏</t>
  </si>
  <si>
    <t>汽酒; 甜酒; 白酒; 葡萄酒; 食用酒精; 开胃酒; 米酒; 果酒; 清酒; 黄酒</t>
  </si>
  <si>
    <t>李北皇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</si>
  <si>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州斯巴达企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(有限合伙)</t>
    </r>
  </si>
  <si>
    <r>
      <t xml:space="preserve">薄荷酒; 苹果酒; 白酒; 果酒（含酒精）; 黄酒; 开胃酒; 葡萄酒;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</si>
  <si>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t>斛地</t>
  </si>
  <si>
    <r>
      <t>云南千山千悦酒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</si>
  <si>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黄酒; 白酒; 果酒（含酒精）;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米酒</t>
    </r>
  </si>
  <si>
    <r>
      <t>西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大</t>
    </r>
  </si>
  <si>
    <r>
      <t>西北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林科技大学</t>
    </r>
  </si>
  <si>
    <r>
      <t xml:space="preserve">葡萄酒; 青稞酒;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</si>
  <si>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t>壁燃</t>
  </si>
  <si>
    <r>
      <t>威士忌; 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烈酒; 黄酒</t>
    </r>
  </si>
  <si>
    <t>PROVALO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</si>
  <si>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葡萄酒;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</si>
  <si>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天朝元清花</t>
  </si>
  <si>
    <r>
      <t>保定市吉樟商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</si>
  <si>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梨酒; 伏特加酒;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汽酒; 青稞酒;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</si>
  <si>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操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</si>
  <si>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家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</si>
  <si>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威士忌; 汽酒; 黄酒; 果酒; 利口酒; 烈酒; 葡萄酒; 白酒</t>
    </r>
  </si>
  <si>
    <t>薛喜梅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</si>
  <si>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帕</t>
    </r>
    <r>
      <rPr>
        <sz val="11"/>
        <color theme="1"/>
        <rFont val="ＭＳ Ｐゴシック"/>
        <family val="3"/>
        <charset val="129"/>
        <scheme val="minor"/>
      </rPr>
      <t>喳</t>
    </r>
    <r>
      <rPr>
        <sz val="11"/>
        <color theme="1"/>
        <rFont val="ＭＳ Ｐゴシック"/>
        <family val="3"/>
        <charset val="128"/>
        <scheme val="minor"/>
      </rPr>
      <t>阿果商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</si>
  <si>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开胃酒; 葡萄酒</t>
    </r>
  </si>
  <si>
    <t>荷逸</t>
  </si>
  <si>
    <r>
      <t>张</t>
    </r>
    <r>
      <rPr>
        <sz val="11"/>
        <color theme="1"/>
        <rFont val="ＭＳ Ｐゴシック"/>
        <family val="3"/>
        <charset val="128"/>
        <scheme val="minor"/>
      </rPr>
      <t>琴</t>
    </r>
  </si>
  <si>
    <r>
      <t xml:space="preserve">高粱酒;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食用酒精; 果酒（含酒精）; 露酒</t>
    </r>
  </si>
  <si>
    <t>君梦言</t>
  </si>
  <si>
    <r>
      <t>龚泽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</si>
  <si>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食用酒精;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葡萄酒;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</si>
  <si>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赞</t>
    </r>
    <r>
      <rPr>
        <sz val="11"/>
        <color theme="1"/>
        <rFont val="ＭＳ Ｐゴシック"/>
        <family val="3"/>
        <charset val="128"/>
        <scheme val="minor"/>
      </rPr>
      <t>禧礼</t>
    </r>
  </si>
  <si>
    <t>杭州慕源食品有限公司</t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</si>
  <si>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伏特加酒; 朗姆酒</t>
    </r>
  </si>
  <si>
    <t>厚羿</t>
  </si>
  <si>
    <r>
      <t>四川厚羿酒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</si>
  <si>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清酒（日本米酒）;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</si>
  <si>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御医千金</t>
  </si>
  <si>
    <r>
      <t>袁</t>
    </r>
    <r>
      <rPr>
        <sz val="11"/>
        <color theme="1"/>
        <rFont val="ＭＳ Ｐゴシック"/>
        <family val="3"/>
        <charset val="134"/>
        <scheme val="minor"/>
      </rPr>
      <t>凤连</t>
    </r>
  </si>
  <si>
    <r>
      <t>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蜂蜜酒;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果酒（含酒精）; 葡萄酒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</si>
  <si>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珍台</t>
    </r>
    <r>
      <rPr>
        <sz val="11"/>
        <color theme="1"/>
        <rFont val="ＭＳ Ｐゴシック"/>
        <family val="3"/>
        <charset val="134"/>
        <scheme val="minor"/>
      </rPr>
      <t>汉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</si>
  <si>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沙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光里企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</si>
  <si>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清酒（日本米酒）; 葡萄酒; 黄酒; 开胃酒;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</si>
  <si>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珍台唐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</si>
  <si>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白酒; 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葡萄酒; 果酒（含酒精）</t>
    </r>
  </si>
  <si>
    <t>ODURKAR 奥德卡</t>
  </si>
  <si>
    <r>
      <t>韩</t>
    </r>
    <r>
      <rPr>
        <sz val="11"/>
        <color theme="1"/>
        <rFont val="ＭＳ Ｐゴシック"/>
        <family val="3"/>
        <charset val="128"/>
        <scheme val="minor"/>
      </rPr>
      <t>雷雷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</si>
  <si>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葡萄酒; 果酒（含酒精）; 米酒; 白酒</t>
    </r>
  </si>
  <si>
    <r>
      <t>群</t>
    </r>
    <r>
      <rPr>
        <sz val="11"/>
        <color theme="1"/>
        <rFont val="ＭＳ Ｐゴシック"/>
        <family val="3"/>
        <charset val="134"/>
        <scheme val="minor"/>
      </rPr>
      <t>团</t>
    </r>
  </si>
  <si>
    <r>
      <t>浙江群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</si>
  <si>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杜松子酒;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葡萄酒; 黄酒; 含酒精蛋奶酒; 威士忌; 果酒（含酒精）</t>
    </r>
  </si>
  <si>
    <r>
      <t>谷川</t>
    </r>
    <r>
      <rPr>
        <sz val="11"/>
        <color theme="1"/>
        <rFont val="ＭＳ Ｐゴシック"/>
        <family val="3"/>
        <charset val="134"/>
        <scheme val="minor"/>
      </rPr>
      <t>鉴</t>
    </r>
  </si>
  <si>
    <t>惠超</t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</si>
  <si>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清酒（日本米酒）; 白酒</t>
    </r>
  </si>
  <si>
    <r>
      <t>豫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方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都</t>
    </r>
  </si>
  <si>
    <r>
      <t>周</t>
    </r>
    <r>
      <rPr>
        <sz val="11"/>
        <color theme="1"/>
        <rFont val="ＭＳ Ｐゴシック"/>
        <family val="3"/>
        <charset val="134"/>
        <scheme val="minor"/>
      </rPr>
      <t>凤丽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</si>
  <si>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食用酒精;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</si>
  <si>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小媳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</si>
  <si>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刘志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</si>
  <si>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梅酒; 果酒;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蜂蜜酒</t>
    </r>
  </si>
  <si>
    <r>
      <t>浑</t>
    </r>
    <r>
      <rPr>
        <sz val="11"/>
        <color theme="1"/>
        <rFont val="ＭＳ Ｐゴシック"/>
        <family val="3"/>
        <charset val="128"/>
        <scheme val="minor"/>
      </rPr>
      <t>州媳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</si>
  <si>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梅酒;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蜂蜜酒; 葡萄酒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</si>
  <si>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罗锅</t>
    </r>
  </si>
  <si>
    <r>
      <t xml:space="preserve">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食用酒精; 高粱酒;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</si>
  <si>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丛</t>
    </r>
    <r>
      <rPr>
        <sz val="11"/>
        <color theme="1"/>
        <rFont val="ＭＳ Ｐゴシック"/>
        <family val="3"/>
        <charset val="128"/>
        <scheme val="minor"/>
      </rPr>
      <t>林</t>
    </r>
    <r>
      <rPr>
        <sz val="11"/>
        <color theme="1"/>
        <rFont val="ＭＳ Ｐゴシック"/>
        <family val="3"/>
        <charset val="134"/>
        <scheme val="minor"/>
      </rPr>
      <t>鸟</t>
    </r>
    <r>
      <rPr>
        <sz val="11"/>
        <color theme="1"/>
        <rFont val="ＭＳ Ｐゴシック"/>
        <family val="3"/>
        <charset val="128"/>
        <scheme val="minor"/>
      </rPr>
      <t xml:space="preserve"> JUNGLE BIRD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</si>
  <si>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市李遇酒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</si>
  <si>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t>果酒（含酒精）</t>
  </si>
  <si>
    <t>梅口美</t>
  </si>
  <si>
    <r>
      <t>米酒; 白酒; 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梅酒;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</si>
  <si>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菲㳸</t>
  </si>
  <si>
    <r>
      <t>丹徒区上党百</t>
    </r>
    <r>
      <rPr>
        <sz val="11"/>
        <color theme="1"/>
        <rFont val="ＭＳ Ｐゴシック"/>
        <family val="3"/>
        <charset val="134"/>
        <scheme val="minor"/>
      </rPr>
      <t>亩</t>
    </r>
    <r>
      <rPr>
        <sz val="11"/>
        <color theme="1"/>
        <rFont val="ＭＳ Ｐゴシック"/>
        <family val="3"/>
        <charset val="128"/>
        <scheme val="minor"/>
      </rPr>
      <t>山酒庄（个体工商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</si>
  <si>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食用酒精; 餐后酒（利口酒和烈酒）;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</si>
  <si>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酒界樽</t>
  </si>
  <si>
    <r>
      <t>张</t>
    </r>
    <r>
      <rPr>
        <sz val="11"/>
        <color theme="1"/>
        <rFont val="ＭＳ Ｐゴシック"/>
        <family val="3"/>
        <charset val="128"/>
        <scheme val="minor"/>
      </rPr>
      <t>嘉玲</t>
    </r>
  </si>
  <si>
    <r>
      <t xml:space="preserve">葡萄酒; 食用酒精;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伏特加酒;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</si>
  <si>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醉和美</t>
  </si>
  <si>
    <t>陈卫连</t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</si>
  <si>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</si>
  <si>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泱荷</t>
  </si>
  <si>
    <t>王香亭</t>
  </si>
  <si>
    <r>
      <t xml:space="preserve">米酒; 白酒; 清酒; 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</si>
  <si>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嵩巍</t>
  </si>
  <si>
    <t>佘素敏</t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</si>
  <si>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</si>
  <si>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鑫</t>
    </r>
    <r>
      <rPr>
        <sz val="11"/>
        <color theme="1"/>
        <rFont val="ＭＳ Ｐゴシック"/>
        <family val="3"/>
        <charset val="134"/>
        <scheme val="minor"/>
      </rPr>
      <t>锦张绣</t>
    </r>
    <r>
      <rPr>
        <sz val="11"/>
        <color theme="1"/>
        <rFont val="ＭＳ Ｐゴシック"/>
        <family val="3"/>
        <charset val="128"/>
        <scheme val="minor"/>
      </rPr>
      <t>液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</si>
  <si>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掖市泓潞源商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</si>
  <si>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葡萄酒; 白酒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</si>
  <si>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纬飞</t>
    </r>
    <r>
      <rPr>
        <sz val="11"/>
        <color theme="1"/>
        <rFont val="ＭＳ Ｐゴシック"/>
        <family val="3"/>
        <charset val="128"/>
        <scheme val="minor"/>
      </rPr>
      <t>越（浙江）科技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</si>
  <si>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葡萄酒; 葡萄汽酒;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加烈葡萄酒; 不起泡葡萄酒; 葡萄潘趣酒;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起泡白葡萄酒; 白葡萄酒; 酸酒（低等葡萄酒）;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</si>
  <si>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特秘</t>
  </si>
  <si>
    <r>
      <t>海南椰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州酒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</si>
  <si>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烈酒;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</si>
  <si>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r>
      <t>财</t>
    </r>
    <r>
      <rPr>
        <sz val="11"/>
        <color theme="1"/>
        <rFont val="ＭＳ Ｐゴシック"/>
        <family val="3"/>
        <charset val="128"/>
        <scheme val="minor"/>
      </rPr>
      <t>路天下</t>
    </r>
  </si>
  <si>
    <t>李燕雪</t>
  </si>
  <si>
    <r>
      <t>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</si>
  <si>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方茶歌</t>
    </r>
  </si>
  <si>
    <t>沈德航</t>
  </si>
  <si>
    <r>
      <t>汽酒; 利口酒;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</si>
  <si>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宜水情</t>
  </si>
  <si>
    <r>
      <t>山西雯坤商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</si>
  <si>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汽酒; 高粱酒; 白酒; 食用酒精; 黄酒;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含酒精蛋奶酒; 米酒</t>
    </r>
  </si>
  <si>
    <t>予能</t>
  </si>
  <si>
    <r>
      <t xml:space="preserve">混合威士忌酒; 佐餐酒;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白酒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</si>
  <si>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珍台明</t>
    </r>
  </si>
  <si>
    <r>
      <t xml:space="preserve">葡萄酒; 黄酒; 开胃酒;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食用酒精</t>
    </r>
  </si>
  <si>
    <t>召丰年</t>
  </si>
  <si>
    <r>
      <t>刘志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</si>
  <si>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 xml:space="preserve">果酒（含酒精）; 威士忌;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</si>
  <si>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赋</t>
    </r>
    <r>
      <rPr>
        <sz val="11"/>
        <color theme="1"/>
        <rFont val="ＭＳ Ｐゴシック"/>
        <family val="3"/>
        <charset val="128"/>
        <scheme val="minor"/>
      </rPr>
      <t>比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</si>
  <si>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果酒（含酒精）; 利口酒; 汽酒; 威士忌; 梅酒; 清酒（日本米酒）; 苹果酒</t>
    </r>
  </si>
  <si>
    <t>舟滏</t>
  </si>
  <si>
    <t>天津舟滏科技有限公司</t>
  </si>
  <si>
    <r>
      <t>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烈性干酒; 米酒; 白干酒（中国白酒）;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</si>
  <si>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YASHANEIDOLA</t>
  </si>
  <si>
    <r>
      <t>乐</t>
    </r>
    <r>
      <rPr>
        <sz val="11"/>
        <color theme="1"/>
        <rFont val="ＭＳ Ｐゴシック"/>
        <family val="3"/>
        <charset val="128"/>
        <scheme val="minor"/>
      </rPr>
      <t>清市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菲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莓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</si>
  <si>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葡萄酒; 果酒（含酒精）;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</si>
  <si>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豪</t>
    </r>
    <r>
      <rPr>
        <sz val="11"/>
        <color theme="1"/>
        <rFont val="ＭＳ Ｐゴシック"/>
        <family val="3"/>
        <charset val="134"/>
        <scheme val="minor"/>
      </rPr>
      <t>狮</t>
    </r>
  </si>
  <si>
    <r>
      <t>鑫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</si>
  <si>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含酒精的气泡水; 青稞酒; 葡萄酒</t>
    </r>
  </si>
  <si>
    <t>出峰</t>
  </si>
  <si>
    <r>
      <t>谢</t>
    </r>
    <r>
      <rPr>
        <sz val="11"/>
        <color theme="1"/>
        <rFont val="ＭＳ Ｐゴシック"/>
        <family val="3"/>
        <charset val="128"/>
        <scheme val="minor"/>
      </rPr>
      <t>心恩</t>
    </r>
  </si>
  <si>
    <r>
      <t>果酒（含酒精）;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威士忌</t>
    </r>
  </si>
  <si>
    <r>
      <t>传</t>
    </r>
    <r>
      <rPr>
        <sz val="11"/>
        <color theme="1"/>
        <rFont val="ＭＳ Ｐゴシック"/>
        <family val="3"/>
        <charset val="128"/>
        <scheme val="minor"/>
      </rPr>
      <t>胤星光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</si>
  <si>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州大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之野商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</si>
  <si>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白葡萄酒; 起泡白葡萄酒;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不起泡葡萄酒; 加烈葡萄酒; 葡萄汽酒; 果酒;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果酒（含酒精）</t>
    </r>
  </si>
  <si>
    <t>衡昌旭友</t>
  </si>
  <si>
    <t>SARVI</t>
  </si>
  <si>
    <r>
      <t>上海胖可丁服装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</si>
  <si>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利口酒;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</si>
  <si>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神康宝</t>
  </si>
  <si>
    <r>
      <t>四川火力王酒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</si>
  <si>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食用酒精</t>
    </r>
  </si>
  <si>
    <t>喜泉海浪花</t>
  </si>
  <si>
    <r>
      <t>大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喜泉天然</t>
    </r>
    <r>
      <rPr>
        <sz val="11"/>
        <color theme="1"/>
        <rFont val="ＭＳ Ｐゴシック"/>
        <family val="3"/>
        <charset val="134"/>
        <scheme val="minor"/>
      </rPr>
      <t>矿</t>
    </r>
    <r>
      <rPr>
        <sz val="11"/>
        <color theme="1"/>
        <rFont val="ＭＳ Ｐゴシック"/>
        <family val="3"/>
        <charset val="128"/>
        <scheme val="minor"/>
      </rPr>
      <t>泉水有限公司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</si>
  <si>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白酒</t>
    </r>
  </si>
  <si>
    <r>
      <t>忆</t>
    </r>
    <r>
      <rPr>
        <sz val="11"/>
        <color theme="1"/>
        <rFont val="ＭＳ Ｐゴシック"/>
        <family val="3"/>
        <charset val="128"/>
        <scheme val="minor"/>
      </rPr>
      <t>品梦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</si>
  <si>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俊杰</t>
    </r>
  </si>
  <si>
    <r>
      <t>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果酒（含酒精）; 薄荷酒;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</si>
  <si>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庆风华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</si>
  <si>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</t>
    </r>
  </si>
  <si>
    <t>藜黄金</t>
  </si>
  <si>
    <r>
      <t>周国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</si>
  <si>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伏特加酒; 果酒（含酒精）;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</si>
  <si>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果益</t>
    </r>
    <r>
      <rPr>
        <sz val="11"/>
        <color theme="1"/>
        <rFont val="ＭＳ Ｐゴシック"/>
        <family val="3"/>
        <charset val="129"/>
        <scheme val="minor"/>
      </rPr>
      <t>嗨</t>
    </r>
  </si>
  <si>
    <t>王久玲</t>
  </si>
  <si>
    <r>
      <t xml:space="preserve">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露酒;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</t>
    </r>
  </si>
  <si>
    <t>福曜星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</si>
  <si>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州李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思酒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</si>
  <si>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开胃酒; 利口酒;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</si>
  <si>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植然萃</t>
  </si>
  <si>
    <r>
      <t>苏</t>
    </r>
    <r>
      <rPr>
        <sz val="11"/>
        <color theme="1"/>
        <rFont val="ＭＳ Ｐゴシック"/>
        <family val="3"/>
        <charset val="128"/>
        <scheme val="minor"/>
      </rPr>
      <t>玉祥</t>
    </r>
  </si>
  <si>
    <t>清酒; 葡萄酒; 食用酒精; 开胃酒; 米酒; 甜酒; 黄酒; 汽酒; 白酒; 果酒</t>
  </si>
  <si>
    <r>
      <t>水果游侠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</si>
  <si>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>济</t>
    </r>
    <r>
      <rPr>
        <sz val="11"/>
        <color theme="1"/>
        <rFont val="ＭＳ Ｐゴシック"/>
        <family val="3"/>
        <charset val="128"/>
        <scheme val="minor"/>
      </rPr>
      <t>宁清泉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</si>
  <si>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</si>
  <si>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赤叶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</si>
  <si>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州湄潭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馨茶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</si>
  <si>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烈酒;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露酒; 清酒;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</si>
  <si>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光酉</t>
  </si>
  <si>
    <t>黄永盛</t>
  </si>
  <si>
    <r>
      <t xml:space="preserve">果酒（含酒精）; 苹果酒; 白酒; 开胃酒; 黄酒;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</si>
  <si>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火迪</t>
  </si>
  <si>
    <r>
      <t>江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正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</si>
  <si>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果酒; 黄酒; 葡萄酒; 汽酒; 白酒; 含酒精的气泡水</t>
    </r>
  </si>
  <si>
    <t>阳明山1号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</si>
  <si>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阳明山人酒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</si>
  <si>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</si>
  <si>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七十二舟滏</t>
  </si>
  <si>
    <r>
      <t>烈性干酒; 烈酒;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果酒</t>
    </r>
  </si>
  <si>
    <t>威沫</t>
  </si>
  <si>
    <t>陈刚</t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</si>
  <si>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食用酒精; 葡萄酒;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水果汽酒; 果酒（含酒精）;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</si>
  <si>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珍台清</t>
    </r>
  </si>
  <si>
    <r>
      <t xml:space="preserve">开胃酒; 白酒;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清酒（日本米酒）;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</si>
  <si>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珍台元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</si>
  <si>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米酒; 食用酒精; 清酒（日本米酒）; 葡萄酒;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</si>
  <si>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梦想之</t>
    </r>
    <r>
      <rPr>
        <sz val="11"/>
        <color theme="1"/>
        <rFont val="ＭＳ Ｐゴシック"/>
        <family val="3"/>
        <charset val="134"/>
        <scheme val="minor"/>
      </rPr>
      <t>轮</t>
    </r>
    <r>
      <rPr>
        <sz val="11"/>
        <color theme="1"/>
        <rFont val="ＭＳ Ｐゴシック"/>
        <family val="3"/>
        <charset val="128"/>
        <scheme val="minor"/>
      </rPr>
      <t>逐梦</t>
    </r>
  </si>
  <si>
    <r>
      <t>上海玖隆</t>
    </r>
    <r>
      <rPr>
        <sz val="11"/>
        <color theme="1"/>
        <rFont val="ＭＳ Ｐゴシック"/>
        <family val="3"/>
        <charset val="134"/>
        <scheme val="minor"/>
      </rPr>
      <t>荟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</si>
  <si>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清酒（日本米酒）; 白酒;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开胃酒</t>
    </r>
  </si>
  <si>
    <t>晋阳公</t>
  </si>
  <si>
    <r>
      <t>方</t>
    </r>
    <r>
      <rPr>
        <sz val="11"/>
        <color theme="1"/>
        <rFont val="ＭＳ Ｐゴシック"/>
        <family val="3"/>
        <charset val="134"/>
        <scheme val="minor"/>
      </rPr>
      <t>孙</t>
    </r>
    <r>
      <rPr>
        <sz val="11"/>
        <color theme="1"/>
        <rFont val="ＭＳ Ｐゴシック"/>
        <family val="3"/>
        <charset val="128"/>
        <scheme val="minor"/>
      </rPr>
      <t>力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</si>
  <si>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蜂蜜酒;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清酒（日本米酒）; 果酒（含酒精）</t>
    </r>
  </si>
  <si>
    <t>家德醇</t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</si>
  <si>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果酒; 黄酒; 威士忌</t>
    </r>
  </si>
  <si>
    <r>
      <t>杏社溪山</t>
    </r>
    <r>
      <rPr>
        <sz val="11"/>
        <color theme="1"/>
        <rFont val="ＭＳ Ｐゴシック"/>
        <family val="3"/>
        <charset val="134"/>
        <scheme val="minor"/>
      </rPr>
      <t>访</t>
    </r>
    <r>
      <rPr>
        <sz val="11"/>
        <color theme="1"/>
        <rFont val="ＭＳ Ｐゴシック"/>
        <family val="3"/>
        <charset val="128"/>
        <scheme val="minor"/>
      </rPr>
      <t>友</t>
    </r>
  </si>
  <si>
    <r>
      <t>山西玖泉涌酒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</si>
  <si>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黄酒; 伏特加酒;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开胃酒</t>
    </r>
  </si>
  <si>
    <t>TIFFCLUB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</si>
  <si>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青稞酒; 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</si>
  <si>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向塘丁坊</t>
  </si>
  <si>
    <r>
      <t>南昌丁坊酒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</si>
  <si>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开胃酒;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</si>
  <si>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迪特</t>
    </r>
  </si>
  <si>
    <r>
      <t>北京恒特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选贸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</si>
  <si>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伏特加酒; 汽酒; 葡萄酒; 利口酒; 朗姆酒; 杜松子酒</t>
    </r>
  </si>
  <si>
    <r>
      <t>宙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</si>
  <si>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龙县</t>
    </r>
    <r>
      <rPr>
        <sz val="11"/>
        <color theme="1"/>
        <rFont val="ＭＳ Ｐゴシック"/>
        <family val="3"/>
        <charset val="128"/>
        <scheme val="minor"/>
      </rPr>
      <t>宙</t>
    </r>
    <r>
      <rPr>
        <sz val="11"/>
        <color theme="1"/>
        <rFont val="ＭＳ Ｐゴシック"/>
        <family val="3"/>
        <charset val="134"/>
        <scheme val="minor"/>
      </rPr>
      <t>兴农业专业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</si>
  <si>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青梅酒;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白酒; 果酒; 高粱酒;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甜果酒;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草莓酒</t>
    </r>
  </si>
  <si>
    <r>
      <t>京酒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瓶</t>
    </r>
  </si>
  <si>
    <r>
      <t>乔</t>
    </r>
    <r>
      <rPr>
        <sz val="11"/>
        <color theme="1"/>
        <rFont val="ＭＳ Ｐゴシック"/>
        <family val="3"/>
        <charset val="128"/>
        <scheme val="minor"/>
      </rPr>
      <t>立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</si>
  <si>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 xml:space="preserve">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</si>
  <si>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豫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方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</si>
  <si>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</si>
  <si>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老媳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</si>
  <si>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清酒; 梅酒; 果酒; 蜂蜜酒; 白酒</t>
    </r>
  </si>
  <si>
    <r>
      <t>粮媳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</si>
  <si>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清酒; 果酒;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</si>
  <si>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t>玉赤源</t>
  </si>
  <si>
    <t>童翠娥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</si>
  <si>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</si>
  <si>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伊</t>
    </r>
    <r>
      <rPr>
        <sz val="11"/>
        <color theme="1"/>
        <rFont val="ＭＳ Ｐゴシック"/>
        <family val="3"/>
        <charset val="134"/>
        <scheme val="minor"/>
      </rPr>
      <t>锘绽</t>
    </r>
    <r>
      <rPr>
        <sz val="11"/>
        <color theme="1"/>
        <rFont val="ＭＳ Ｐゴシック"/>
        <family val="3"/>
        <charset val="128"/>
        <scheme val="minor"/>
      </rPr>
      <t>放</t>
    </r>
  </si>
  <si>
    <r>
      <t>开胃酒; 葡萄酒;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威士忌; 果酒（含酒精）</t>
    </r>
  </si>
  <si>
    <t>SARA WONG</t>
  </si>
  <si>
    <r>
      <t>云</t>
    </r>
    <r>
      <rPr>
        <sz val="11"/>
        <color theme="1"/>
        <rFont val="ＭＳ Ｐゴシック"/>
        <family val="3"/>
        <charset val="134"/>
        <scheme val="minor"/>
      </rPr>
      <t>创设计</t>
    </r>
    <r>
      <rPr>
        <sz val="11"/>
        <color theme="1"/>
        <rFont val="ＭＳ Ｐゴシック"/>
        <family val="3"/>
        <charset val="128"/>
        <scheme val="minor"/>
      </rPr>
      <t>（深圳）集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</si>
  <si>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苹果酒;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</si>
  <si>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京台玖</t>
    </r>
    <r>
      <rPr>
        <sz val="11"/>
        <color theme="1"/>
        <rFont val="ＭＳ Ｐゴシック"/>
        <family val="3"/>
        <charset val="134"/>
        <scheme val="minor"/>
      </rPr>
      <t>贝</t>
    </r>
  </si>
  <si>
    <r>
      <t>白酒; 白干酒（中国白酒）;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果酒（含酒精）; 葡萄酒; 黄酒;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</si>
  <si>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珂</t>
    </r>
    <r>
      <rPr>
        <sz val="11"/>
        <color theme="1"/>
        <rFont val="ＭＳ Ｐゴシック"/>
        <family val="3"/>
        <charset val="134"/>
        <scheme val="minor"/>
      </rPr>
      <t>卢</t>
    </r>
  </si>
  <si>
    <r>
      <t>中成国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易（上海）有限公司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</si>
  <si>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黄酒; 威士忌; 清酒; 白酒;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</si>
  <si>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珂楼</t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</si>
  <si>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伏特加酒; 清酒;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</si>
  <si>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珍台宋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</si>
  <si>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食用酒精;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开胃酒</t>
    </r>
  </si>
  <si>
    <r>
      <t>珍</t>
    </r>
    <r>
      <rPr>
        <sz val="11"/>
        <color theme="1"/>
        <rFont val="ＭＳ Ｐゴシック"/>
        <family val="3"/>
        <charset val="134"/>
        <scheme val="minor"/>
      </rPr>
      <t>团圆</t>
    </r>
  </si>
  <si>
    <r>
      <t>果酒（含酒精）; 利口酒;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</t>
    </r>
  </si>
  <si>
    <t>席谷</t>
  </si>
  <si>
    <t>唐生林</t>
  </si>
  <si>
    <r>
      <t xml:space="preserve">黄酒; 清酒; 白酒; 米酒; 露酒;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</si>
  <si>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伏特加酒</t>
    </r>
  </si>
  <si>
    <r>
      <t>千</t>
    </r>
    <r>
      <rPr>
        <sz val="11"/>
        <color theme="1"/>
        <rFont val="ＭＳ Ｐゴシック"/>
        <family val="3"/>
        <charset val="134"/>
        <scheme val="minor"/>
      </rPr>
      <t>载华</t>
    </r>
    <r>
      <rPr>
        <sz val="11"/>
        <color theme="1"/>
        <rFont val="ＭＳ Ｐゴシック"/>
        <family val="3"/>
        <charset val="128"/>
        <scheme val="minor"/>
      </rPr>
      <t>夏</t>
    </r>
  </si>
  <si>
    <r>
      <t>深圳醉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海商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</si>
  <si>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</t>
    </r>
  </si>
  <si>
    <r>
      <t>荷</t>
    </r>
    <r>
      <rPr>
        <sz val="11"/>
        <color theme="1"/>
        <rFont val="ＭＳ Ｐゴシック"/>
        <family val="3"/>
        <charset val="134"/>
        <scheme val="minor"/>
      </rPr>
      <t>处寻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</si>
  <si>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露酒; 葡萄酒; 食用酒精; 米酒; 白酒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</si>
  <si>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白酒</t>
    </r>
  </si>
  <si>
    <t>巍屹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</si>
  <si>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伏特加酒; 黄酒; 米酒; 白酒;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</si>
  <si>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r>
      <t>聊品</t>
    </r>
    <r>
      <rPr>
        <sz val="11"/>
        <color theme="1"/>
        <rFont val="ＭＳ Ｐゴシック"/>
        <family val="3"/>
        <charset val="134"/>
        <scheme val="minor"/>
      </rPr>
      <t>丝</t>
    </r>
    <r>
      <rPr>
        <sz val="11"/>
        <color theme="1"/>
        <rFont val="ＭＳ Ｐゴシック"/>
        <family val="3"/>
        <charset val="128"/>
        <scheme val="minor"/>
      </rPr>
      <t>路</t>
    </r>
  </si>
  <si>
    <t>刘春志</t>
  </si>
  <si>
    <r>
      <t xml:space="preserve">开胃酒; 威士忌; 黄酒; 果酒（含酒精）;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</si>
  <si>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智然萃</t>
  </si>
  <si>
    <r>
      <t>轩</t>
    </r>
    <r>
      <rPr>
        <sz val="11"/>
        <color theme="1"/>
        <rFont val="ＭＳ Ｐゴシック"/>
        <family val="3"/>
        <charset val="128"/>
        <scheme val="minor"/>
      </rPr>
      <t>来武</t>
    </r>
  </si>
  <si>
    <t>米酒; 黄酒; 清酒; 甜酒; 白酒; 食用酒精; 开胃酒; 果酒; 汽酒; 葡萄酒</t>
  </si>
  <si>
    <t>DELAHAYE</t>
  </si>
  <si>
    <r>
      <t>德拉雷及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合有限公司</t>
    </r>
  </si>
  <si>
    <r>
      <t xml:space="preserve">白酒; 伏特加酒; 果酒; 威士忌; 葡萄酒; 薄荷酒; 黄酒; 水果汽酒;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</si>
  <si>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卡</t>
    </r>
    <r>
      <rPr>
        <sz val="11"/>
        <color theme="1"/>
        <rFont val="ＭＳ Ｐゴシック"/>
        <family val="3"/>
        <charset val="134"/>
        <scheme val="minor"/>
      </rPr>
      <t>积</t>
    </r>
  </si>
  <si>
    <t>袁静静</t>
  </si>
  <si>
    <r>
      <t xml:space="preserve">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</si>
  <si>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非凡光阴</t>
  </si>
  <si>
    <t>金笛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</si>
  <si>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米酒;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</si>
  <si>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MIXCAT</t>
  </si>
  <si>
    <r>
      <t xml:space="preserve">果酒（含酒精）;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</si>
  <si>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太极公</t>
  </si>
  <si>
    <r>
      <t>镇</t>
    </r>
    <r>
      <rPr>
        <sz val="11"/>
        <color theme="1"/>
        <rFont val="ＭＳ Ｐゴシック"/>
        <family val="3"/>
        <charset val="128"/>
        <scheme val="minor"/>
      </rPr>
      <t>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嘉艮百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店（个体工商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</si>
  <si>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食用酒精; 黄酒; 白酒; 葡萄酒; 青稞酒; 清酒（日本米酒）</t>
    </r>
  </si>
  <si>
    <r>
      <t>海南履是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</si>
  <si>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</si>
  <si>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荷宴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</si>
  <si>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群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</si>
  <si>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汽酒; 蜂蜜酒; 白酒</t>
    </r>
  </si>
  <si>
    <r>
      <t>杏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意</t>
    </r>
  </si>
  <si>
    <r>
      <t>朱建</t>
    </r>
    <r>
      <rPr>
        <sz val="11"/>
        <color theme="1"/>
        <rFont val="ＭＳ Ｐゴシック"/>
        <family val="3"/>
        <charset val="134"/>
        <scheme val="minor"/>
      </rPr>
      <t>发</t>
    </r>
  </si>
  <si>
    <r>
      <t xml:space="preserve">葡萄酒; 清酒（日本米酒）; 威士忌; 米酒; 烈酒; 白酒;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</t>
    </r>
  </si>
  <si>
    <t>乾派</t>
  </si>
  <si>
    <t>于紫微</t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</si>
  <si>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食用酒精</t>
    </r>
  </si>
  <si>
    <t>乾英</t>
  </si>
  <si>
    <r>
      <t>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葡萄酒; 汽酒;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</si>
  <si>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舜谷井</t>
  </si>
  <si>
    <r>
      <t>廖</t>
    </r>
    <r>
      <rPr>
        <sz val="11"/>
        <color theme="1"/>
        <rFont val="ＭＳ Ｐゴシック"/>
        <family val="3"/>
        <charset val="134"/>
        <scheme val="minor"/>
      </rPr>
      <t>艳</t>
    </r>
    <r>
      <rPr>
        <sz val="11"/>
        <color theme="1"/>
        <rFont val="ＭＳ Ｐゴシック"/>
        <family val="3"/>
        <charset val="128"/>
        <scheme val="minor"/>
      </rPr>
      <t>阳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</si>
  <si>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清酒; 高粱酒; 黄酒; 果酒; 白酒</t>
    </r>
  </si>
  <si>
    <t>姥云家酒</t>
  </si>
  <si>
    <r>
      <t>河北格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悦康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</si>
  <si>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青稞酒;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甜果酒; 果酒; 烈酒; 米酒;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</si>
  <si>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定四海</t>
  </si>
  <si>
    <r>
      <t xml:space="preserve">黄酒; 葡萄酒; 开胃酒;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</si>
  <si>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莆蒲</t>
  </si>
  <si>
    <r>
      <t>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清酒; 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朗姆酒</t>
    </r>
  </si>
  <si>
    <r>
      <t>旮旯</t>
    </r>
    <r>
      <rPr>
        <sz val="11"/>
        <color theme="1"/>
        <rFont val="ＭＳ Ｐゴシック"/>
        <family val="3"/>
        <charset val="128"/>
        <scheme val="minor"/>
      </rPr>
      <t>胡气儿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</si>
  <si>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丹</t>
    </r>
  </si>
  <si>
    <r>
      <t xml:space="preserve">白酒; 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蜂蜜酒; 水果汽酒;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刺五加酒; 果酒（含酒精）</t>
    </r>
  </si>
  <si>
    <r>
      <t>继</t>
    </r>
    <r>
      <rPr>
        <sz val="11"/>
        <color theme="1"/>
        <rFont val="ＭＳ Ｐゴシック"/>
        <family val="3"/>
        <charset val="128"/>
        <scheme val="minor"/>
      </rPr>
      <t>福鹿鹿通</t>
    </r>
  </si>
  <si>
    <r>
      <t>会昌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肖</t>
    </r>
    <r>
      <rPr>
        <sz val="11"/>
        <color theme="1"/>
        <rFont val="ＭＳ Ｐゴシック"/>
        <family val="3"/>
        <charset val="134"/>
        <scheme val="minor"/>
      </rPr>
      <t>继</t>
    </r>
    <r>
      <rPr>
        <sz val="11"/>
        <color theme="1"/>
        <rFont val="ＭＳ Ｐゴシック"/>
        <family val="3"/>
        <charset val="128"/>
        <scheme val="minor"/>
      </rPr>
      <t>特种</t>
    </r>
    <r>
      <rPr>
        <sz val="11"/>
        <color theme="1"/>
        <rFont val="ＭＳ Ｐゴシック"/>
        <family val="3"/>
        <charset val="134"/>
        <scheme val="minor"/>
      </rPr>
      <t>训</t>
    </r>
    <r>
      <rPr>
        <sz val="11"/>
        <color theme="1"/>
        <rFont val="ＭＳ Ｐゴシック"/>
        <family val="3"/>
        <charset val="128"/>
        <scheme val="minor"/>
      </rPr>
      <t>养繁殖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</si>
  <si>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</si>
  <si>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船卡佩汀</t>
    </r>
  </si>
  <si>
    <r>
      <t>烟台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仕酒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</si>
  <si>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黄酒; 朗姆酒; 威士忌</t>
    </r>
  </si>
  <si>
    <t>佐治熊</t>
  </si>
  <si>
    <r>
      <t>北京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美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</si>
  <si>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开胃酒; 烈酒;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</si>
  <si>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晶福</t>
    </r>
  </si>
  <si>
    <r>
      <t>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威士忌; 薄荷酒</t>
    </r>
  </si>
  <si>
    <t>翠云朗</t>
  </si>
  <si>
    <r>
      <t>四川天南双</t>
    </r>
    <r>
      <rPr>
        <sz val="11"/>
        <color theme="1"/>
        <rFont val="ＭＳ Ｐゴシック"/>
        <family val="3"/>
        <charset val="134"/>
        <scheme val="minor"/>
      </rPr>
      <t>鲤贸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</si>
  <si>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</t>
    </r>
  </si>
  <si>
    <r>
      <t>朗花</t>
    </r>
    <r>
      <rPr>
        <sz val="11"/>
        <color theme="1"/>
        <rFont val="ＭＳ Ｐゴシック"/>
        <family val="3"/>
        <charset val="134"/>
        <scheme val="minor"/>
      </rPr>
      <t>隐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</si>
  <si>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</si>
  <si>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衡昌弘云</t>
  </si>
  <si>
    <r>
      <t xml:space="preserve">白干酒（中国白酒）; 白酒; 开胃酒; 高粱酒;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蒸煮提取物（利口酒和烈酒）; 五加皮酒（中国混合烈酒）; 黄酒</t>
    </r>
  </si>
  <si>
    <t>福熹馥郁</t>
  </si>
  <si>
    <r>
      <t>罗</t>
    </r>
    <r>
      <rPr>
        <sz val="11"/>
        <color theme="1"/>
        <rFont val="ＭＳ Ｐゴシック"/>
        <family val="3"/>
        <charset val="128"/>
        <scheme val="minor"/>
      </rPr>
      <t>善</t>
    </r>
  </si>
  <si>
    <r>
      <t xml:space="preserve">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</si>
  <si>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弗雷吉</t>
    </r>
    <r>
      <rPr>
        <sz val="11"/>
        <color theme="1"/>
        <rFont val="ＭＳ Ｐゴシック"/>
        <family val="3"/>
        <charset val="134"/>
        <scheme val="minor"/>
      </rPr>
      <t>亚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</si>
  <si>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白酒; 开胃酒; 米酒; 威士忌; 清酒（日本米酒）</t>
    </r>
  </si>
  <si>
    <t>保京者</t>
  </si>
  <si>
    <r>
      <t>涿鹿天行健生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</si>
  <si>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</si>
  <si>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珍台秦</t>
    </r>
  </si>
  <si>
    <r>
      <t xml:space="preserve">清酒（日本米酒）; 葡萄酒;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</t>
    </r>
  </si>
  <si>
    <t>舜盟</t>
  </si>
  <si>
    <r>
      <t>深圳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英新媒体技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</si>
  <si>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黄酒; 果酒（含酒精）; 葡萄酒; 米酒; 白酒; 开胃酒;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</t>
    </r>
  </si>
  <si>
    <t>酩傲</t>
  </si>
  <si>
    <r>
      <t>广州酩傲商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</si>
  <si>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</si>
  <si>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御医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光</t>
    </r>
  </si>
  <si>
    <r>
      <t>曾小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</si>
  <si>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 xml:space="preserve">米酒; 葡萄酒; 蜂蜜酒;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开胃酒</t>
    </r>
  </si>
  <si>
    <t>洽咕醇</t>
  </si>
  <si>
    <r>
      <t>深圳市普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包装制品有限公司</t>
    </r>
  </si>
  <si>
    <r>
      <t>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含酒精的气泡水;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</si>
  <si>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乾</t>
    </r>
    <r>
      <rPr>
        <sz val="11"/>
        <color theme="1"/>
        <rFont val="ＭＳ Ｐゴシック"/>
        <family val="3"/>
        <charset val="134"/>
        <scheme val="minor"/>
      </rPr>
      <t>历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</si>
  <si>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食用酒精; 葡萄酒; 米酒</t>
    </r>
  </si>
  <si>
    <r>
      <t>儒礼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</si>
  <si>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西盛唐立德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保工程有限公司</t>
    </r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</si>
  <si>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烈性干酒; 米酒;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</si>
  <si>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闪</t>
    </r>
    <r>
      <rPr>
        <sz val="11"/>
        <color theme="1"/>
        <rFont val="ＭＳ Ｐゴシック"/>
        <family val="3"/>
        <charset val="128"/>
        <scheme val="minor"/>
      </rPr>
      <t>悦沸点</t>
    </r>
  </si>
  <si>
    <r>
      <t>胡宏</t>
    </r>
    <r>
      <rPr>
        <sz val="11"/>
        <color theme="1"/>
        <rFont val="ＭＳ Ｐゴシック"/>
        <family val="3"/>
        <charset val="134"/>
        <scheme val="minor"/>
      </rPr>
      <t>炜</t>
    </r>
  </si>
  <si>
    <r>
      <t>黄酒; 葡萄酒; 白葡萄酒;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</si>
  <si>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文浩福</t>
  </si>
  <si>
    <r>
      <t>肖金</t>
    </r>
    <r>
      <rPr>
        <sz val="11"/>
        <color theme="1"/>
        <rFont val="ＭＳ Ｐゴシック"/>
        <family val="3"/>
        <charset val="134"/>
        <scheme val="minor"/>
      </rPr>
      <t>莲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</si>
  <si>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甘蔗制烈酒; 甜酒; 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高粱酒</t>
    </r>
  </si>
  <si>
    <r>
      <t>洋媳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</si>
  <si>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梅酒; 威士忌;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蜂蜜酒; 葡萄酒; 白酒</t>
    </r>
  </si>
  <si>
    <r>
      <t>衡</t>
    </r>
    <r>
      <rPr>
        <sz val="11"/>
        <color theme="1"/>
        <rFont val="ＭＳ Ｐゴシック"/>
        <family val="3"/>
        <charset val="129"/>
        <scheme val="minor"/>
      </rPr>
      <t>龘</t>
    </r>
  </si>
  <si>
    <r>
      <t>衡水五粮坊酒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</si>
  <si>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清酒（日本米酒）; 果酒（含酒精）</t>
    </r>
  </si>
  <si>
    <t>醉迎年</t>
  </si>
  <si>
    <r>
      <t>白酒; 米酒; 葡萄酒; 果酒（含酒精）; 汽酒;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</si>
  <si>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沪川涌二曲</t>
  </si>
  <si>
    <r>
      <t>李海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</si>
  <si>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青稞酒; 伏特加酒;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白酒; 米酒; 黄酒</t>
    </r>
  </si>
  <si>
    <r>
      <t>内</t>
    </r>
    <r>
      <rPr>
        <sz val="11"/>
        <color theme="1"/>
        <rFont val="ＭＳ Ｐゴシック"/>
        <family val="3"/>
        <charset val="134"/>
        <scheme val="minor"/>
      </rPr>
      <t>晓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</si>
  <si>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</si>
  <si>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匠心文</t>
    </r>
    <r>
      <rPr>
        <sz val="11"/>
        <color theme="1"/>
        <rFont val="ＭＳ Ｐゴシック"/>
        <family val="3"/>
        <charset val="134"/>
        <scheme val="minor"/>
      </rPr>
      <t>崡</t>
    </r>
  </si>
  <si>
    <t>邓键</t>
  </si>
  <si>
    <r>
      <t xml:space="preserve">白酒;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</t>
    </r>
  </si>
  <si>
    <t>京台欤也</t>
  </si>
  <si>
    <r>
      <t>果酒（含酒精）;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黄酒; 白干酒（中国白酒）;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</si>
  <si>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儒</t>
    </r>
    <r>
      <rPr>
        <sz val="11"/>
        <color theme="1"/>
        <rFont val="ＭＳ Ｐゴシック"/>
        <family val="3"/>
        <charset val="134"/>
        <scheme val="minor"/>
      </rPr>
      <t>门骄</t>
    </r>
    <r>
      <rPr>
        <sz val="11"/>
        <color theme="1"/>
        <rFont val="ＭＳ Ｐゴシック"/>
        <family val="3"/>
        <charset val="128"/>
        <scheme val="minor"/>
      </rPr>
      <t>子</t>
    </r>
  </si>
  <si>
    <r>
      <t>蜂蜜酒;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</t>
    </r>
  </si>
  <si>
    <t>万鹿神</t>
  </si>
  <si>
    <r>
      <t>陆</t>
    </r>
    <r>
      <rPr>
        <sz val="11"/>
        <color theme="1"/>
        <rFont val="ＭＳ Ｐゴシック"/>
        <family val="3"/>
        <charset val="128"/>
        <scheme val="minor"/>
      </rPr>
      <t>宝</t>
    </r>
  </si>
  <si>
    <r>
      <t xml:space="preserve">清酒（日本米酒）; 果酒（含酒精）;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</si>
  <si>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鹿十一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</si>
  <si>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梨酒</t>
    </r>
  </si>
  <si>
    <r>
      <t>朝</t>
    </r>
    <r>
      <rPr>
        <sz val="11"/>
        <color theme="1"/>
        <rFont val="ＭＳ Ｐゴシック"/>
        <family val="3"/>
        <charset val="134"/>
        <scheme val="minor"/>
      </rPr>
      <t>隐</t>
    </r>
  </si>
  <si>
    <r>
      <t>晏海清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（北京）文化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</si>
  <si>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苹果酒; 餐后酒（利口酒和烈酒）;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</si>
  <si>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醉世臻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</si>
  <si>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市醉世酒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</si>
  <si>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葡萄酒;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薄荷酒</t>
    </r>
  </si>
  <si>
    <r>
      <t>谏</t>
    </r>
    <r>
      <rPr>
        <sz val="11"/>
        <color theme="1"/>
        <rFont val="ＭＳ Ｐゴシック"/>
        <family val="3"/>
        <charset val="128"/>
        <scheme val="minor"/>
      </rPr>
      <t>谷</t>
    </r>
  </si>
  <si>
    <t>黄廷康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</si>
  <si>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米酒; 露酒; 高粱酒; 清酒; 黄酒;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</si>
  <si>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湖北</t>
    </r>
    <r>
      <rPr>
        <sz val="11"/>
        <color theme="1"/>
        <rFont val="ＭＳ Ｐゴシック"/>
        <family val="3"/>
        <charset val="134"/>
        <scheme val="minor"/>
      </rPr>
      <t>迈</t>
    </r>
    <r>
      <rPr>
        <sz val="11"/>
        <color theme="1"/>
        <rFont val="ＭＳ Ｐゴシック"/>
        <family val="3"/>
        <charset val="128"/>
        <scheme val="minor"/>
      </rPr>
      <t>德品牌管理有限公司</t>
    </r>
  </si>
  <si>
    <r>
      <t xml:space="preserve">餐后酒（利口酒和烈酒）;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开胃酒; 威士忌; 日本梅子酒; 果酒（含酒精）; 米酒;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</si>
  <si>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舟滏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人</t>
    </r>
  </si>
  <si>
    <r>
      <t xml:space="preserve">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米酒; 烈性干酒; 白干酒（中国白酒）; 高粱酒</t>
    </r>
  </si>
  <si>
    <t>橙心叶</t>
  </si>
  <si>
    <r>
      <t>中</t>
    </r>
    <r>
      <rPr>
        <sz val="11"/>
        <color theme="1"/>
        <rFont val="ＭＳ Ｐゴシック"/>
        <family val="3"/>
        <charset val="134"/>
        <scheme val="minor"/>
      </rPr>
      <t>报</t>
    </r>
    <r>
      <rPr>
        <sz val="11"/>
        <color theme="1"/>
        <rFont val="ＭＳ Ｐゴシック"/>
        <family val="3"/>
        <charset val="128"/>
        <scheme val="minor"/>
      </rPr>
      <t>国道（北京）国</t>
    </r>
    <r>
      <rPr>
        <sz val="11"/>
        <color theme="1"/>
        <rFont val="ＭＳ Ｐゴシック"/>
        <family val="3"/>
        <charset val="134"/>
        <scheme val="minor"/>
      </rPr>
      <t>际传</t>
    </r>
    <r>
      <rPr>
        <sz val="11"/>
        <color theme="1"/>
        <rFont val="ＭＳ Ｐゴシック"/>
        <family val="3"/>
        <charset val="128"/>
        <scheme val="minor"/>
      </rPr>
      <t>媒文化有限公司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</si>
  <si>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果酒（含酒精）; 白酒;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</si>
  <si>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法法</t>
    </r>
    <r>
      <rPr>
        <sz val="11"/>
        <color theme="1"/>
        <rFont val="ＭＳ Ｐゴシック"/>
        <family val="3"/>
        <charset val="134"/>
        <scheme val="minor"/>
      </rPr>
      <t>滚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</si>
  <si>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远贵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</si>
  <si>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开胃酒; 果酒</t>
    </r>
  </si>
  <si>
    <t>合必盛</t>
  </si>
  <si>
    <t>吉林市朋庄食品有限公司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</si>
  <si>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白酒</t>
    </r>
  </si>
  <si>
    <r>
      <t>鑫民</t>
    </r>
    <r>
      <rPr>
        <sz val="11"/>
        <color theme="1"/>
        <rFont val="ＭＳ Ｐゴシック"/>
        <family val="3"/>
        <charset val="134"/>
        <scheme val="minor"/>
      </rPr>
      <t>谣</t>
    </r>
  </si>
  <si>
    <r>
      <t>上海鼙懿文化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</si>
  <si>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威士忌; 白酒; 黄酒; 开胃酒; 葡萄酒;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</si>
  <si>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吟友</t>
    </r>
    <r>
      <rPr>
        <sz val="11"/>
        <color theme="1"/>
        <rFont val="ＭＳ Ｐゴシック"/>
        <family val="3"/>
        <charset val="134"/>
        <scheme val="minor"/>
      </rPr>
      <t>记</t>
    </r>
  </si>
  <si>
    <t>李俊霞</t>
  </si>
  <si>
    <r>
      <t>果酒（含酒精）; 开胃酒; 果酒; 蝮蛇酒; 利口酒; 烈酒; 白酒; 苹果酒;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</si>
  <si>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纬飞</t>
    </r>
    <r>
      <rPr>
        <sz val="11"/>
        <color theme="1"/>
        <rFont val="ＭＳ Ｐゴシック"/>
        <family val="3"/>
        <charset val="128"/>
        <scheme val="minor"/>
      </rPr>
      <t>越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</si>
  <si>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</si>
  <si>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愈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玫香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</si>
  <si>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粮草先行网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</si>
  <si>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苹果酒; 葡萄酒;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</si>
  <si>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t>梅昔雪</t>
  </si>
  <si>
    <t>沈武勇</t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</si>
  <si>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梅酒; 烈酒; 白酒; 米酒; 青梅酒; 清酒</t>
    </r>
  </si>
  <si>
    <t>雍和小七</t>
  </si>
  <si>
    <r>
      <t>北京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世</t>
    </r>
    <r>
      <rPr>
        <sz val="11"/>
        <color theme="1"/>
        <rFont val="ＭＳ Ｐゴシック"/>
        <family val="3"/>
        <charset val="134"/>
        <scheme val="minor"/>
      </rPr>
      <t>华亿</t>
    </r>
    <r>
      <rPr>
        <sz val="11"/>
        <color theme="1"/>
        <rFont val="ＭＳ Ｐゴシック"/>
        <family val="3"/>
        <charset val="128"/>
        <scheme val="minor"/>
      </rPr>
      <t>文化科技有限公司</t>
    </r>
  </si>
  <si>
    <r>
      <t>果酒（含酒精）; 开胃酒; 蜂蜜酒;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</si>
  <si>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巍矗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</si>
  <si>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伏特加酒;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黄酒</t>
    </r>
  </si>
  <si>
    <t>子德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</si>
  <si>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白干酒（中国白酒）;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露酒;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</si>
  <si>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叁盏乐</t>
  </si>
  <si>
    <r>
      <t>张</t>
    </r>
    <r>
      <rPr>
        <sz val="11"/>
        <color theme="1"/>
        <rFont val="ＭＳ Ｐゴシック"/>
        <family val="3"/>
        <charset val="128"/>
        <scheme val="minor"/>
      </rPr>
      <t>士春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</si>
  <si>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白酒</t>
    </r>
  </si>
  <si>
    <t>梅里金川</t>
  </si>
  <si>
    <r>
      <t>云南星沙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</si>
  <si>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加烈葡萄酒; 葡萄酒; 不起泡葡萄酒;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白葡萄酒; 餐后酒（利口酒和烈酒）; 葡萄潘趣酒</t>
    </r>
  </si>
  <si>
    <t>东视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</si>
  <si>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庆腾</t>
    </r>
    <r>
      <rPr>
        <sz val="11"/>
        <color theme="1"/>
        <rFont val="ＭＳ Ｐゴシック"/>
        <family val="3"/>
        <charset val="128"/>
        <scheme val="minor"/>
      </rPr>
      <t>瑞达酒水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</si>
  <si>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甜酒; 梅酒; 葡萄酒; 米酒</t>
    </r>
  </si>
  <si>
    <t>MAXRIENY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</si>
  <si>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葡萄酒;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</t>
    </r>
  </si>
  <si>
    <t>津宝地</t>
  </si>
  <si>
    <r>
      <t>天津新品源酒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</si>
  <si>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食用酒精; 白酒</t>
    </r>
  </si>
  <si>
    <t>迴峰美久</t>
  </si>
  <si>
    <r>
      <t>长</t>
    </r>
    <r>
      <rPr>
        <sz val="11"/>
        <color theme="1"/>
        <rFont val="ＭＳ Ｐゴシック"/>
        <family val="3"/>
        <charset val="128"/>
        <scheme val="minor"/>
      </rPr>
      <t>沙市金伙伴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</si>
  <si>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</si>
  <si>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杏来花禧</t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</si>
  <si>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米酒; 青稞酒; 清酒（日本米酒）; 果酒（含酒精）; 威士忌; 黄酒</t>
    </r>
  </si>
  <si>
    <t>帝京尚食坊</t>
  </si>
  <si>
    <r>
      <t>北京金麦谷商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</si>
  <si>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</t>
    </r>
  </si>
  <si>
    <t>阿伯格</t>
  </si>
  <si>
    <r>
      <t>广州数</t>
    </r>
    <r>
      <rPr>
        <sz val="11"/>
        <color theme="1"/>
        <rFont val="ＭＳ Ｐゴシック"/>
        <family val="3"/>
        <charset val="134"/>
        <scheme val="minor"/>
      </rPr>
      <t>锐</t>
    </r>
    <r>
      <rPr>
        <sz val="11"/>
        <color theme="1"/>
        <rFont val="ＭＳ Ｐゴシック"/>
        <family val="3"/>
        <charset val="128"/>
        <scheme val="minor"/>
      </rPr>
      <t>智能科技有限公司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</si>
  <si>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</t>
    </r>
  </si>
  <si>
    <r>
      <t>酒香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峰</t>
    </r>
  </si>
  <si>
    <t>杭州畲情文化旅游有限公司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</si>
  <si>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甜酒</t>
    </r>
  </si>
  <si>
    <t>昶园</t>
  </si>
  <si>
    <r>
      <t>河南登品商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</si>
  <si>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果酒（含酒精）; 苹果酒;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蜂蜜酒; 威士忌</t>
    </r>
  </si>
  <si>
    <t>竹公子</t>
  </si>
  <si>
    <r>
      <t>泰安市泰达酒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</si>
  <si>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苦艾酒;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露酒; 果酒; 清酒</t>
    </r>
  </si>
  <si>
    <r>
      <t>梅</t>
    </r>
    <r>
      <rPr>
        <sz val="11"/>
        <color theme="1"/>
        <rFont val="ＭＳ Ｐゴシック"/>
        <family val="3"/>
        <charset val="134"/>
        <scheme val="minor"/>
      </rPr>
      <t>满欢</t>
    </r>
  </si>
  <si>
    <r>
      <t xml:space="preserve">白酒; 青梅酒; 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清酒; 烈酒;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</si>
  <si>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梦清州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</si>
  <si>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果酒（含酒精）;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</si>
  <si>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庆</t>
    </r>
    <r>
      <rPr>
        <sz val="11"/>
        <color theme="1"/>
        <rFont val="ＭＳ Ｐゴシック"/>
        <family val="3"/>
        <charset val="128"/>
        <scheme val="minor"/>
      </rPr>
      <t>檀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</si>
  <si>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伏特加酒</t>
    </r>
  </si>
  <si>
    <r>
      <t>秦船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 xml:space="preserve"> PROFESSIONAL CAPTAIN</t>
    </r>
  </si>
  <si>
    <t>秦新旺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</si>
  <si>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主的除外); 黄酒; 果酒; 米酒;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</si>
  <si>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艾格威</t>
  </si>
  <si>
    <t>玖佳制冷(六安)有限公司</t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</si>
  <si>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</si>
  <si>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海囝壹号</t>
  </si>
  <si>
    <t>保定市警康交通防盗器材有限公司</t>
  </si>
  <si>
    <r>
      <t>葡萄酒; 黄酒; 高粱酒;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</t>
    </r>
  </si>
  <si>
    <t>膳仁福</t>
  </si>
  <si>
    <r>
      <t>康</t>
    </r>
    <r>
      <rPr>
        <sz val="11"/>
        <color theme="1"/>
        <rFont val="ＭＳ Ｐゴシック"/>
        <family val="3"/>
        <charset val="134"/>
        <scheme val="minor"/>
      </rPr>
      <t>书华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</si>
  <si>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米酒;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食用酒精</t>
    </r>
  </si>
  <si>
    <t>财珑迈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</si>
  <si>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庆珑迈农业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展有限公司丰都分公司</t>
    </r>
  </si>
  <si>
    <r>
      <t>白酒; 威士忌; 加烈葡萄酒;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葡萄酒;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白干酒（中国白酒）;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</si>
  <si>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史大哥</t>
  </si>
  <si>
    <r>
      <t>郏县</t>
    </r>
    <r>
      <rPr>
        <sz val="11"/>
        <color theme="1"/>
        <rFont val="ＭＳ Ｐゴシック"/>
        <family val="3"/>
        <charset val="128"/>
        <scheme val="minor"/>
      </rPr>
      <t>万客来商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</si>
  <si>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果酒（含酒精）;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</si>
  <si>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誊</t>
    </r>
  </si>
  <si>
    <r>
      <t xml:space="preserve">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黄酒; 米酒; 葡萄酒;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</t>
    </r>
  </si>
  <si>
    <t>福帝泉</t>
  </si>
  <si>
    <r>
      <t>果酒;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清酒（日本米酒）;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</si>
  <si>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华赟</t>
    </r>
    <r>
      <rPr>
        <sz val="11"/>
        <color theme="1"/>
        <rFont val="ＭＳ Ｐゴシック"/>
        <family val="3"/>
        <charset val="128"/>
        <scheme val="minor"/>
      </rPr>
      <t>情</t>
    </r>
  </si>
  <si>
    <r>
      <t>果酒; 葡萄酒; 白酒;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汽酒; 伏特加酒</t>
    </r>
  </si>
  <si>
    <t>麦特豪</t>
  </si>
  <si>
    <r>
      <t xml:space="preserve">白酒; 伏特加酒; 黄酒;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汽酒; 葡萄酒</t>
    </r>
  </si>
  <si>
    <r>
      <t>中好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</si>
  <si>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市品藏家酒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</si>
  <si>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黄酒</t>
    </r>
  </si>
  <si>
    <r>
      <t>塞北媳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</si>
  <si>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清酒; 果酒; 蜂蜜酒;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</si>
  <si>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猫声奇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</si>
  <si>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林仁</t>
    </r>
    <r>
      <rPr>
        <sz val="11"/>
        <color theme="1"/>
        <rFont val="ＭＳ Ｐゴシック"/>
        <family val="3"/>
        <charset val="134"/>
        <scheme val="minor"/>
      </rPr>
      <t>鱼</t>
    </r>
    <r>
      <rPr>
        <sz val="11"/>
        <color theme="1"/>
        <rFont val="ＭＳ Ｐゴシック"/>
        <family val="3"/>
        <charset val="128"/>
        <scheme val="minor"/>
      </rPr>
      <t>宇</t>
    </r>
    <r>
      <rPr>
        <sz val="11"/>
        <color theme="1"/>
        <rFont val="ＭＳ Ｐゴシック"/>
        <family val="3"/>
        <charset val="134"/>
        <scheme val="minor"/>
      </rPr>
      <t>经贸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</si>
  <si>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梨酒;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</si>
  <si>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ZHONGWEIFLY</t>
  </si>
  <si>
    <r>
      <t>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白葡萄酒;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</si>
  <si>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梦今</t>
    </r>
    <r>
      <rPr>
        <sz val="11"/>
        <color theme="1"/>
        <rFont val="ＭＳ Ｐゴシック"/>
        <family val="3"/>
        <charset val="134"/>
        <scheme val="minor"/>
      </rPr>
      <t>鸿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</si>
  <si>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伏特加酒; 果酒（含酒精）;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葡萄酒</t>
    </r>
  </si>
  <si>
    <t>稻京陵</t>
  </si>
  <si>
    <r>
      <t>威士忌; 白酒; 米酒;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</si>
  <si>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浓</t>
    </r>
    <r>
      <rPr>
        <sz val="11"/>
        <color theme="1"/>
        <rFont val="ＭＳ Ｐゴシック"/>
        <family val="3"/>
        <charset val="128"/>
        <scheme val="minor"/>
      </rPr>
      <t>无</t>
    </r>
    <r>
      <rPr>
        <sz val="11"/>
        <color theme="1"/>
        <rFont val="ＭＳ Ｐゴシック"/>
        <family val="3"/>
        <charset val="134"/>
        <scheme val="minor"/>
      </rPr>
      <t>敌</t>
    </r>
  </si>
  <si>
    <r>
      <t>成都永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形象塑造有限公司</t>
    </r>
  </si>
  <si>
    <r>
      <t>果酒（含酒精）;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</t>
    </r>
  </si>
  <si>
    <r>
      <t>定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一生</t>
    </r>
  </si>
  <si>
    <t>杜恒欣</t>
  </si>
  <si>
    <t>果酒; 汽酒; 清酒; 黄酒; 葡萄酒; 白酒; 米酒; 甜酒; 食用酒精; 开胃酒</t>
  </si>
  <si>
    <r>
      <t>枞</t>
    </r>
    <r>
      <rPr>
        <sz val="11"/>
        <color theme="1"/>
        <rFont val="ＭＳ Ｐゴシック"/>
        <family val="3"/>
        <charset val="128"/>
        <scheme val="minor"/>
      </rPr>
      <t>淼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</si>
  <si>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中清光伏科技有限公司</t>
    </r>
  </si>
  <si>
    <r>
      <t>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餐后酒（利口酒和烈酒）; 威士忌; 果酒（含酒精）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</si>
  <si>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悦久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</si>
  <si>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悦久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</si>
  <si>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葡萄酒; 苹果酒;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</t>
    </r>
  </si>
  <si>
    <r>
      <t>梦想之</t>
    </r>
    <r>
      <rPr>
        <sz val="11"/>
        <color theme="1"/>
        <rFont val="ＭＳ Ｐゴシック"/>
        <family val="3"/>
        <charset val="134"/>
        <scheme val="minor"/>
      </rPr>
      <t>轮</t>
    </r>
    <r>
      <rPr>
        <sz val="11"/>
        <color theme="1"/>
        <rFont val="ＭＳ Ｐゴシック"/>
        <family val="3"/>
        <charset val="128"/>
        <scheme val="minor"/>
      </rPr>
      <t>启航</t>
    </r>
  </si>
  <si>
    <r>
      <t>葡萄酒; 威士忌;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</si>
  <si>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红祎</t>
  </si>
  <si>
    <r>
      <t>石家庄</t>
    </r>
    <r>
      <rPr>
        <sz val="11"/>
        <color theme="1"/>
        <rFont val="ＭＳ Ｐゴシック"/>
        <family val="3"/>
        <charset val="134"/>
        <scheme val="minor"/>
      </rPr>
      <t>问</t>
    </r>
    <r>
      <rPr>
        <sz val="11"/>
        <color theme="1"/>
        <rFont val="ＭＳ Ｐゴシック"/>
        <family val="3"/>
        <charset val="128"/>
        <scheme val="minor"/>
      </rPr>
      <t>界商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</si>
  <si>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</si>
  <si>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亿</t>
    </r>
    <r>
      <rPr>
        <sz val="11"/>
        <color theme="1"/>
        <rFont val="ＭＳ Ｐゴシック"/>
        <family val="3"/>
        <charset val="128"/>
        <scheme val="minor"/>
      </rPr>
      <t>参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</si>
  <si>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抚</t>
    </r>
    <r>
      <rPr>
        <sz val="11"/>
        <color theme="1"/>
        <rFont val="ＭＳ Ｐゴシック"/>
        <family val="3"/>
        <charset val="128"/>
        <scheme val="minor"/>
      </rPr>
      <t>松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人参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</si>
  <si>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葡萄酒;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</si>
  <si>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英誉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</si>
  <si>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利口酒;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</si>
  <si>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r>
      <t>粱媳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</si>
  <si>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清酒; 白酒; 果酒; 蜂蜜酒</t>
    </r>
  </si>
  <si>
    <r>
      <t>晋媳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</si>
  <si>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果酒; 清酒; 蜂蜜酒; 梅酒</t>
    </r>
  </si>
  <si>
    <t>CHBIO</t>
  </si>
  <si>
    <r>
      <t>湖北全丰控股集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</si>
  <si>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薄荷酒;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苹果酒;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</si>
  <si>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迪</t>
    </r>
    <r>
      <rPr>
        <sz val="11"/>
        <color theme="1"/>
        <rFont val="ＭＳ Ｐゴシック"/>
        <family val="3"/>
        <charset val="134"/>
        <scheme val="minor"/>
      </rPr>
      <t>创氢</t>
    </r>
    <r>
      <rPr>
        <sz val="11"/>
        <color theme="1"/>
        <rFont val="ＭＳ Ｐゴシック"/>
        <family val="3"/>
        <charset val="128"/>
        <scheme val="minor"/>
      </rPr>
      <t>能源科技有限公司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</si>
  <si>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</si>
  <si>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荷央</t>
  </si>
  <si>
    <r>
      <t xml:space="preserve">食用酒精; 露酒;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葡萄酒; 果酒（含酒精）; 白酒; 米酒</t>
    </r>
  </si>
  <si>
    <t>碧水谷</t>
  </si>
  <si>
    <r>
      <t>四川碧水谷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</si>
  <si>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威士忌; 黄酒; 清酒（日本米酒）;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青梅酒;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</si>
  <si>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r>
      <t>蚂蚁</t>
    </r>
    <r>
      <rPr>
        <sz val="11"/>
        <color theme="1"/>
        <rFont val="ＭＳ Ｐゴシック"/>
        <family val="3"/>
        <charset val="128"/>
        <scheme val="minor"/>
      </rPr>
      <t>待嫁</t>
    </r>
  </si>
  <si>
    <r>
      <t>成都得</t>
    </r>
    <r>
      <rPr>
        <sz val="11"/>
        <color theme="1"/>
        <rFont val="ＭＳ Ｐゴシック"/>
        <family val="3"/>
        <charset val="134"/>
        <scheme val="minor"/>
      </rPr>
      <t>仓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</si>
  <si>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果酒;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葡萄酒;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</si>
  <si>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地之</t>
    </r>
    <r>
      <rPr>
        <sz val="11"/>
        <color theme="1"/>
        <rFont val="ＭＳ Ｐゴシック"/>
        <family val="3"/>
        <charset val="134"/>
        <scheme val="minor"/>
      </rPr>
      <t>颂</t>
    </r>
    <r>
      <rPr>
        <sz val="11"/>
        <color theme="1"/>
        <rFont val="ＭＳ Ｐゴシック"/>
        <family val="3"/>
        <charset val="128"/>
        <scheme val="minor"/>
      </rPr>
      <t>歌</t>
    </r>
  </si>
  <si>
    <r>
      <t>联</t>
    </r>
    <r>
      <rPr>
        <sz val="11"/>
        <color theme="1"/>
        <rFont val="ＭＳ Ｐゴシック"/>
        <family val="3"/>
        <charset val="128"/>
        <scheme val="minor"/>
      </rPr>
      <t>盟葡萄酒有限公司</t>
    </r>
  </si>
  <si>
    <r>
      <t>多彩行</t>
    </r>
    <r>
      <rPr>
        <sz val="11"/>
        <color theme="1"/>
        <rFont val="ＭＳ Ｐゴシック"/>
        <family val="3"/>
        <charset val="134"/>
        <scheme val="minor"/>
      </rPr>
      <t>摄</t>
    </r>
  </si>
  <si>
    <r>
      <t>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白干酒（中国白酒）;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</si>
  <si>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珍台隋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</si>
  <si>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果酒（含酒精）; 开胃酒; 食用酒精</t>
    </r>
  </si>
  <si>
    <r>
      <t>钱</t>
    </r>
    <r>
      <rPr>
        <sz val="11"/>
        <color theme="1"/>
        <rFont val="ＭＳ Ｐゴシック"/>
        <family val="3"/>
        <charset val="128"/>
        <scheme val="minor"/>
      </rPr>
      <t>冲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</si>
  <si>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鑫</t>
    </r>
  </si>
  <si>
    <r>
      <t xml:space="preserve">葡萄酒; 食用酒精;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</si>
  <si>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r>
      <t xml:space="preserve">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烈酒; 米酒; 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</si>
  <si>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秘</t>
    </r>
    <r>
      <rPr>
        <sz val="11"/>
        <color theme="1"/>
        <rFont val="ＭＳ Ｐゴシック"/>
        <family val="3"/>
        <charset val="134"/>
        <scheme val="minor"/>
      </rPr>
      <t>赏</t>
    </r>
  </si>
  <si>
    <r>
      <t>严</t>
    </r>
    <r>
      <rPr>
        <sz val="11"/>
        <color theme="1"/>
        <rFont val="ＭＳ Ｐゴシック"/>
        <family val="3"/>
        <charset val="128"/>
        <scheme val="minor"/>
      </rPr>
      <t>向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</si>
  <si>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米酒;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</t>
    </r>
  </si>
  <si>
    <r>
      <t>白酒; 葡萄酒; 烈酒;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</si>
  <si>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苗凌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</si>
  <si>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州苗洲生物科技有限公司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</si>
  <si>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白酒</t>
    </r>
  </si>
  <si>
    <t>初晚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</si>
  <si>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州金慎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</si>
  <si>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果酒</t>
    </r>
  </si>
  <si>
    <t>塞音汗</t>
  </si>
  <si>
    <r>
      <t>杨</t>
    </r>
    <r>
      <rPr>
        <sz val="11"/>
        <color theme="1"/>
        <rFont val="ＭＳ Ｐゴシック"/>
        <family val="3"/>
        <charset val="128"/>
        <scheme val="minor"/>
      </rPr>
      <t>利******************</t>
    </r>
  </si>
  <si>
    <r>
      <t>米酒;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</t>
    </r>
  </si>
  <si>
    <r>
      <t>美好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</si>
  <si>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李明</t>
    </r>
    <r>
      <rPr>
        <sz val="11"/>
        <color theme="1"/>
        <rFont val="ＭＳ Ｐゴシック"/>
        <family val="3"/>
        <charset val="134"/>
        <scheme val="minor"/>
      </rPr>
      <t>远</t>
    </r>
  </si>
  <si>
    <r>
      <t>道合言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</si>
  <si>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卢</t>
    </r>
    <r>
      <rPr>
        <sz val="11"/>
        <color theme="1"/>
        <rFont val="ＭＳ Ｐゴシック"/>
        <family val="3"/>
        <charset val="128"/>
        <scheme val="minor"/>
      </rPr>
      <t>湖洋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</si>
  <si>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</si>
  <si>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大胡李氏黄酒</t>
  </si>
  <si>
    <t>李亮亮</t>
  </si>
  <si>
    <t>AROUND OCEANIA KANGAROO RESERVE</t>
  </si>
  <si>
    <r>
      <t>上海真玖供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</si>
  <si>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开胃酒; 果酒; 白葡萄酒; 白酒; 黄酒</t>
    </r>
  </si>
  <si>
    <t>温之梦</t>
  </si>
  <si>
    <r>
      <t>福建温茗商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</si>
  <si>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果酒（含酒精）; 开胃酒; 葡萄酒; 白酒;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</si>
  <si>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钓标</t>
    </r>
    <r>
      <rPr>
        <sz val="11"/>
        <color theme="1"/>
        <rFont val="ＭＳ Ｐゴシック"/>
        <family val="3"/>
        <charset val="128"/>
        <scheme val="minor"/>
      </rPr>
      <t>食品供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</si>
  <si>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露酒; 梅酒; 果酒; 米酒; 黄酒;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威士忌</t>
    </r>
  </si>
  <si>
    <t>单闯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</si>
  <si>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太</t>
    </r>
    <r>
      <rPr>
        <sz val="11"/>
        <color theme="1"/>
        <rFont val="ＭＳ Ｐゴシック"/>
        <family val="3"/>
        <charset val="134"/>
        <scheme val="minor"/>
      </rPr>
      <t>显</t>
    </r>
    <r>
      <rPr>
        <sz val="11"/>
        <color theme="1"/>
        <rFont val="ＭＳ Ｐゴシック"/>
        <family val="3"/>
        <charset val="128"/>
        <scheme val="minor"/>
      </rPr>
      <t>眼光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</si>
  <si>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高粱酒;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烈酒; 果酒（含酒精）; 开胃酒</t>
    </r>
  </si>
  <si>
    <r>
      <t>宗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德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</si>
  <si>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洪昌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</si>
  <si>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</si>
  <si>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晋</t>
    </r>
    <r>
      <rPr>
        <sz val="11"/>
        <color theme="1"/>
        <rFont val="ＭＳ Ｐゴシック"/>
        <family val="3"/>
        <charset val="134"/>
        <scheme val="minor"/>
      </rPr>
      <t>闻闻</t>
    </r>
  </si>
  <si>
    <r>
      <t>山西杏井酒庄酒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</si>
  <si>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食用酒精;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</si>
  <si>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万香迷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</si>
  <si>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贰龙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</si>
  <si>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葡萄酒; 白酒; 黄酒; 食用酒精; 果酒; 青梅酒;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梅酒; 米酒</t>
    </r>
  </si>
  <si>
    <r>
      <t>凫</t>
    </r>
    <r>
      <rPr>
        <sz val="11"/>
        <color theme="1"/>
        <rFont val="ＭＳ Ｐゴシック"/>
        <family val="3"/>
        <charset val="128"/>
        <scheme val="minor"/>
      </rPr>
      <t>秀坊</t>
    </r>
  </si>
  <si>
    <r>
      <t>上海昌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</si>
  <si>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食用酒精; 汽酒; 清酒（日本米酒）;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</si>
  <si>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德身慧</t>
  </si>
  <si>
    <r>
      <t>米酒; 露酒;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</t>
    </r>
  </si>
  <si>
    <r>
      <t>林海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醉美狼</t>
    </r>
  </si>
  <si>
    <t>白城市圣杰食品有限公司</t>
  </si>
  <si>
    <r>
      <t xml:space="preserve">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青梅酒;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果酒（含酒精）; 葡萄酒</t>
    </r>
  </si>
  <si>
    <r>
      <t>春霖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状元醇</t>
    </r>
  </si>
  <si>
    <t>高成******************</t>
  </si>
  <si>
    <r>
      <t>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</si>
  <si>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冰</t>
    </r>
    <r>
      <rPr>
        <sz val="11"/>
        <color theme="1"/>
        <rFont val="ＭＳ Ｐゴシック"/>
        <family val="3"/>
        <charset val="134"/>
        <scheme val="minor"/>
      </rPr>
      <t>冻</t>
    </r>
    <r>
      <rPr>
        <sz val="11"/>
        <color theme="1"/>
        <rFont val="ＭＳ Ｐゴシック"/>
        <family val="3"/>
        <charset val="128"/>
        <scheme val="minor"/>
      </rPr>
      <t>圈</t>
    </r>
  </si>
  <si>
    <r>
      <t>吉林冰</t>
    </r>
    <r>
      <rPr>
        <sz val="11"/>
        <color theme="1"/>
        <rFont val="ＭＳ Ｐゴシック"/>
        <family val="3"/>
        <charset val="134"/>
        <scheme val="minor"/>
      </rPr>
      <t>冻</t>
    </r>
    <r>
      <rPr>
        <sz val="11"/>
        <color theme="1"/>
        <rFont val="ＭＳ Ｐゴシック"/>
        <family val="3"/>
        <charset val="128"/>
        <scheme val="minor"/>
      </rPr>
      <t>圈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</si>
  <si>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米酒</t>
    </r>
  </si>
  <si>
    <r>
      <t>乌</t>
    </r>
    <r>
      <rPr>
        <sz val="11"/>
        <color theme="1"/>
        <rFont val="ＭＳ Ｐゴシック"/>
        <family val="3"/>
        <charset val="128"/>
        <scheme val="minor"/>
      </rPr>
      <t>船帽王</t>
    </r>
  </si>
  <si>
    <r>
      <t>南京好女儿酒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</si>
  <si>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果酒（含酒精）; 黄酒;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</si>
  <si>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鲤</t>
    </r>
    <r>
      <rPr>
        <sz val="11"/>
        <color theme="1"/>
        <rFont val="ＭＳ Ｐゴシック"/>
        <family val="3"/>
        <charset val="128"/>
        <scheme val="minor"/>
      </rPr>
      <t>拾珍</t>
    </r>
  </si>
  <si>
    <r>
      <t>檀笑</t>
    </r>
    <r>
      <rPr>
        <sz val="11"/>
        <color theme="1"/>
        <rFont val="ＭＳ Ｐゴシック"/>
        <family val="3"/>
        <charset val="134"/>
        <scheme val="minor"/>
      </rPr>
      <t>枫</t>
    </r>
    <r>
      <rPr>
        <sz val="11"/>
        <color theme="1"/>
        <rFont val="ＭＳ Ｐゴシック"/>
        <family val="3"/>
        <charset val="128"/>
        <scheme val="minor"/>
      </rPr>
      <t>声（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阳）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</si>
  <si>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米酒; 白酒; 果酒（含酒精）;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</si>
  <si>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玖仕界</t>
  </si>
  <si>
    <r>
      <t>中尚福投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（海南）有限公司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</si>
  <si>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餐后酒（利口酒和烈酒）; 米酒; 黄酒</t>
    </r>
  </si>
  <si>
    <r>
      <t>驼</t>
    </r>
    <r>
      <rPr>
        <sz val="11"/>
        <color theme="1"/>
        <rFont val="ＭＳ Ｐゴシック"/>
        <family val="3"/>
        <charset val="128"/>
        <scheme val="minor"/>
      </rPr>
      <t>城游礼 TUOCHENG TOUR CEREMONY</t>
    </r>
  </si>
  <si>
    <r>
      <t>阿拉善盟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</si>
  <si>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甜果酒;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食用酒精</t>
    </r>
  </si>
  <si>
    <t>薛瑄</t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</si>
  <si>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</t>
    </r>
  </si>
  <si>
    <t>AROUND OCEANIA</t>
  </si>
  <si>
    <r>
      <t>米酒; 黄酒; 清酒（日本米酒）;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白酒; 果酒; 白葡萄酒</t>
    </r>
  </si>
  <si>
    <r>
      <t>劲</t>
    </r>
    <r>
      <rPr>
        <sz val="11"/>
        <color theme="1"/>
        <rFont val="ＭＳ Ｐゴシック"/>
        <family val="3"/>
        <charset val="128"/>
        <scheme val="minor"/>
      </rPr>
      <t>浪</t>
    </r>
  </si>
  <si>
    <t>侍溯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</si>
  <si>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葡萄酒; 威士忌; 汽酒; 苹果酒</t>
    </r>
  </si>
  <si>
    <r>
      <t>慧</t>
    </r>
    <r>
      <rPr>
        <sz val="11"/>
        <color theme="1"/>
        <rFont val="ＭＳ Ｐゴシック"/>
        <family val="3"/>
        <charset val="134"/>
        <scheme val="minor"/>
      </rPr>
      <t>鹤</t>
    </r>
  </si>
  <si>
    <t>王素萍</t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</si>
  <si>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清酒; 米酒;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葡萄酒</t>
    </r>
  </si>
  <si>
    <t>沪尊河</t>
  </si>
  <si>
    <r>
      <t>北京禹丞通达科技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</si>
  <si>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黄酒;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甜酒; 白酒; 果酒;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</si>
  <si>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鱼凫</t>
    </r>
    <r>
      <rPr>
        <sz val="11"/>
        <color theme="1"/>
        <rFont val="ＭＳ Ｐゴシック"/>
        <family val="3"/>
        <charset val="128"/>
        <scheme val="minor"/>
      </rPr>
      <t>盛宴</t>
    </r>
  </si>
  <si>
    <r>
      <t>成都温江</t>
    </r>
    <r>
      <rPr>
        <sz val="11"/>
        <color theme="1"/>
        <rFont val="ＭＳ Ｐゴシック"/>
        <family val="3"/>
        <charset val="134"/>
        <scheme val="minor"/>
      </rPr>
      <t>鱼凫</t>
    </r>
    <r>
      <rPr>
        <sz val="11"/>
        <color theme="1"/>
        <rFont val="ＭＳ Ｐゴシック"/>
        <family val="3"/>
        <charset val="128"/>
        <scheme val="minor"/>
      </rPr>
      <t>村酒文化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</si>
  <si>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白酒; 高粱酒; 白干酒（中国白酒）;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烈酒; 清酒; 葡萄酒</t>
    </r>
  </si>
  <si>
    <r>
      <t>硬核</t>
    </r>
    <r>
      <rPr>
        <sz val="11"/>
        <color theme="1"/>
        <rFont val="ＭＳ Ｐゴシック"/>
        <family val="3"/>
        <charset val="134"/>
        <scheme val="minor"/>
      </rPr>
      <t>兽</t>
    </r>
  </si>
  <si>
    <t>深圳追循科技有限公司</t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</si>
  <si>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</si>
  <si>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超模兔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</si>
  <si>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</si>
  <si>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曲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</si>
  <si>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丕超******************</t>
    </r>
  </si>
  <si>
    <r>
      <t xml:space="preserve">白酒; 米酒;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蜂蜜酒; 苦味酒; 梨酒; 酸酒（低等葡萄酒）; 葡萄酒</t>
    </r>
  </si>
  <si>
    <r>
      <t>卓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格桑花</t>
    </r>
  </si>
  <si>
    <t>常州月牙湖食品科技有限公司</t>
  </si>
  <si>
    <r>
      <t xml:space="preserve">青稞酒; 甜酒; 黄酒; 梅酒; 清酒; 葡萄酒;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蜂蜜酒</t>
    </r>
  </si>
  <si>
    <r>
      <t>图</t>
    </r>
    <r>
      <rPr>
        <sz val="11"/>
        <color theme="1"/>
        <rFont val="ＭＳ Ｐゴシック"/>
        <family val="3"/>
        <charset val="128"/>
        <scheme val="minor"/>
      </rPr>
      <t>又生</t>
    </r>
  </si>
  <si>
    <r>
      <t>四川屠又生食品有限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</si>
  <si>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清酒</t>
    </r>
  </si>
  <si>
    <t>首茆</t>
  </si>
  <si>
    <r>
      <t>北京麦苗香酒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</si>
  <si>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梨酒; 青稞酒;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酸酒（低等葡萄酒）; 果酒（含酒精）; 朗姆酒</t>
    </r>
  </si>
  <si>
    <t>BABA DOLL</t>
  </si>
  <si>
    <r>
      <t>杭州三分迷物文化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意有限公司</t>
    </r>
  </si>
  <si>
    <r>
      <t xml:space="preserve">果酒（含酒精）; 蜂蜜酒;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</si>
  <si>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画里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城</t>
    </r>
  </si>
  <si>
    <r>
      <t>张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利</t>
    </r>
  </si>
  <si>
    <r>
      <t xml:space="preserve">清酒（日本米酒）; 黄酒;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</si>
  <si>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准客</t>
  </si>
  <si>
    <r>
      <t>李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友</t>
    </r>
  </si>
  <si>
    <r>
      <t xml:space="preserve">含酒精的气泡水;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米酒;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</si>
  <si>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潮鋆</t>
  </si>
  <si>
    <r>
      <t>湖南潮鋆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</si>
  <si>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含酒精的气泡水; 果酒（含酒精）;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</si>
  <si>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赤天帝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</si>
  <si>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蔺</t>
    </r>
    <r>
      <rPr>
        <sz val="11"/>
        <color theme="1"/>
        <rFont val="ＭＳ Ｐゴシック"/>
        <family val="3"/>
        <charset val="128"/>
        <scheme val="minor"/>
      </rPr>
      <t>州川府酒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</si>
  <si>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米酒; 蜂蜜酒; 高粱酒</t>
    </r>
  </si>
  <si>
    <t>巡初恋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</si>
  <si>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州遵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康神酒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</si>
  <si>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利口酒;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苹果酒; 葡萄酒</t>
    </r>
  </si>
  <si>
    <t>状元侯</t>
  </si>
  <si>
    <t>陈军</t>
  </si>
  <si>
    <r>
      <t xml:space="preserve">杜松子酒;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</si>
  <si>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夏 TO SUMMER</t>
    </r>
  </si>
  <si>
    <t>北京广宜科技有限公司</t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</si>
  <si>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葡萄酒</t>
    </r>
  </si>
  <si>
    <r>
      <t>希</t>
    </r>
    <r>
      <rPr>
        <sz val="11"/>
        <color theme="1"/>
        <rFont val="ＭＳ Ｐゴシック"/>
        <family val="3"/>
        <charset val="134"/>
        <scheme val="minor"/>
      </rPr>
      <t>亚诗</t>
    </r>
  </si>
  <si>
    <r>
      <t>卡</t>
    </r>
    <r>
      <rPr>
        <sz val="11"/>
        <color theme="1"/>
        <rFont val="ＭＳ Ｐゴシック"/>
        <family val="3"/>
        <charset val="134"/>
        <scheme val="minor"/>
      </rPr>
      <t>图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（河南）有限公司</t>
    </r>
  </si>
  <si>
    <r>
      <t xml:space="preserve">伏特加酒;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果酒; 烈酒;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</si>
  <si>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中原</t>
    </r>
    <r>
      <rPr>
        <sz val="11"/>
        <color theme="1"/>
        <rFont val="ＭＳ Ｐゴシック"/>
        <family val="3"/>
        <charset val="134"/>
        <scheme val="minor"/>
      </rPr>
      <t>图腾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</si>
  <si>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妍妍</t>
    </r>
  </si>
  <si>
    <r>
      <t xml:space="preserve">白酒; 果酒（含酒精）;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开胃酒</t>
    </r>
  </si>
  <si>
    <t>宰相福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</si>
  <si>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省大富</t>
    </r>
    <r>
      <rPr>
        <sz val="11"/>
        <color theme="1"/>
        <rFont val="ＭＳ Ｐゴシック"/>
        <family val="3"/>
        <charset val="134"/>
        <scheme val="minor"/>
      </rPr>
      <t>龙农业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</si>
  <si>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清酒（日本米酒）; 白酒;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米酒;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</si>
  <si>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惊喜道</t>
  </si>
  <si>
    <r>
      <t>李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</si>
  <si>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果酒（含酒精）; 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伏特加酒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</si>
  <si>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盾</t>
    </r>
  </si>
  <si>
    <t>徐志勇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</si>
  <si>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黄酒; 果酒（含酒精）; 白酒;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</si>
  <si>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乔</t>
    </r>
    <r>
      <rPr>
        <sz val="11"/>
        <color theme="1"/>
        <rFont val="ＭＳ Ｐゴシック"/>
        <family val="3"/>
        <charset val="128"/>
        <scheme val="minor"/>
      </rPr>
      <t>仕</t>
    </r>
    <r>
      <rPr>
        <sz val="11"/>
        <color theme="1"/>
        <rFont val="ＭＳ Ｐゴシック"/>
        <family val="3"/>
        <charset val="134"/>
        <scheme val="minor"/>
      </rPr>
      <t>顿</t>
    </r>
    <r>
      <rPr>
        <sz val="11"/>
        <color theme="1"/>
        <rFont val="ＭＳ Ｐゴシック"/>
        <family val="3"/>
        <charset val="128"/>
        <scheme val="minor"/>
      </rPr>
      <t xml:space="preserve"> JOE SHIDUN</t>
    </r>
  </si>
  <si>
    <t>黄淑璇</t>
  </si>
  <si>
    <r>
      <t xml:space="preserve">清酒; 朗姆酒; 果酒; 白酒; 苹果酒;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烈酒; 米酒; 高粱酒</t>
    </r>
  </si>
  <si>
    <t>舍之慧</t>
  </si>
  <si>
    <r>
      <t>杨</t>
    </r>
    <r>
      <rPr>
        <sz val="11"/>
        <color theme="1"/>
        <rFont val="ＭＳ Ｐゴシック"/>
        <family val="3"/>
        <charset val="128"/>
        <scheme val="minor"/>
      </rPr>
      <t>柳</t>
    </r>
  </si>
  <si>
    <r>
      <t>米酒; 烈酒; 果酒;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</t>
    </r>
  </si>
  <si>
    <t>五福晋</t>
  </si>
  <si>
    <r>
      <t>山西宁缺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</si>
  <si>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葡萄酒; 米酒; 白葡萄酒; 黄酒</t>
    </r>
  </si>
  <si>
    <r>
      <t>乔</t>
    </r>
    <r>
      <rPr>
        <sz val="11"/>
        <color theme="1"/>
        <rFont val="ＭＳ Ｐゴシック"/>
        <family val="3"/>
        <charset val="128"/>
        <scheme val="minor"/>
      </rPr>
      <t>阿</t>
    </r>
    <r>
      <rPr>
        <sz val="11"/>
        <color theme="1"/>
        <rFont val="ＭＳ Ｐゴシック"/>
        <family val="3"/>
        <charset val="134"/>
        <scheme val="minor"/>
      </rPr>
      <t>玛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</si>
  <si>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苏农</t>
    </r>
    <r>
      <rPr>
        <sz val="11"/>
        <color theme="1"/>
        <rFont val="ＭＳ Ｐゴシック"/>
        <family val="3"/>
        <charset val="128"/>
        <scheme val="minor"/>
      </rPr>
      <t>景生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建</t>
    </r>
    <r>
      <rPr>
        <sz val="11"/>
        <color theme="1"/>
        <rFont val="ＭＳ Ｐゴシック"/>
        <family val="3"/>
        <charset val="134"/>
        <scheme val="minor"/>
      </rPr>
      <t>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</si>
  <si>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白酒; 葡萄酒; 米酒</t>
    </r>
  </si>
  <si>
    <t>陶壹金</t>
  </si>
  <si>
    <r>
      <t>平</t>
    </r>
    <r>
      <rPr>
        <sz val="11"/>
        <color theme="1"/>
        <rFont val="ＭＳ Ｐゴシック"/>
        <family val="3"/>
        <charset val="134"/>
        <scheme val="minor"/>
      </rPr>
      <t>顶</t>
    </r>
    <r>
      <rPr>
        <sz val="11"/>
        <color theme="1"/>
        <rFont val="ＭＳ Ｐゴシック"/>
        <family val="3"/>
        <charset val="128"/>
        <scheme val="minor"/>
      </rPr>
      <t>山昆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</si>
  <si>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</si>
  <si>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春市九台区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悦世季商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</si>
  <si>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食用酒精; 白酒; 果酒（含酒精）;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蜂蜜酒; 米酒</t>
    </r>
  </si>
  <si>
    <r>
      <t>海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新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</si>
  <si>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>海口植之素生物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源研究所有限公司</t>
    </r>
  </si>
  <si>
    <r>
      <t>苦味酒;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黄酒;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</si>
  <si>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福源合</t>
  </si>
  <si>
    <r>
      <t>华</t>
    </r>
    <r>
      <rPr>
        <sz val="11"/>
        <color theme="1"/>
        <rFont val="ＭＳ Ｐゴシック"/>
        <family val="3"/>
        <charset val="128"/>
        <scheme val="minor"/>
      </rPr>
      <t>夏鼓楼酒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(</t>
    </r>
    <r>
      <rPr>
        <sz val="11"/>
        <color theme="1"/>
        <rFont val="ＭＳ Ｐゴシック"/>
        <family val="3"/>
        <charset val="134"/>
        <scheme val="minor"/>
      </rPr>
      <t>辽</t>
    </r>
    <r>
      <rPr>
        <sz val="11"/>
        <color theme="1"/>
        <rFont val="ＭＳ Ｐゴシック"/>
        <family val="3"/>
        <charset val="128"/>
        <scheme val="minor"/>
      </rPr>
      <t>宁)有限公司</t>
    </r>
  </si>
  <si>
    <r>
      <t>开胃酒;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果酒（含酒精）; 汽酒; 葡萄酒</t>
    </r>
  </si>
  <si>
    <t>肇小哥</t>
  </si>
  <si>
    <r>
      <t>肇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市舍予兄弟投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</si>
  <si>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利口酒;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威士忌</t>
    </r>
  </si>
  <si>
    <t>羽奕味丰</t>
  </si>
  <si>
    <r>
      <t>长</t>
    </r>
    <r>
      <rPr>
        <sz val="11"/>
        <color theme="1"/>
        <rFont val="ＭＳ Ｐゴシック"/>
        <family val="3"/>
        <charset val="128"/>
        <scheme val="minor"/>
      </rPr>
      <t>沙市泉坤食品商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</si>
  <si>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</t>
    </r>
  </si>
  <si>
    <t>羿娥再恋</t>
  </si>
  <si>
    <r>
      <t>深圳</t>
    </r>
    <r>
      <rPr>
        <sz val="11"/>
        <color theme="1"/>
        <rFont val="ＭＳ Ｐゴシック"/>
        <family val="3"/>
        <charset val="134"/>
        <scheme val="minor"/>
      </rPr>
      <t>贞</t>
    </r>
    <r>
      <rPr>
        <sz val="11"/>
        <color theme="1"/>
        <rFont val="ＭＳ Ｐゴシック"/>
        <family val="3"/>
        <charset val="128"/>
        <scheme val="minor"/>
      </rPr>
      <t>娘开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健康管理有限公司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</si>
  <si>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青稞酒; 伏特加酒; 薄荷酒; 果酒（含酒精）; 苦味酒; 白酒; 黄酒</t>
    </r>
  </si>
  <si>
    <r>
      <t>百</t>
    </r>
    <r>
      <rPr>
        <sz val="11"/>
        <color theme="1"/>
        <rFont val="ＭＳ Ｐゴシック"/>
        <family val="3"/>
        <charset val="134"/>
        <scheme val="minor"/>
      </rPr>
      <t>壶酝</t>
    </r>
  </si>
  <si>
    <t>梁超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</si>
  <si>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威士忌; 米酒; 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果酒（含酒精）; 白酒</t>
    </r>
  </si>
  <si>
    <t>陶半金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</si>
  <si>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利口酒; 威士忌; 果酒（含酒精）;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</si>
  <si>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舍之韵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</si>
  <si>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烈酒;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</si>
  <si>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纪</t>
    </r>
    <r>
      <rPr>
        <sz val="11"/>
        <color theme="1"/>
        <rFont val="ＭＳ Ｐゴシック"/>
        <family val="3"/>
        <charset val="128"/>
        <scheme val="minor"/>
      </rPr>
      <t>研</t>
    </r>
  </si>
  <si>
    <r>
      <t>吴玲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</si>
  <si>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威士忌;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葡萄酒; 白酒; 黄酒</t>
    </r>
  </si>
  <si>
    <r>
      <t>净</t>
    </r>
    <r>
      <rPr>
        <sz val="11"/>
        <color theme="1"/>
        <rFont val="ＭＳ Ｐゴシック"/>
        <family val="3"/>
        <charset val="128"/>
        <scheme val="minor"/>
      </rPr>
      <t>酉</t>
    </r>
  </si>
  <si>
    <t>敖旭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</si>
  <si>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威士忌</t>
    </r>
  </si>
  <si>
    <r>
      <t>丽</t>
    </r>
    <r>
      <rPr>
        <sz val="11"/>
        <color theme="1"/>
        <rFont val="ＭＳ Ｐゴシック"/>
        <family val="3"/>
        <charset val="128"/>
        <scheme val="minor"/>
      </rPr>
      <t>粮湘</t>
    </r>
  </si>
  <si>
    <r>
      <t>胡</t>
    </r>
    <r>
      <rPr>
        <sz val="11"/>
        <color theme="1"/>
        <rFont val="ＭＳ Ｐゴシック"/>
        <family val="3"/>
        <charset val="134"/>
        <scheme val="minor"/>
      </rPr>
      <t>丽丽</t>
    </r>
  </si>
  <si>
    <r>
      <t xml:space="preserve">开胃酒; 白酒; 葡萄酒; 威士忌;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</si>
  <si>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世航</t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</si>
  <si>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白酒;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含酒精的气泡水;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</si>
  <si>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岁</t>
    </r>
    <r>
      <rPr>
        <sz val="11"/>
        <color theme="1"/>
        <rFont val="ＭＳ Ｐゴシック"/>
        <family val="3"/>
        <charset val="128"/>
        <scheme val="minor"/>
      </rPr>
      <t>知音</t>
    </r>
  </si>
  <si>
    <t>刘宝珠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</si>
  <si>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青稞酒; 白酒; 葡萄酒;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</si>
  <si>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t>蒹葭湾</t>
  </si>
  <si>
    <r>
      <t>民</t>
    </r>
    <r>
      <rPr>
        <sz val="11"/>
        <color theme="1"/>
        <rFont val="ＭＳ Ｐゴシック"/>
        <family val="3"/>
        <charset val="134"/>
        <scheme val="minor"/>
      </rPr>
      <t>权县</t>
    </r>
    <r>
      <rPr>
        <sz val="11"/>
        <color theme="1"/>
        <rFont val="ＭＳ Ｐゴシック"/>
        <family val="3"/>
        <charset val="128"/>
        <scheme val="minor"/>
      </rPr>
      <t>博士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</si>
  <si>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米酒; 白酒; 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甜酒;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烈酒; 黄酒</t>
    </r>
  </si>
  <si>
    <t>量老板</t>
  </si>
  <si>
    <r>
      <t>杨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壮</t>
    </r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</si>
  <si>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</t>
    </r>
  </si>
  <si>
    <t>三星古蜀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</si>
  <si>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州十二属相酒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</si>
  <si>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食用酒精</t>
    </r>
  </si>
  <si>
    <r>
      <t>兼酒宗</t>
    </r>
    <r>
      <rPr>
        <sz val="11"/>
        <color theme="1"/>
        <rFont val="ＭＳ Ｐゴシック"/>
        <family val="3"/>
        <charset val="134"/>
        <scheme val="minor"/>
      </rPr>
      <t>师</t>
    </r>
  </si>
  <si>
    <t>合肥市榜十信息科技有限公司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</si>
  <si>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威士忌;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伏特加酒; 朗姆酒</t>
    </r>
  </si>
  <si>
    <t>胥老三</t>
  </si>
  <si>
    <r>
      <t>吴江区平望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胥老三家庭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</si>
  <si>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 xml:space="preserve">开胃酒; 利口酒; 黄酒;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</si>
  <si>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鹿王宗</t>
  </si>
  <si>
    <r>
      <t>陈</t>
    </r>
    <r>
      <rPr>
        <sz val="11"/>
        <color theme="1"/>
        <rFont val="ＭＳ Ｐゴシック"/>
        <family val="3"/>
        <charset val="128"/>
        <scheme val="minor"/>
      </rPr>
      <t>丹丹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</si>
  <si>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果酒（含酒精）;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</si>
  <si>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九州浩瀚</t>
  </si>
  <si>
    <r>
      <t xml:space="preserve">白酒;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</si>
  <si>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全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宴</t>
    </r>
  </si>
  <si>
    <r>
      <t>四川全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</si>
  <si>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</si>
  <si>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繁念</t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</si>
  <si>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威士忌; 黄酒;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</si>
  <si>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TWIGS</t>
  </si>
  <si>
    <r>
      <t>李</t>
    </r>
    <r>
      <rPr>
        <sz val="11"/>
        <color theme="1"/>
        <rFont val="ＭＳ Ｐゴシック"/>
        <family val="3"/>
        <charset val="134"/>
        <scheme val="minor"/>
      </rPr>
      <t>艺书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</si>
  <si>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葡萄酒; 伏特加酒; 黄酒; 白葡萄酒;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</si>
  <si>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久</t>
    </r>
    <r>
      <rPr>
        <sz val="11"/>
        <color theme="1"/>
        <rFont val="ＭＳ Ｐゴシック"/>
        <family val="3"/>
        <charset val="134"/>
        <scheme val="minor"/>
      </rPr>
      <t>远龙</t>
    </r>
    <r>
      <rPr>
        <sz val="11"/>
        <color theme="1"/>
        <rFont val="ＭＳ Ｐゴシック"/>
        <family val="3"/>
        <charset val="128"/>
        <scheme val="minor"/>
      </rPr>
      <t>香</t>
    </r>
  </si>
  <si>
    <r>
      <t>四川久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同呈文化科技有限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</si>
  <si>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果酒; 葡萄酒; 利口酒; 食用酒精; 白酒; 开胃酒;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</t>
    </r>
  </si>
  <si>
    <t>牧宝</t>
  </si>
  <si>
    <r>
      <t xml:space="preserve">含酒精的气泡水;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</si>
  <si>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农赢</t>
  </si>
  <si>
    <r>
      <t xml:space="preserve">米酒; 黄酒;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含酒精的气泡水; 开胃酒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</si>
  <si>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34"/>
        <scheme val="minor"/>
      </rPr>
      <t>书</t>
    </r>
    <r>
      <rPr>
        <sz val="11"/>
        <color theme="1"/>
        <rFont val="ＭＳ Ｐゴシック"/>
        <family val="3"/>
        <charset val="128"/>
        <scheme val="minor"/>
      </rPr>
      <t>荷源茶文化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</si>
  <si>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米酒; 蜂蜜酒; 黄酒; 果酒（含酒精）; 青梅酒; 白酒; 汽酒;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</si>
  <si>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榛</t>
    </r>
    <r>
      <rPr>
        <sz val="11"/>
        <color theme="1"/>
        <rFont val="ＭＳ Ｐゴシック"/>
        <family val="3"/>
        <charset val="134"/>
        <scheme val="minor"/>
      </rPr>
      <t>谢</t>
    </r>
    <r>
      <rPr>
        <sz val="11"/>
        <color theme="1"/>
        <rFont val="ＭＳ Ｐゴシック"/>
        <family val="3"/>
        <charset val="128"/>
        <scheme val="minor"/>
      </rPr>
      <t>公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</si>
  <si>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万杰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</si>
  <si>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开胃酒; 米酒; 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</si>
  <si>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百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年份</t>
    </r>
  </si>
  <si>
    <r>
      <t>亳州市古泥池酒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</si>
  <si>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</si>
  <si>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茂林美</t>
  </si>
  <si>
    <r>
      <t>成都宸睿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博科技有限公司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</si>
  <si>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黄酒; 青稞酒; 清酒（日本米酒）; 葡萄酒</t>
    </r>
  </si>
  <si>
    <r>
      <t>启</t>
    </r>
    <r>
      <rPr>
        <sz val="11"/>
        <color theme="1"/>
        <rFont val="ＭＳ Ｐゴシック"/>
        <family val="3"/>
        <charset val="134"/>
        <scheme val="minor"/>
      </rPr>
      <t>兹</t>
    </r>
  </si>
  <si>
    <r>
      <t>四川六</t>
    </r>
    <r>
      <rPr>
        <sz val="11"/>
        <color theme="1"/>
        <rFont val="ＭＳ Ｐゴシック"/>
        <family val="3"/>
        <charset val="134"/>
        <scheme val="minor"/>
      </rPr>
      <t>齐</t>
    </r>
    <r>
      <rPr>
        <sz val="11"/>
        <color theme="1"/>
        <rFont val="ＭＳ Ｐゴシック"/>
        <family val="3"/>
        <charset val="128"/>
        <scheme val="minor"/>
      </rPr>
      <t>元科技有限公司</t>
    </r>
  </si>
  <si>
    <r>
      <t xml:space="preserve">白酒; 米酒; 薄荷酒;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杜松子酒;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青稞酒; 梨酒; 葡萄酒</t>
    </r>
  </si>
  <si>
    <t>中云青</t>
  </si>
  <si>
    <r>
      <t>云南中云春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</si>
  <si>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</si>
  <si>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笛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海</t>
    </r>
  </si>
  <si>
    <r>
      <t>新疆美酷特企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</si>
  <si>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</t>
    </r>
  </si>
  <si>
    <t>阿左蓉</t>
  </si>
  <si>
    <r>
      <t>阿拉善盟浩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</si>
  <si>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果酒; 葡萄酒; 米酒;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</t>
    </r>
  </si>
  <si>
    <t>黑白清醒</t>
  </si>
  <si>
    <r>
      <t>上海走耳又商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</si>
  <si>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清酒; 白酒; 甜酒; 黄酒; 果酒;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</si>
  <si>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尘</t>
    </r>
    <r>
      <rPr>
        <sz val="11"/>
        <color theme="1"/>
        <rFont val="ＭＳ Ｐゴシック"/>
        <family val="3"/>
        <charset val="128"/>
        <scheme val="minor"/>
      </rPr>
      <t>愿</t>
    </r>
  </si>
  <si>
    <r>
      <t>四川甘瑞一霖酒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</si>
  <si>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黄酒; 米酒; 葡萄酒; 高粱酒; 青梅酒; 汽酒;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佐餐酒</t>
    </r>
  </si>
  <si>
    <r>
      <t>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 酒</t>
    </r>
  </si>
  <si>
    <r>
      <t>湖北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</si>
  <si>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威士忌;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青稞酒; 高粱酒</t>
    </r>
  </si>
  <si>
    <r>
      <t>久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宝</t>
    </r>
  </si>
  <si>
    <t>王芝超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</si>
  <si>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利口酒; 食用酒精; 高粱酒; 白酒;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</si>
  <si>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特呱</t>
  </si>
  <si>
    <r>
      <t>澳</t>
    </r>
    <r>
      <rPr>
        <sz val="11"/>
        <color theme="1"/>
        <rFont val="ＭＳ Ｐゴシック"/>
        <family val="3"/>
        <charset val="134"/>
        <scheme val="minor"/>
      </rPr>
      <t>纽</t>
    </r>
    <r>
      <rPr>
        <sz val="11"/>
        <color theme="1"/>
        <rFont val="ＭＳ Ｐゴシック"/>
        <family val="3"/>
        <charset val="128"/>
        <scheme val="minor"/>
      </rPr>
      <t>生命（厦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</si>
  <si>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加烈葡萄酒; 薄荷酒; 露酒; 汽酒; 白酒;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威士忌; 葡萄酒</t>
    </r>
  </si>
  <si>
    <t>黎氏三哥酒坊</t>
  </si>
  <si>
    <t>黎江涛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</si>
  <si>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米酒; 清酒; 梨酒; 白酒</t>
    </r>
  </si>
  <si>
    <t>金牛山泉韵</t>
  </si>
  <si>
    <r>
      <t xml:space="preserve">果酒（含酒精）; 白酒;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露酒;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</t>
    </r>
  </si>
  <si>
    <t>关君王</t>
  </si>
  <si>
    <r>
      <t>威士忌;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</t>
    </r>
  </si>
  <si>
    <t>常名庄</t>
  </si>
  <si>
    <r>
      <t>湖南常名庄茶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</si>
  <si>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果酒; 葡萄酒;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米酒</t>
    </r>
  </si>
  <si>
    <r>
      <t>汤</t>
    </r>
    <r>
      <rPr>
        <sz val="11"/>
        <color theme="1"/>
        <rFont val="ＭＳ Ｐゴシック"/>
        <family val="3"/>
        <charset val="128"/>
        <scheme val="minor"/>
      </rPr>
      <t>达人</t>
    </r>
  </si>
  <si>
    <r>
      <t>灌南</t>
    </r>
    <r>
      <rPr>
        <sz val="11"/>
        <color theme="1"/>
        <rFont val="ＭＳ Ｐゴシック"/>
        <family val="3"/>
        <charset val="134"/>
        <scheme val="minor"/>
      </rPr>
      <t>汤</t>
    </r>
    <r>
      <rPr>
        <sz val="11"/>
        <color theme="1"/>
        <rFont val="ＭＳ Ｐゴシック"/>
        <family val="3"/>
        <charset val="128"/>
        <scheme val="minor"/>
      </rPr>
      <t>沟</t>
    </r>
    <r>
      <rPr>
        <sz val="11"/>
        <color theme="1"/>
        <rFont val="ＭＳ Ｐゴシック"/>
        <family val="3"/>
        <charset val="134"/>
        <scheme val="minor"/>
      </rPr>
      <t>镇贵宾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</si>
  <si>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葡萄酒; 果酒（含酒精）</t>
    </r>
  </si>
  <si>
    <r>
      <t>优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彩</t>
    </r>
  </si>
  <si>
    <r>
      <t>烈酒; 白酒; 黄酒; 露酒; 朗姆酒; 利口酒; 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青梅酒</t>
    </r>
  </si>
  <si>
    <t>一平好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</si>
  <si>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市一平好酒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</si>
  <si>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米酒;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</si>
  <si>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气定制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</si>
  <si>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清酒（日本米酒）;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</t>
    </r>
  </si>
  <si>
    <r>
      <t>烟台中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</si>
  <si>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蝮蛇酒; 白干酒（中国白酒）; 威士忌; 汽酒; 苦味酒; 果酒;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露酒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</si>
  <si>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佰</t>
    </r>
    <r>
      <rPr>
        <sz val="11"/>
        <color theme="1"/>
        <rFont val="ＭＳ Ｐゴシック"/>
        <family val="3"/>
        <charset val="134"/>
        <scheme val="minor"/>
      </rPr>
      <t>鸭</t>
    </r>
  </si>
  <si>
    <t>南京松嘉食品有限公司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</si>
  <si>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黄酒; 食用酒精; 果酒; 葡萄酒</t>
    </r>
  </si>
  <si>
    <r>
      <t>鹿芝</t>
    </r>
    <r>
      <rPr>
        <sz val="11"/>
        <color theme="1"/>
        <rFont val="ＭＳ Ｐゴシック"/>
        <family val="3"/>
        <charset val="134"/>
        <scheme val="minor"/>
      </rPr>
      <t>绵</t>
    </r>
  </si>
  <si>
    <r>
      <t>韩鹏</t>
    </r>
    <r>
      <rPr>
        <sz val="11"/>
        <color theme="1"/>
        <rFont val="ＭＳ Ｐゴシック"/>
        <family val="3"/>
        <charset val="128"/>
        <scheme val="minor"/>
      </rPr>
      <t>震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</si>
  <si>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葡萄酒; 甜酒</t>
    </r>
  </si>
  <si>
    <t>芳伴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</si>
  <si>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仁醴古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</si>
  <si>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开胃酒; 烈酒; 清酒; 米酒;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</si>
  <si>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美滋楠却</t>
  </si>
  <si>
    <r>
      <t>顺</t>
    </r>
    <r>
      <rPr>
        <sz val="11"/>
        <color theme="1"/>
        <rFont val="ＭＳ Ｐゴシック"/>
        <family val="3"/>
        <charset val="128"/>
        <scheme val="minor"/>
      </rPr>
      <t>平</t>
    </r>
    <r>
      <rPr>
        <sz val="11"/>
        <color theme="1"/>
        <rFont val="ＭＳ Ｐゴシック"/>
        <family val="3"/>
        <charset val="134"/>
        <scheme val="minor"/>
      </rPr>
      <t>县泽</t>
    </r>
    <r>
      <rPr>
        <sz val="11"/>
        <color theme="1"/>
        <rFont val="ＭＳ Ｐゴシック"/>
        <family val="3"/>
        <charset val="128"/>
        <scheme val="minor"/>
      </rPr>
      <t>昌科技信息服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</si>
  <si>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薄荷酒;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果酒（含酒精）; 白酒</t>
    </r>
  </si>
  <si>
    <t>兼九</t>
  </si>
  <si>
    <r>
      <t>安徽口子酒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</si>
  <si>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食用酒精;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</si>
  <si>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大江大河九五至尊</t>
  </si>
  <si>
    <r>
      <t xml:space="preserve">米酒; 葡萄酒; 青稞酒;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白干酒（中国白酒）; 果酒（含酒精）;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露酒</t>
    </r>
  </si>
  <si>
    <r>
      <t>卿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美</t>
    </r>
  </si>
  <si>
    <r>
      <t>黄玉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</si>
  <si>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 xml:space="preserve">威士忌;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葡萄酒</t>
    </r>
  </si>
  <si>
    <r>
      <t>诚</t>
    </r>
    <r>
      <rPr>
        <sz val="11"/>
        <color theme="1"/>
        <rFont val="ＭＳ Ｐゴシック"/>
        <family val="3"/>
        <charset val="128"/>
        <scheme val="minor"/>
      </rPr>
      <t>将</t>
    </r>
  </si>
  <si>
    <r>
      <t xml:space="preserve">含酒精的气泡水; 黄酒;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</si>
  <si>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巴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之</t>
    </r>
    <r>
      <rPr>
        <sz val="11"/>
        <color theme="1"/>
        <rFont val="ＭＳ Ｐゴシック"/>
        <family val="3"/>
        <charset val="134"/>
        <scheme val="minor"/>
      </rPr>
      <t>谜</t>
    </r>
  </si>
  <si>
    <r>
      <t>喻</t>
    </r>
    <r>
      <rPr>
        <sz val="11"/>
        <color theme="1"/>
        <rFont val="ＭＳ Ｐゴシック"/>
        <family val="3"/>
        <charset val="128"/>
        <scheme val="minor"/>
      </rPr>
      <t>澳琦</t>
    </r>
  </si>
  <si>
    <t>汽酒; 米酒; 食用酒精; 黄酒; 清酒; 开胃酒; 果酒; 白酒; 葡萄酒; 甜酒</t>
  </si>
  <si>
    <r>
      <t>大秦</t>
    </r>
    <r>
      <rPr>
        <sz val="11"/>
        <color theme="1"/>
        <rFont val="ＭＳ Ｐゴシック"/>
        <family val="3"/>
        <charset val="134"/>
        <scheme val="minor"/>
      </rPr>
      <t>铁</t>
    </r>
    <r>
      <rPr>
        <sz val="11"/>
        <color theme="1"/>
        <rFont val="ＭＳ Ｐゴシック"/>
        <family val="3"/>
        <charset val="128"/>
        <scheme val="minor"/>
      </rPr>
      <t>流</t>
    </r>
  </si>
  <si>
    <r>
      <t>吕</t>
    </r>
    <r>
      <rPr>
        <sz val="11"/>
        <color theme="1"/>
        <rFont val="ＭＳ Ｐゴシック"/>
        <family val="3"/>
        <charset val="128"/>
        <scheme val="minor"/>
      </rPr>
      <t>德英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</si>
  <si>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果酒（含酒精）;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</si>
  <si>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城黄金叶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</si>
  <si>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来生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</si>
  <si>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</si>
  <si>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米</t>
    </r>
    <r>
      <rPr>
        <sz val="11"/>
        <color theme="1"/>
        <rFont val="ＭＳ Ｐゴシック"/>
        <family val="3"/>
        <charset val="134"/>
        <scheme val="minor"/>
      </rPr>
      <t>鱼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</si>
  <si>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五常市米</t>
    </r>
    <r>
      <rPr>
        <sz val="11"/>
        <color theme="1"/>
        <rFont val="ＭＳ Ｐゴシック"/>
        <family val="3"/>
        <charset val="134"/>
        <scheme val="minor"/>
      </rPr>
      <t>鱼</t>
    </r>
    <r>
      <rPr>
        <sz val="11"/>
        <color theme="1"/>
        <rFont val="ＭＳ Ｐゴシック"/>
        <family val="3"/>
        <charset val="128"/>
        <scheme val="minor"/>
      </rPr>
      <t>山水稻种植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</si>
  <si>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伏特加酒; 清酒（日本米酒）; 白酒; 葡萄酒;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</si>
  <si>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蔡供</t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</si>
  <si>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蔡甸供</t>
    </r>
    <r>
      <rPr>
        <sz val="11"/>
        <color theme="1"/>
        <rFont val="ＭＳ Ｐゴシック"/>
        <family val="3"/>
        <charset val="134"/>
        <scheme val="minor"/>
      </rPr>
      <t>销资产经营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</si>
  <si>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白酒</t>
    </r>
  </si>
  <si>
    <r>
      <t>凡</t>
    </r>
    <r>
      <rPr>
        <sz val="11"/>
        <color theme="1"/>
        <rFont val="ＭＳ Ｐゴシック"/>
        <family val="3"/>
        <charset val="134"/>
        <scheme val="minor"/>
      </rPr>
      <t>贡玺</t>
    </r>
  </si>
  <si>
    <r>
      <t xml:space="preserve">白酒; 烈酒; 苹果酒; 清酒; 果酒; 高粱酒;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朗姆酒; 米酒</t>
    </r>
  </si>
  <si>
    <t>水浪口</t>
  </si>
  <si>
    <r>
      <t>深圳天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万通科技有限公司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</si>
  <si>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</si>
  <si>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颐</t>
    </r>
    <r>
      <rPr>
        <sz val="11"/>
        <color theme="1"/>
        <rFont val="ＭＳ Ｐゴシック"/>
        <family val="3"/>
        <charset val="128"/>
        <scheme val="minor"/>
      </rPr>
      <t>九鼎</t>
    </r>
  </si>
  <si>
    <t>成俊涛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</si>
  <si>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甘蔗制烈酒</t>
    </r>
  </si>
  <si>
    <r>
      <t>钰缘</t>
    </r>
    <r>
      <rPr>
        <sz val="11"/>
        <color theme="1"/>
        <rFont val="ＭＳ Ｐゴシック"/>
        <family val="3"/>
        <charset val="128"/>
        <scheme val="minor"/>
      </rPr>
      <t>清花</t>
    </r>
  </si>
  <si>
    <r>
      <t>南京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金</t>
    </r>
    <r>
      <rPr>
        <sz val="11"/>
        <color theme="1"/>
        <rFont val="ＭＳ Ｐゴシック"/>
        <family val="3"/>
        <charset val="134"/>
        <scheme val="minor"/>
      </rPr>
      <t>讯车</t>
    </r>
    <r>
      <rPr>
        <sz val="11"/>
        <color theme="1"/>
        <rFont val="ＭＳ Ｐゴシック"/>
        <family val="3"/>
        <charset val="128"/>
        <scheme val="minor"/>
      </rPr>
      <t>停</t>
    </r>
    <r>
      <rPr>
        <sz val="11"/>
        <color theme="1"/>
        <rFont val="ＭＳ Ｐゴシック"/>
        <family val="3"/>
        <charset val="134"/>
        <scheme val="minor"/>
      </rPr>
      <t>车</t>
    </r>
    <r>
      <rPr>
        <sz val="11"/>
        <color theme="1"/>
        <rFont val="ＭＳ Ｐゴシック"/>
        <family val="3"/>
        <charset val="128"/>
        <scheme val="minor"/>
      </rPr>
      <t>管理服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</si>
  <si>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白干酒（中国白酒）;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</t>
    </r>
  </si>
  <si>
    <r>
      <t>庄</t>
    </r>
    <r>
      <rPr>
        <sz val="11"/>
        <color theme="1"/>
        <rFont val="ＭＳ Ｐゴシック"/>
        <family val="3"/>
        <charset val="134"/>
        <scheme val="minor"/>
      </rPr>
      <t>语</t>
    </r>
  </si>
  <si>
    <r>
      <t>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含酒精的气泡水; 白酒</t>
    </r>
  </si>
  <si>
    <t>寒江雪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</si>
  <si>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州叶恒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</si>
  <si>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黄酒; 果酒（含酒精）</t>
    </r>
  </si>
  <si>
    <r>
      <t>河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外婆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</si>
  <si>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梅英</t>
    </r>
  </si>
  <si>
    <r>
      <t>威士忌; 米酒;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伏特加酒</t>
    </r>
  </si>
  <si>
    <r>
      <t>琼</t>
    </r>
    <r>
      <rPr>
        <sz val="11"/>
        <color theme="1"/>
        <rFont val="ＭＳ Ｐゴシック"/>
        <family val="3"/>
        <charset val="128"/>
        <scheme val="minor"/>
      </rPr>
      <t>莜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</si>
  <si>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琼</t>
    </r>
    <r>
      <rPr>
        <sz val="11"/>
        <color theme="1"/>
        <rFont val="ＭＳ Ｐゴシック"/>
        <family val="3"/>
        <charset val="128"/>
        <scheme val="minor"/>
      </rPr>
      <t>莜生物科技有限公司</t>
    </r>
  </si>
  <si>
    <r>
      <t>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青稞酒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</si>
  <si>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德君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</si>
  <si>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弘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</si>
  <si>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</si>
  <si>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恰榕</t>
  </si>
  <si>
    <r>
      <t>吴</t>
    </r>
    <r>
      <rPr>
        <sz val="11"/>
        <color theme="1"/>
        <rFont val="ＭＳ Ｐゴシック"/>
        <family val="3"/>
        <charset val="134"/>
        <scheme val="minor"/>
      </rPr>
      <t>贤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</si>
  <si>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烈酒; 食用酒精</t>
    </r>
  </si>
  <si>
    <r>
      <t>湖北北港粮酒酒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</si>
  <si>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威士忌; 白酒; 黄酒; 开胃酒;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薄荷酒;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</si>
  <si>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巧客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</si>
  <si>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含酒精的气泡水; 葡萄酒; 米酒;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</si>
  <si>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胜</t>
    </r>
    <r>
      <rPr>
        <sz val="11"/>
        <color theme="1"/>
        <rFont val="ＭＳ Ｐゴシック"/>
        <family val="3"/>
        <charset val="128"/>
        <scheme val="minor"/>
      </rPr>
      <t>寰集</t>
    </r>
    <r>
      <rPr>
        <sz val="11"/>
        <color theme="1"/>
        <rFont val="ＭＳ Ｐゴシック"/>
        <family val="3"/>
        <charset val="134"/>
        <scheme val="minor"/>
      </rPr>
      <t>团</t>
    </r>
  </si>
  <si>
    <r>
      <t>胜</t>
    </r>
    <r>
      <rPr>
        <sz val="11"/>
        <color theme="1"/>
        <rFont val="ＭＳ Ｐゴシック"/>
        <family val="3"/>
        <charset val="128"/>
        <scheme val="minor"/>
      </rPr>
      <t>寰集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</si>
  <si>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</t>
    </r>
  </si>
  <si>
    <t>信博</t>
  </si>
  <si>
    <r>
      <t xml:space="preserve">果酒（含酒精）; 米酒; 白酒; 含酒精的气泡水;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</si>
  <si>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旨燕</t>
  </si>
  <si>
    <r>
      <t>米酒;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</si>
  <si>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来胡</t>
    </r>
    <r>
      <rPr>
        <sz val="11"/>
        <color theme="1"/>
        <rFont val="ＭＳ Ｐゴシック"/>
        <family val="3"/>
        <charset val="134"/>
        <scheme val="minor"/>
      </rPr>
      <t>见</t>
    </r>
  </si>
  <si>
    <r>
      <t>陈龙</t>
    </r>
    <r>
      <rPr>
        <sz val="11"/>
        <color theme="1"/>
        <rFont val="ＭＳ Ｐゴシック"/>
        <family val="3"/>
        <charset val="128"/>
        <scheme val="minor"/>
      </rPr>
      <t>斌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</si>
  <si>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高粱酒;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黄酒; 露酒;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</si>
  <si>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文魄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</si>
  <si>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米酒</t>
    </r>
  </si>
  <si>
    <r>
      <t>金三十里</t>
    </r>
    <r>
      <rPr>
        <sz val="11"/>
        <color theme="1"/>
        <rFont val="ＭＳ Ｐゴシック"/>
        <family val="3"/>
        <charset val="134"/>
        <scheme val="minor"/>
      </rPr>
      <t>红顺</t>
    </r>
  </si>
  <si>
    <r>
      <t>高密市三十里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</si>
  <si>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青稞酒;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黄酒; 葡萄酒</t>
    </r>
  </si>
  <si>
    <t>J.S.BACH</t>
  </si>
  <si>
    <r>
      <t>成都拔萃酒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</si>
  <si>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白酒; 利口酒;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</si>
  <si>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杏裔</t>
  </si>
  <si>
    <r>
      <t>靳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</si>
  <si>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甜果酒;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伏特加酒;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</si>
  <si>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笼</t>
    </r>
    <r>
      <rPr>
        <sz val="11"/>
        <color theme="1"/>
        <rFont val="ＭＳ Ｐゴシック"/>
        <family val="3"/>
        <charset val="128"/>
        <scheme val="minor"/>
      </rPr>
      <t>峒水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</si>
  <si>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俊</t>
    </r>
  </si>
  <si>
    <r>
      <t xml:space="preserve">米酒;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白葡萄酒;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</si>
  <si>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鼎</t>
    </r>
    <r>
      <rPr>
        <sz val="11"/>
        <color theme="1"/>
        <rFont val="ＭＳ Ｐゴシック"/>
        <family val="3"/>
        <charset val="134"/>
        <scheme val="minor"/>
      </rPr>
      <t>銮</t>
    </r>
  </si>
  <si>
    <r>
      <t>詹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虹</t>
    </r>
  </si>
  <si>
    <r>
      <t>白酒; 黄酒; 果酒（含酒精）; 开胃酒;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</si>
  <si>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予安</t>
  </si>
  <si>
    <r>
      <t>开胃酒;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含酒精的气泡水; 黄酒</t>
    </r>
  </si>
  <si>
    <t>阿右蓉</t>
  </si>
  <si>
    <r>
      <t>米酒; 烈酒; 露酒; 青稞酒;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高粱酒</t>
    </r>
  </si>
  <si>
    <t>兼七</t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</si>
  <si>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食用酒精</t>
    </r>
  </si>
  <si>
    <r>
      <t>荔</t>
    </r>
    <r>
      <rPr>
        <sz val="11"/>
        <color theme="1"/>
        <rFont val="ＭＳ Ｐゴシック"/>
        <family val="3"/>
        <charset val="134"/>
        <scheme val="minor"/>
      </rPr>
      <t>乡润</t>
    </r>
    <r>
      <rPr>
        <sz val="11"/>
        <color theme="1"/>
        <rFont val="ＭＳ Ｐゴシック"/>
        <family val="3"/>
        <charset val="128"/>
        <scheme val="minor"/>
      </rPr>
      <t>酒</t>
    </r>
  </si>
  <si>
    <t>周道富</t>
  </si>
  <si>
    <r>
      <t>薄荷酒;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</si>
  <si>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浊</t>
    </r>
    <r>
      <rPr>
        <sz val="11"/>
        <color theme="1"/>
        <rFont val="ＭＳ Ｐゴシック"/>
        <family val="3"/>
        <charset val="128"/>
        <scheme val="minor"/>
      </rPr>
      <t>漳清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</si>
  <si>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武</t>
    </r>
    <r>
      <rPr>
        <sz val="11"/>
        <color theme="1"/>
        <rFont val="ＭＳ Ｐゴシック"/>
        <family val="3"/>
        <charset val="134"/>
        <scheme val="minor"/>
      </rPr>
      <t>乡县</t>
    </r>
    <r>
      <rPr>
        <sz val="11"/>
        <color theme="1"/>
        <rFont val="ＭＳ Ｐゴシック"/>
        <family val="3"/>
        <charset val="128"/>
        <scheme val="minor"/>
      </rPr>
      <t>宏德商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</si>
  <si>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食用酒精; 白酒; 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</t>
    </r>
  </si>
  <si>
    <t>赣净</t>
  </si>
  <si>
    <r>
      <t>江西言信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境科技有限公司</t>
    </r>
  </si>
  <si>
    <r>
      <t>开胃酒; 米酒; 黄酒; 蜂蜜酒; 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</t>
    </r>
  </si>
  <si>
    <t>花之君</t>
  </si>
  <si>
    <r>
      <t xml:space="preserve">果酒（含酒精）;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含酒精的气泡水; 黄酒; 开胃酒; 米酒</t>
    </r>
  </si>
  <si>
    <r>
      <t>古蜀</t>
    </r>
    <r>
      <rPr>
        <sz val="11"/>
        <color theme="1"/>
        <rFont val="ＭＳ Ｐゴシック"/>
        <family val="3"/>
        <charset val="134"/>
        <scheme val="minor"/>
      </rPr>
      <t>鱼凫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</si>
  <si>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烈酒; 白酒; 米酒; 黄酒; 高粱酒; 清酒; 果酒; 白干酒（中国白酒）; 葡萄酒</t>
    </r>
  </si>
  <si>
    <t>椹养坊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</si>
  <si>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东维</t>
    </r>
    <r>
      <rPr>
        <sz val="11"/>
        <color theme="1"/>
        <rFont val="ＭＳ Ｐゴシック"/>
        <family val="3"/>
        <charset val="128"/>
        <scheme val="minor"/>
      </rPr>
      <t>潽特酒庄有限公司</t>
    </r>
  </si>
  <si>
    <r>
      <t>白酒; 果酒（含酒精）; 露酒; 葡萄酒; 威士忌; 伏特加酒; 果酒;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</t>
    </r>
  </si>
  <si>
    <t>匠山池</t>
  </si>
  <si>
    <t>周瑞勤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</si>
  <si>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食用酒精</t>
    </r>
  </si>
  <si>
    <t>上医景易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</si>
  <si>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西景易堂养生科技有限公司</t>
    </r>
  </si>
  <si>
    <r>
      <t>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高粱酒; 白酒; 烈酒; 米酒; 黄酒; 苦艾酒; 蝮蛇酒; 刺五加酒; 蜂蜜酒</t>
    </r>
  </si>
  <si>
    <t>邦之健</t>
  </si>
  <si>
    <r>
      <t>张</t>
    </r>
    <r>
      <rPr>
        <sz val="11"/>
        <color theme="1"/>
        <rFont val="ＭＳ Ｐゴシック"/>
        <family val="3"/>
        <charset val="128"/>
        <scheme val="minor"/>
      </rPr>
      <t>福建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</si>
  <si>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</t>
    </r>
  </si>
  <si>
    <r>
      <t>今味</t>
    </r>
    <r>
      <rPr>
        <sz val="11"/>
        <color theme="1"/>
        <rFont val="ＭＳ Ｐゴシック"/>
        <family val="3"/>
        <charset val="134"/>
        <scheme val="minor"/>
      </rPr>
      <t>赏</t>
    </r>
  </si>
  <si>
    <r>
      <t>烈酒; 露酒; 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朗姆酒; 青梅酒; 利口酒; 白酒; 米酒</t>
    </r>
  </si>
  <si>
    <t>海桃秘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</si>
  <si>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海斛集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</si>
  <si>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食用酒精;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</si>
  <si>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葫芦</t>
    </r>
    <r>
      <rPr>
        <sz val="11"/>
        <color theme="1"/>
        <rFont val="ＭＳ Ｐゴシック"/>
        <family val="3"/>
        <charset val="129"/>
        <scheme val="minor"/>
      </rPr>
      <t>輋</t>
    </r>
  </si>
  <si>
    <t>吴克林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</si>
  <si>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开胃酒</t>
    </r>
  </si>
  <si>
    <r>
      <t>剐</t>
    </r>
    <r>
      <rPr>
        <sz val="11"/>
        <color theme="1"/>
        <rFont val="ＭＳ Ｐゴシック"/>
        <family val="3"/>
        <charset val="128"/>
        <scheme val="minor"/>
      </rPr>
      <t>酒一代宗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</si>
  <si>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合肥市恒旺糖酒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</si>
  <si>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朗姆酒;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</si>
  <si>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信道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</si>
  <si>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凤坚</t>
    </r>
  </si>
  <si>
    <r>
      <t>葡萄酒; 米酒; 白酒; 果酒;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</t>
    </r>
  </si>
  <si>
    <t>北京零一商道科技有限公司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</si>
  <si>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食用酒精; 白酒; 果酒（含酒精）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</si>
  <si>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门邹</t>
    </r>
    <r>
      <rPr>
        <sz val="11"/>
        <color theme="1"/>
        <rFont val="ＭＳ Ｐゴシック"/>
        <family val="3"/>
        <charset val="128"/>
        <scheme val="minor"/>
      </rPr>
      <t>百</t>
    </r>
    <r>
      <rPr>
        <sz val="11"/>
        <color theme="1"/>
        <rFont val="ＭＳ Ｐゴシック"/>
        <family val="3"/>
        <charset val="134"/>
        <scheme val="minor"/>
      </rPr>
      <t>忆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</si>
  <si>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</si>
  <si>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醉半金</t>
  </si>
  <si>
    <r>
      <t xml:space="preserve">白酒; 利口酒;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米酒; 葡萄酒</t>
    </r>
  </si>
  <si>
    <r>
      <t>王府家宴礼</t>
    </r>
    <r>
      <rPr>
        <sz val="11"/>
        <color theme="1"/>
        <rFont val="ＭＳ Ｐゴシック"/>
        <family val="3"/>
        <charset val="134"/>
        <scheme val="minor"/>
      </rPr>
      <t>宾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</si>
  <si>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创绿</t>
    </r>
    <r>
      <rPr>
        <sz val="11"/>
        <color theme="1"/>
        <rFont val="ＭＳ Ｐゴシック"/>
        <family val="3"/>
        <charset val="128"/>
        <scheme val="minor"/>
      </rPr>
      <t>谷（厦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</si>
  <si>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米酒;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薄荷酒;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</si>
  <si>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派康</t>
  </si>
  <si>
    <r>
      <t>广西金瀚装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工程有限公司</t>
    </r>
  </si>
  <si>
    <r>
      <t>果酒（含酒精）; 甘蔗汁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 xml:space="preserve">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甜酒; 米酒; 露酒; 葡萄酒;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</si>
  <si>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美果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 xml:space="preserve"> MERRYONTREE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</si>
  <si>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莞市宝来食品有限公司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</si>
  <si>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汽酒; 清酒（日本米酒）;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</si>
  <si>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ZHUAN CHANG</t>
  </si>
  <si>
    <r>
      <t>北京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夏忠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</si>
  <si>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朗姆酒; 葡萄酒; 清酒; 烈酒; 果酒; 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青梅酒; 露酒</t>
    </r>
  </si>
  <si>
    <r>
      <t>乡</t>
    </r>
    <r>
      <rPr>
        <sz val="11"/>
        <color theme="1"/>
        <rFont val="ＭＳ Ｐゴシック"/>
        <family val="3"/>
        <charset val="128"/>
        <scheme val="minor"/>
      </rPr>
      <t>当火</t>
    </r>
  </si>
  <si>
    <t>黄倩平</t>
  </si>
  <si>
    <t>开胃酒; 果酒; 汽酒; 白酒; 葡萄酒; 黄酒; 米酒; 清酒; 甜酒; 食用酒精</t>
  </si>
  <si>
    <r>
      <t>蔺红</t>
    </r>
    <r>
      <rPr>
        <sz val="11"/>
        <color theme="1"/>
        <rFont val="ＭＳ Ｐゴシック"/>
        <family val="3"/>
        <charset val="128"/>
        <scheme val="minor"/>
      </rPr>
      <t>源</t>
    </r>
  </si>
  <si>
    <r>
      <t>安美</t>
    </r>
    <r>
      <rPr>
        <sz val="11"/>
        <color theme="1"/>
        <rFont val="ＭＳ Ｐゴシック"/>
        <family val="3"/>
        <charset val="129"/>
        <scheme val="minor"/>
      </rPr>
      <t>值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</si>
  <si>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黄酒</t>
    </r>
  </si>
  <si>
    <t>SHINING FOREST</t>
  </si>
  <si>
    <t>沈熠昀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</si>
  <si>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果酒（含酒精）; 黄酒; 伏特加酒; 白酒; 青稞酒</t>
    </r>
  </si>
  <si>
    <r>
      <t>清花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旋</t>
    </r>
  </si>
  <si>
    <t>史秋吓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</si>
  <si>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白酒; 高粱酒;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</t>
    </r>
  </si>
  <si>
    <t>璧广發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</si>
  <si>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</si>
  <si>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蒙叶舜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</si>
  <si>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窖王酒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</si>
  <si>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黄酒; 果酒;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蜂蜜酒;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青梅酒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</si>
  <si>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朝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珠宝</t>
    </r>
  </si>
  <si>
    <r>
      <t>广西菜虫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</si>
  <si>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白酒; 米酒</t>
  </si>
  <si>
    <r>
      <t>驼</t>
    </r>
    <r>
      <rPr>
        <sz val="11"/>
        <color theme="1"/>
        <rFont val="ＭＳ Ｐゴシック"/>
        <family val="3"/>
        <charset val="128"/>
        <scheme val="minor"/>
      </rPr>
      <t>城蓉</t>
    </r>
  </si>
  <si>
    <r>
      <t>阿拉善盟</t>
    </r>
    <r>
      <rPr>
        <sz val="11"/>
        <color theme="1"/>
        <rFont val="ＭＳ Ｐゴシック"/>
        <family val="3"/>
        <charset val="134"/>
        <scheme val="minor"/>
      </rPr>
      <t>艳</t>
    </r>
    <r>
      <rPr>
        <sz val="11"/>
        <color theme="1"/>
        <rFont val="ＭＳ Ｐゴシック"/>
        <family val="3"/>
        <charset val="128"/>
        <scheme val="minor"/>
      </rPr>
      <t>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</si>
  <si>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</t>
    </r>
  </si>
  <si>
    <r>
      <t>月下云</t>
    </r>
    <r>
      <rPr>
        <sz val="11"/>
        <color theme="1"/>
        <rFont val="ＭＳ Ｐゴシック"/>
        <family val="3"/>
        <charset val="134"/>
        <scheme val="minor"/>
      </rPr>
      <t>华</t>
    </r>
  </si>
  <si>
    <t>吴尚友</t>
  </si>
  <si>
    <r>
      <t xml:space="preserve">果酒（含酒精）; 葡萄酒; 利口酒; 威士忌;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</si>
  <si>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 xml:space="preserve">米酒; 青稞酒; 白酒; 果酒; 露酒;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威士忌</t>
    </r>
  </si>
  <si>
    <r>
      <t>秦</t>
    </r>
    <r>
      <rPr>
        <sz val="11"/>
        <color theme="1"/>
        <rFont val="ＭＳ Ｐゴシック"/>
        <family val="3"/>
        <charset val="134"/>
        <scheme val="minor"/>
      </rPr>
      <t>銮</t>
    </r>
  </si>
  <si>
    <r>
      <t>白酒; 黄酒; 葡萄酒; 开胃酒;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</si>
  <si>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永可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</si>
  <si>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含酒精的气泡水; 葡萄酒</t>
    </r>
  </si>
  <si>
    <t>真有礼</t>
  </si>
  <si>
    <r>
      <t>米酒; 含酒精的气泡水; 黄酒; 开胃酒; 果酒（含酒精）;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</si>
  <si>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彩虹</t>
    </r>
    <r>
      <rPr>
        <sz val="11"/>
        <color theme="1"/>
        <rFont val="ＭＳ Ｐゴシック"/>
        <family val="3"/>
        <charset val="134"/>
        <scheme val="minor"/>
      </rPr>
      <t>张</t>
    </r>
    <r>
      <rPr>
        <sz val="11"/>
        <color theme="1"/>
        <rFont val="ＭＳ Ｐゴシック"/>
        <family val="3"/>
        <charset val="128"/>
        <scheme val="minor"/>
      </rPr>
      <t>液</t>
    </r>
  </si>
  <si>
    <r>
      <t>开胃酒; 含酒精的气泡水;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白酒;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米酒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</si>
  <si>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秦谷韵</t>
    </r>
  </si>
  <si>
    <t>李中杰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</si>
  <si>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白酒; 葡萄酒</t>
    </r>
  </si>
  <si>
    <t>羽奕</t>
  </si>
  <si>
    <r>
      <t>米酒; 烈酒;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开胃酒; 果酒</t>
    </r>
  </si>
  <si>
    <t>味自好</t>
  </si>
  <si>
    <r>
      <t>杨</t>
    </r>
    <r>
      <rPr>
        <sz val="11"/>
        <color theme="1"/>
        <rFont val="ＭＳ Ｐゴシック"/>
        <family val="3"/>
        <charset val="128"/>
        <scheme val="minor"/>
      </rPr>
      <t>晗</t>
    </r>
  </si>
  <si>
    <t>开胃酒; 米酒; 黄酒; 果酒; 食用酒精; 白酒; 葡萄酒; 汽酒; 清酒; 甜酒</t>
  </si>
  <si>
    <t>映山野</t>
  </si>
  <si>
    <t>于英豪</t>
  </si>
  <si>
    <t>汽酒; 黄酒; 食用酒精; 甜酒; 葡萄酒; 果酒; 清酒; 白酒; 米酒; 开胃酒</t>
  </si>
  <si>
    <r>
      <t>星</t>
    </r>
    <r>
      <rPr>
        <sz val="11"/>
        <color theme="1"/>
        <rFont val="ＭＳ Ｐゴシック"/>
        <family val="3"/>
        <charset val="134"/>
        <scheme val="minor"/>
      </rPr>
      <t>陨</t>
    </r>
    <r>
      <rPr>
        <sz val="11"/>
        <color theme="1"/>
        <rFont val="ＭＳ Ｐゴシック"/>
        <family val="3"/>
        <charset val="128"/>
        <scheme val="minor"/>
      </rPr>
      <t>泉</t>
    </r>
  </si>
  <si>
    <r>
      <t>甜酒; 烈酒; 葡萄酒; 米酒;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黄酒</t>
    </r>
  </si>
  <si>
    <r>
      <t>星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雨盾</t>
    </r>
  </si>
  <si>
    <t>广西雨盾防水科技有限公司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</si>
  <si>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葡萄酒; 米酒; 苹果酒;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</si>
  <si>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万</t>
    </r>
    <r>
      <rPr>
        <sz val="11"/>
        <color theme="1"/>
        <rFont val="ＭＳ Ｐゴシック"/>
        <family val="3"/>
        <charset val="134"/>
        <scheme val="minor"/>
      </rPr>
      <t>仑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</si>
  <si>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安徽</t>
    </r>
    <r>
      <rPr>
        <sz val="11"/>
        <color theme="1"/>
        <rFont val="ＭＳ Ｐゴシック"/>
        <family val="3"/>
        <charset val="134"/>
        <scheme val="minor"/>
      </rPr>
      <t>扬</t>
    </r>
    <r>
      <rPr>
        <sz val="11"/>
        <color theme="1"/>
        <rFont val="ＭＳ Ｐゴシック"/>
        <family val="3"/>
        <charset val="128"/>
        <scheme val="minor"/>
      </rPr>
      <t>励供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</si>
  <si>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甘蔗制烈酒;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黄酒; 果酒（含酒精）</t>
    </r>
  </si>
  <si>
    <t>红钊</t>
  </si>
  <si>
    <r>
      <t>山西晋之醉酒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</si>
  <si>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高粱酒; 草莓酒; 烈酒; 清酒; 果酒; 青稞酒; 食用酒精;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</si>
  <si>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鹤</t>
    </r>
    <r>
      <rPr>
        <sz val="11"/>
        <color theme="1"/>
        <rFont val="ＭＳ Ｐゴシック"/>
        <family val="3"/>
        <charset val="128"/>
        <scheme val="minor"/>
      </rPr>
      <t>造凡事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</si>
  <si>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金寨原始森林商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</si>
  <si>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清酒（日本米酒）;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甜酒; 威士忌; 米酒; 葡萄酒</t>
    </r>
  </si>
  <si>
    <t>蕊塔</t>
  </si>
  <si>
    <t>黄少漫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</si>
  <si>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葡萄酒;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</si>
  <si>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古坊</t>
    </r>
    <r>
      <rPr>
        <sz val="11"/>
        <color theme="1"/>
        <rFont val="ＭＳ Ｐゴシック"/>
        <family val="3"/>
        <charset val="134"/>
        <scheme val="minor"/>
      </rPr>
      <t>宾</t>
    </r>
  </si>
  <si>
    <r>
      <t>李志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</si>
  <si>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蜂蜜酒;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</t>
    </r>
  </si>
  <si>
    <t>养生活</t>
  </si>
  <si>
    <t>冰豹有限公司</t>
  </si>
  <si>
    <r>
      <t xml:space="preserve">果酒（含酒精）; 利口酒;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米酒; 葡萄酒; 青稞酒;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</si>
  <si>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老玄</t>
    </r>
    <r>
      <rPr>
        <sz val="11"/>
        <color theme="1"/>
        <rFont val="ＭＳ Ｐゴシック"/>
        <family val="3"/>
        <charset val="134"/>
        <scheme val="minor"/>
      </rPr>
      <t>头</t>
    </r>
  </si>
  <si>
    <r>
      <t>内蒙古塞外醇酒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</si>
  <si>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蒸煮提取物（利口酒和烈酒）; 黄酒;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清酒; 威士忌</t>
    </r>
  </si>
  <si>
    <r>
      <t>体盾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能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</si>
  <si>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合元食品有限公司</t>
    </r>
  </si>
  <si>
    <r>
      <t xml:space="preserve">果酒（含酒精）; 含酒精的气泡水;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葡萄酒; 米酒; 餐后酒（利口酒和烈酒）;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</si>
  <si>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封燕然勒功</t>
  </si>
  <si>
    <t>广州三易健康科技有限公司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</si>
  <si>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白酒; 高粱酒; 薄荷酒; 葡萄酒; 黄酒; 餐后酒（利口酒和烈酒）; 米酒; 威士忌</t>
    </r>
  </si>
  <si>
    <r>
      <t>情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渠</t>
    </r>
  </si>
  <si>
    <r>
      <t>沈</t>
    </r>
    <r>
      <rPr>
        <sz val="11"/>
        <color theme="1"/>
        <rFont val="ＭＳ Ｐゴシック"/>
        <family val="3"/>
        <charset val="134"/>
        <scheme val="minor"/>
      </rPr>
      <t>维业</t>
    </r>
  </si>
  <si>
    <r>
      <t xml:space="preserve">清酒（日本米酒）; 葡萄酒; 米酒; 朗姆酒; 白酒; 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伏特加酒</t>
    </r>
  </si>
  <si>
    <r>
      <t>凌云志兄弟</t>
    </r>
    <r>
      <rPr>
        <sz val="11"/>
        <color theme="1"/>
        <rFont val="ＭＳ Ｐゴシック"/>
        <family val="3"/>
        <charset val="134"/>
        <scheme val="minor"/>
      </rPr>
      <t>连</t>
    </r>
  </si>
  <si>
    <r>
      <t>巴河公社（黄</t>
    </r>
    <r>
      <rPr>
        <sz val="11"/>
        <color theme="1"/>
        <rFont val="ＭＳ Ｐゴシック"/>
        <family val="3"/>
        <charset val="134"/>
        <scheme val="minor"/>
      </rPr>
      <t>冈</t>
    </r>
    <r>
      <rPr>
        <sz val="11"/>
        <color theme="1"/>
        <rFont val="ＭＳ Ｐゴシック"/>
        <family val="3"/>
        <charset val="128"/>
        <scheme val="minor"/>
      </rPr>
      <t>）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</si>
  <si>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</si>
  <si>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 xml:space="preserve">五加皮酒（中国混合烈酒）;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烈性干酒;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</si>
  <si>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MANSULES</t>
  </si>
  <si>
    <r>
      <t>北京壹真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</si>
  <si>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米酒; 清酒; 白酒; 伏特加酒</t>
    </r>
  </si>
  <si>
    <r>
      <t>秦</t>
    </r>
    <r>
      <rPr>
        <sz val="11"/>
        <color theme="1"/>
        <rFont val="ＭＳ Ｐゴシック"/>
        <family val="3"/>
        <charset val="134"/>
        <scheme val="minor"/>
      </rPr>
      <t>铁</t>
    </r>
    <r>
      <rPr>
        <sz val="11"/>
        <color theme="1"/>
        <rFont val="ＭＳ Ｐゴシック"/>
        <family val="3"/>
        <charset val="128"/>
        <scheme val="minor"/>
      </rPr>
      <t>之六</t>
    </r>
  </si>
  <si>
    <r>
      <t>深圳市富源盛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滑科技有限公司</t>
    </r>
  </si>
  <si>
    <r>
      <t xml:space="preserve">白酒;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高粱酒;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蜂蜜酒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</si>
  <si>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香谷佗</t>
    </r>
  </si>
  <si>
    <t>黄新会</t>
  </si>
  <si>
    <r>
      <t>白酒; 蝮蛇酒; 米酒; 苦艾酒;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葡萄酒</t>
    </r>
  </si>
  <si>
    <r>
      <t>威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老派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</si>
  <si>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食用酒精; 开胃酒</t>
    </r>
  </si>
  <si>
    <r>
      <t>阿甘致</t>
    </r>
    <r>
      <rPr>
        <sz val="11"/>
        <color theme="1"/>
        <rFont val="ＭＳ Ｐゴシック"/>
        <family val="3"/>
        <charset val="134"/>
        <scheme val="minor"/>
      </rPr>
      <t>远</t>
    </r>
  </si>
  <si>
    <t>上海阿甘兄弟品牌管理有限公司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</si>
  <si>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</si>
  <si>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精雕十二</t>
  </si>
  <si>
    <r>
      <t>绍兴鲁爷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</si>
  <si>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清酒; 蜂蜜酒;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</t>
    </r>
  </si>
  <si>
    <r>
      <t>11号院</t>
    </r>
    <r>
      <rPr>
        <sz val="11"/>
        <color theme="1"/>
        <rFont val="ＭＳ Ｐゴシック"/>
        <family val="3"/>
        <charset val="134"/>
        <scheme val="minor"/>
      </rPr>
      <t>艺术</t>
    </r>
    <r>
      <rPr>
        <sz val="11"/>
        <color theme="1"/>
        <rFont val="ＭＳ Ｐゴシック"/>
        <family val="3"/>
        <charset val="128"/>
        <scheme val="minor"/>
      </rPr>
      <t>区 ART ELEVEN</t>
    </r>
  </si>
  <si>
    <t>沈阳市凸版印刷厂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</si>
  <si>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果酒（含酒精）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</si>
  <si>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洲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</si>
  <si>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国涛</t>
    </r>
  </si>
  <si>
    <r>
      <t>米酒; 白酒; 高粱酒; 利口酒; 烈酒;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</si>
  <si>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年</t>
    </r>
    <r>
      <rPr>
        <sz val="11"/>
        <color theme="1"/>
        <rFont val="ＭＳ Ｐゴシック"/>
        <family val="3"/>
        <charset val="134"/>
        <scheme val="minor"/>
      </rPr>
      <t>际</t>
    </r>
  </si>
  <si>
    <t>姜富双</t>
  </si>
  <si>
    <r>
      <t>威士忌; 白酒; 伏特加酒; 葡萄酒; 果酒（含酒精）; 朗姆酒;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</si>
  <si>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荻港老</t>
    </r>
    <r>
      <rPr>
        <sz val="11"/>
        <color theme="1"/>
        <rFont val="ＭＳ Ｐゴシック"/>
        <family val="3"/>
        <charset val="134"/>
        <scheme val="minor"/>
      </rPr>
      <t>许</t>
    </r>
  </si>
  <si>
    <r>
      <t>繁昌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荻港老</t>
    </r>
    <r>
      <rPr>
        <sz val="11"/>
        <color theme="1"/>
        <rFont val="ＭＳ Ｐゴシック"/>
        <family val="3"/>
        <charset val="134"/>
        <scheme val="minor"/>
      </rPr>
      <t>许</t>
    </r>
    <r>
      <rPr>
        <sz val="11"/>
        <color theme="1"/>
        <rFont val="ＭＳ Ｐゴシック"/>
        <family val="3"/>
        <charset val="128"/>
        <scheme val="minor"/>
      </rPr>
      <t>香菜有限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</si>
  <si>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蜂蜜酒; 清酒（日本米酒）; 黄酒; 青稞酒;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</si>
  <si>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西川河福禄寿禧</t>
  </si>
  <si>
    <r>
      <t>四川省西川河酒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</si>
  <si>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米酒; 葡萄酒;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</t>
    </r>
  </si>
  <si>
    <r>
      <t>江姑</t>
    </r>
    <r>
      <rPr>
        <sz val="11"/>
        <color theme="1"/>
        <rFont val="ＭＳ Ｐゴシック"/>
        <family val="3"/>
        <charset val="134"/>
        <scheme val="minor"/>
      </rPr>
      <t>酿</t>
    </r>
  </si>
  <si>
    <t>戴桂芳</t>
  </si>
  <si>
    <r>
      <t>果酒; 黄酒; 白酒;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开胃酒; 威士忌</t>
    </r>
  </si>
  <si>
    <t>玩岩宗</t>
  </si>
  <si>
    <r>
      <t>葡萄酒; 开胃酒;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</si>
  <si>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杭味情</t>
  </si>
  <si>
    <r>
      <t>汽酒;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黄酒; 烈酒;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</si>
  <si>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漷</t>
    </r>
    <r>
      <rPr>
        <sz val="11"/>
        <color theme="1"/>
        <rFont val="ＭＳ Ｐゴシック"/>
        <family val="3"/>
        <charset val="128"/>
        <scheme val="minor"/>
      </rPr>
      <t>州</t>
    </r>
  </si>
  <si>
    <r>
      <t>北京</t>
    </r>
    <r>
      <rPr>
        <sz val="11"/>
        <color theme="1"/>
        <rFont val="ＭＳ Ｐゴシック"/>
        <family val="3"/>
        <charset val="129"/>
        <scheme val="minor"/>
      </rPr>
      <t>漷</t>
    </r>
    <r>
      <rPr>
        <sz val="11"/>
        <color theme="1"/>
        <rFont val="ＭＳ Ｐゴシック"/>
        <family val="3"/>
        <charset val="128"/>
        <scheme val="minor"/>
      </rPr>
      <t>州酒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</si>
  <si>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梨酒;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</si>
  <si>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FAMILY BROTHERS</t>
  </si>
  <si>
    <r>
      <t>深圳市酒之家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</si>
  <si>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米酒; 蜂蜜酒; 葡萄酒; 黄酒</t>
    </r>
  </si>
  <si>
    <r>
      <t>宽悯</t>
    </r>
    <r>
      <rPr>
        <sz val="11"/>
        <color theme="1"/>
        <rFont val="ＭＳ Ｐゴシック"/>
        <family val="3"/>
        <charset val="128"/>
        <scheme val="minor"/>
      </rPr>
      <t>堂</t>
    </r>
  </si>
  <si>
    <r>
      <t>宽悯</t>
    </r>
    <r>
      <rPr>
        <sz val="11"/>
        <color theme="1"/>
        <rFont val="ＭＳ Ｐゴシック"/>
        <family val="3"/>
        <charset val="128"/>
        <scheme val="minor"/>
      </rPr>
      <t>堂（重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）医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</si>
  <si>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蝮蛇酒; 果酒（含酒精）; 黄酒; 苦艾酒; 梨酒; 青稞酒; 米酒; 蜂蜜酒</t>
    </r>
  </si>
  <si>
    <t>膳味念</t>
  </si>
  <si>
    <r>
      <t>铜</t>
    </r>
    <r>
      <rPr>
        <sz val="11"/>
        <color theme="1"/>
        <rFont val="ＭＳ Ｐゴシック"/>
        <family val="3"/>
        <charset val="128"/>
        <scheme val="minor"/>
      </rPr>
      <t>川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王</t>
    </r>
    <r>
      <rPr>
        <sz val="11"/>
        <color theme="1"/>
        <rFont val="ＭＳ Ｐゴシック"/>
        <family val="3"/>
        <charset val="134"/>
        <scheme val="minor"/>
      </rPr>
      <t>孙</t>
    </r>
    <r>
      <rPr>
        <sz val="11"/>
        <color theme="1"/>
        <rFont val="ＭＳ Ｐゴシック"/>
        <family val="3"/>
        <charset val="128"/>
        <scheme val="minor"/>
      </rPr>
      <t>思邈古方古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</si>
  <si>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青稞酒; 白酒</t>
    </r>
  </si>
  <si>
    <t>GUQIXU</t>
  </si>
  <si>
    <r>
      <t>汕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市谷香园种养有限公司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</si>
  <si>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葡萄酒; 烈酒; 米酒; 威士忌; 白酒</t>
    </r>
  </si>
  <si>
    <r>
      <t>BAKNUQI 拜克</t>
    </r>
    <r>
      <rPr>
        <sz val="11"/>
        <color theme="1"/>
        <rFont val="ＭＳ Ｐゴシック"/>
        <family val="3"/>
        <charset val="134"/>
        <scheme val="minor"/>
      </rPr>
      <t>诺</t>
    </r>
    <r>
      <rPr>
        <sz val="11"/>
        <color theme="1"/>
        <rFont val="ＭＳ Ｐゴシック"/>
        <family val="3"/>
        <charset val="128"/>
        <scheme val="minor"/>
      </rPr>
      <t>奇</t>
    </r>
  </si>
  <si>
    <r>
      <t>尼牙孜·阿不都艾</t>
    </r>
    <r>
      <rPr>
        <sz val="11"/>
        <color theme="1"/>
        <rFont val="ＭＳ Ｐゴシック"/>
        <family val="3"/>
        <charset val="134"/>
        <scheme val="minor"/>
      </rPr>
      <t>则</t>
    </r>
    <r>
      <rPr>
        <sz val="11"/>
        <color theme="1"/>
        <rFont val="ＭＳ Ｐゴシック"/>
        <family val="3"/>
        <charset val="128"/>
        <scheme val="minor"/>
      </rPr>
      <t>孜</t>
    </r>
  </si>
  <si>
    <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苹果酒;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</si>
  <si>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砂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</si>
  <si>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</t>
    </r>
  </si>
  <si>
    <r>
      <t>圣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湖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</si>
  <si>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喜智</t>
    </r>
  </si>
  <si>
    <r>
      <t>食用酒精;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</si>
  <si>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九州吉</t>
  </si>
  <si>
    <r>
      <t xml:space="preserve">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</t>
    </r>
  </si>
  <si>
    <r>
      <t>椒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美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</si>
  <si>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椒酒香酒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</si>
  <si>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露酒;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</si>
  <si>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虎利士</t>
  </si>
  <si>
    <r>
      <t>李昌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</si>
  <si>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白酒</t>
    </r>
  </si>
  <si>
    <t>厚德松花江 HOUDE SONGHUA RIVER</t>
  </si>
  <si>
    <r>
      <t>北大荒集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江松花江</t>
    </r>
    <r>
      <rPr>
        <sz val="11"/>
        <color theme="1"/>
        <rFont val="ＭＳ Ｐゴシック"/>
        <family val="3"/>
        <charset val="134"/>
        <scheme val="minor"/>
      </rPr>
      <t>农场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</si>
  <si>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汽酒; 威士忌; 果酒; 黄酒; 米酒</t>
    </r>
  </si>
  <si>
    <r>
      <t>全球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新中心（天津）有限公司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</si>
  <si>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果酒（含酒精）</t>
    </r>
  </si>
  <si>
    <r>
      <t>九</t>
    </r>
    <r>
      <rPr>
        <sz val="11"/>
        <color theme="1"/>
        <rFont val="ＭＳ Ｐゴシック"/>
        <family val="3"/>
        <charset val="134"/>
        <scheme val="minor"/>
      </rPr>
      <t>狮桥</t>
    </r>
  </si>
  <si>
    <r>
      <t>叶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盛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</si>
  <si>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果酒（含酒精）;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</si>
  <si>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威</t>
    </r>
    <r>
      <rPr>
        <sz val="11"/>
        <color theme="1"/>
        <rFont val="ＭＳ Ｐゴシック"/>
        <family val="3"/>
        <charset val="134"/>
        <scheme val="minor"/>
      </rPr>
      <t>远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</si>
  <si>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果酒（含酒精）;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青稞酒; 黄酒; 开胃酒</t>
    </r>
  </si>
  <si>
    <t>荷藤</t>
  </si>
  <si>
    <r>
      <t>宜春市洞藏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光旅游有限公司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</si>
  <si>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</t>
    </r>
  </si>
  <si>
    <r>
      <t>寸金</t>
    </r>
    <r>
      <rPr>
        <sz val="11"/>
        <color theme="1"/>
        <rFont val="ＭＳ Ｐゴシック"/>
        <family val="3"/>
        <charset val="134"/>
        <scheme val="minor"/>
      </rPr>
      <t>桥</t>
    </r>
  </si>
  <si>
    <r>
      <t>湛江市博宇商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</si>
  <si>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蒸煮提取物（利口酒和烈酒）; 米酒; 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</si>
  <si>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靌</t>
    </r>
    <r>
      <rPr>
        <sz val="11"/>
        <color theme="1"/>
        <rFont val="ＭＳ Ｐゴシック"/>
        <family val="3"/>
        <charset val="128"/>
        <scheme val="minor"/>
      </rPr>
      <t>窖金</t>
    </r>
  </si>
  <si>
    <r>
      <t xml:space="preserve">朗姆酒; 米酒;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</si>
  <si>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璟布言</t>
  </si>
  <si>
    <t>朱瑞璟******************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</si>
  <si>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甜酒; 开胃酒;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果酒</t>
    </r>
  </si>
  <si>
    <t>嘉桃</t>
  </si>
  <si>
    <r>
      <t>四川嘉桃酒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</si>
  <si>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果酒;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水果汽酒; 甜果酒</t>
    </r>
  </si>
  <si>
    <t>戴河湾</t>
  </si>
  <si>
    <r>
      <t>秦皇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戴河湾酒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</si>
  <si>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烈酒; 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</si>
  <si>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九粱</t>
    </r>
    <r>
      <rPr>
        <sz val="11"/>
        <color theme="1"/>
        <rFont val="ＭＳ Ｐゴシック"/>
        <family val="3"/>
        <charset val="134"/>
        <scheme val="minor"/>
      </rPr>
      <t>壶</t>
    </r>
  </si>
  <si>
    <r>
      <t>泰安市泰山日出酒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</si>
  <si>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露酒;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</si>
  <si>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内疆名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（</t>
    </r>
    <r>
      <rPr>
        <sz val="11"/>
        <color theme="1"/>
        <rFont val="ＭＳ Ｐゴシック"/>
        <family val="3"/>
        <charset val="134"/>
        <scheme val="minor"/>
      </rPr>
      <t>济</t>
    </r>
    <r>
      <rPr>
        <sz val="11"/>
        <color theme="1"/>
        <rFont val="ＭＳ Ｐゴシック"/>
        <family val="3"/>
        <charset val="128"/>
        <scheme val="minor"/>
      </rPr>
      <t>南）超市有限公司</t>
    </r>
  </si>
  <si>
    <r>
      <t xml:space="preserve">苦味酒; 餐后酒（利口酒和烈酒）; 果酒（含酒精）; 葡萄酒; 高粱酒; 白干酒（中国白酒）; 草本型利口酒;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果酒</t>
    </r>
  </si>
  <si>
    <r>
      <t>三</t>
    </r>
    <r>
      <rPr>
        <sz val="11"/>
        <color theme="1"/>
        <rFont val="ＭＳ Ｐゴシック"/>
        <family val="3"/>
        <charset val="134"/>
        <scheme val="minor"/>
      </rPr>
      <t>枫</t>
    </r>
    <r>
      <rPr>
        <sz val="11"/>
        <color theme="1"/>
        <rFont val="ＭＳ Ｐゴシック"/>
        <family val="3"/>
        <charset val="128"/>
        <scheme val="minor"/>
      </rPr>
      <t>香</t>
    </r>
  </si>
  <si>
    <r>
      <t>文成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珍谷酒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</si>
  <si>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</t>
    </r>
  </si>
  <si>
    <t>沈成台</t>
  </si>
  <si>
    <t>朱万国</t>
  </si>
  <si>
    <r>
      <t>苦味酒; 葡萄酒; 黄酒; 米酒; 开胃酒;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白酒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</si>
  <si>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芳号令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</si>
  <si>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军龙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</si>
  <si>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清酒（日本米酒）; 白酒; 威士忌;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</si>
  <si>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娇</t>
    </r>
    <r>
      <rPr>
        <sz val="11"/>
        <color theme="1"/>
        <rFont val="ＭＳ Ｐゴシック"/>
        <family val="3"/>
        <charset val="128"/>
        <scheme val="minor"/>
      </rPr>
      <t>王妃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</si>
  <si>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</si>
  <si>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佛山市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家商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</si>
  <si>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葡萄酒; 食用酒精;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</si>
  <si>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URZ</t>
  </si>
  <si>
    <r>
      <t>姚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武</t>
    </r>
  </si>
  <si>
    <t>果酒; 清酒; 食用酒精; 黄酒; 开胃酒; 甜酒; 葡萄酒; 白酒; 米酒; 汽酒</t>
  </si>
  <si>
    <r>
      <t>东</t>
    </r>
    <r>
      <rPr>
        <sz val="11"/>
        <color theme="1"/>
        <rFont val="ＭＳ Ｐゴシック"/>
        <family val="3"/>
        <charset val="128"/>
        <scheme val="minor"/>
      </rPr>
      <t>耀</t>
    </r>
    <r>
      <rPr>
        <sz val="11"/>
        <color theme="1"/>
        <rFont val="ＭＳ Ｐゴシック"/>
        <family val="3"/>
        <charset val="134"/>
        <scheme val="minor"/>
      </rPr>
      <t>郑</t>
    </r>
    <r>
      <rPr>
        <sz val="11"/>
        <color theme="1"/>
        <rFont val="ＭＳ Ｐゴシック"/>
        <family val="3"/>
        <charset val="128"/>
        <scheme val="minor"/>
      </rPr>
      <t>阳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</si>
  <si>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郑</t>
    </r>
    <r>
      <rPr>
        <sz val="11"/>
        <color theme="1"/>
        <rFont val="ＭＳ Ｐゴシック"/>
        <family val="3"/>
        <charset val="128"/>
        <scheme val="minor"/>
      </rPr>
      <t>阳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</si>
  <si>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白酒; 果酒（含酒精）;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</si>
  <si>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艾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梦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</si>
  <si>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迪生力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色食品有限公司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</si>
  <si>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汽酒; 开胃酒;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伏特加酒; 杜松子酒; 果酒</t>
    </r>
  </si>
  <si>
    <r>
      <t>道城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</si>
  <si>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宜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市唯品康白酒集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</si>
  <si>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米酒; 葡萄酒</t>
    </r>
  </si>
  <si>
    <t>二宜楼</t>
  </si>
  <si>
    <r>
      <t>福建永源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</si>
  <si>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米酒; 伏特加酒; 威士忌;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</si>
  <si>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ER YI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</si>
  <si>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威士忌;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白酒; 米酒</t>
    </r>
  </si>
  <si>
    <r>
      <t>茶山好</t>
    </r>
    <r>
      <rPr>
        <sz val="11"/>
        <color theme="1"/>
        <rFont val="ＭＳ Ｐゴシック"/>
        <family val="3"/>
        <charset val="134"/>
        <scheme val="minor"/>
      </rPr>
      <t>汉</t>
    </r>
  </si>
  <si>
    <t>汤晓艳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</si>
  <si>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</t>
    </r>
  </si>
  <si>
    <t>御仁礼</t>
  </si>
  <si>
    <t>贺华勋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</si>
  <si>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米酒; 开胃酒</t>
    </r>
  </si>
  <si>
    <t>宋湃</t>
  </si>
  <si>
    <r>
      <t xml:space="preserve">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果酒; 白酒; 葡萄酒; 清酒（日本米酒）</t>
    </r>
  </si>
  <si>
    <r>
      <t>雪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</si>
  <si>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</si>
  <si>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t>京窖君</t>
  </si>
  <si>
    <r>
      <t>马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</si>
  <si>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 xml:space="preserve">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葡萄酒</t>
    </r>
  </si>
  <si>
    <r>
      <t>沪于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燕楼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</si>
  <si>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燕餐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</si>
  <si>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</si>
  <si>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吉奥拉</t>
  </si>
  <si>
    <r>
      <t>深圳市米泰包装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</si>
  <si>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果酒; 汽酒; 威士忌; 白酒; 烈酒; 葡萄酒;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</si>
  <si>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奋</t>
    </r>
    <r>
      <rPr>
        <sz val="11"/>
        <color theme="1"/>
        <rFont val="ＭＳ Ｐゴシック"/>
        <family val="3"/>
        <charset val="128"/>
        <scheme val="minor"/>
      </rPr>
      <t>志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</si>
  <si>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</si>
  <si>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r>
      <t>昆</t>
    </r>
    <r>
      <rPr>
        <sz val="11"/>
        <color theme="1"/>
        <rFont val="ＭＳ Ｐゴシック"/>
        <family val="3"/>
        <charset val="134"/>
        <scheme val="minor"/>
      </rPr>
      <t>仑</t>
    </r>
    <r>
      <rPr>
        <sz val="11"/>
        <color theme="1"/>
        <rFont val="ＭＳ Ｐゴシック"/>
        <family val="3"/>
        <charset val="128"/>
        <scheme val="minor"/>
      </rPr>
      <t>炁</t>
    </r>
    <r>
      <rPr>
        <sz val="11"/>
        <color theme="1"/>
        <rFont val="ＭＳ Ｐゴシック"/>
        <family val="3"/>
        <charset val="134"/>
        <scheme val="minor"/>
      </rPr>
      <t>饮</t>
    </r>
  </si>
  <si>
    <r>
      <t>喀什昆</t>
    </r>
    <r>
      <rPr>
        <sz val="11"/>
        <color theme="1"/>
        <rFont val="ＭＳ Ｐゴシック"/>
        <family val="3"/>
        <charset val="134"/>
        <scheme val="minor"/>
      </rPr>
      <t>仑</t>
    </r>
    <r>
      <rPr>
        <sz val="11"/>
        <color theme="1"/>
        <rFont val="ＭＳ Ｐゴシック"/>
        <family val="3"/>
        <charset val="128"/>
        <scheme val="minor"/>
      </rPr>
      <t>雪源活力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</si>
  <si>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白酒; 黄酒; 甜果酒;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食用酒精; 烈酒; 果酒（含酒精）; 开胃酒; 蜂蜜酒</t>
    </r>
  </si>
  <si>
    <r>
      <t>昆</t>
    </r>
    <r>
      <rPr>
        <sz val="11"/>
        <color theme="1"/>
        <rFont val="ＭＳ Ｐゴシック"/>
        <family val="3"/>
        <charset val="134"/>
        <scheme val="minor"/>
      </rPr>
      <t>仑</t>
    </r>
    <r>
      <rPr>
        <sz val="11"/>
        <color theme="1"/>
        <rFont val="ＭＳ Ｐゴシック"/>
        <family val="3"/>
        <charset val="128"/>
        <scheme val="minor"/>
      </rPr>
      <t>清炁</t>
    </r>
  </si>
  <si>
    <r>
      <t>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开胃酒; 食用酒精; 烈酒; 甜果酒; 米酒; 蜂蜜酒</t>
    </r>
  </si>
  <si>
    <r>
      <t>张张</t>
    </r>
    <r>
      <rPr>
        <sz val="11"/>
        <color theme="1"/>
        <rFont val="ＭＳ Ｐゴシック"/>
        <family val="3"/>
        <charset val="128"/>
        <scheme val="minor"/>
      </rPr>
      <t>老二</t>
    </r>
  </si>
  <si>
    <t>张见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</si>
  <si>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汽酒;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葡萄酒; 米酒</t>
    </r>
  </si>
  <si>
    <t>磨坊巷</t>
  </si>
  <si>
    <r>
      <t>漳州市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海区萌食惠供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</si>
  <si>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黄酒; 甘蔗制烈酒</t>
    </r>
  </si>
  <si>
    <t>璀璨九州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</si>
  <si>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黄酒; 米酒;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</si>
  <si>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厚</t>
    </r>
    <r>
      <rPr>
        <sz val="11"/>
        <color theme="1"/>
        <rFont val="ＭＳ Ｐゴシック"/>
        <family val="3"/>
        <charset val="134"/>
        <scheme val="minor"/>
      </rPr>
      <t>仪</t>
    </r>
  </si>
  <si>
    <r>
      <t>山西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炎世宇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</si>
  <si>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清酒（日本米酒）; 汽酒; 黄酒;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利口酒; 葡萄酒</t>
    </r>
  </si>
  <si>
    <r>
      <t>彝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</si>
  <si>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>大姚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珊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</si>
  <si>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食用酒精; 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烈酒</t>
    </r>
  </si>
  <si>
    <t>米歌小清心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</si>
  <si>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米歌酒庄有限公司</t>
    </r>
  </si>
  <si>
    <r>
      <t>米酒;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露酒; 果酒（含酒精）</t>
    </r>
  </si>
  <si>
    <t>上甘泉</t>
  </si>
  <si>
    <r>
      <t>葡萄酒; 汽酒; 高粱酒; 果酒; 食用酒精;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</si>
  <si>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椒玖香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</si>
  <si>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露酒;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</si>
  <si>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商</t>
    </r>
  </si>
  <si>
    <t>胡俊勇</t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</si>
  <si>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葡萄酒; 果酒（含酒精）</t>
    </r>
  </si>
  <si>
    <r>
      <t>珠</t>
    </r>
    <r>
      <rPr>
        <sz val="11"/>
        <color theme="1"/>
        <rFont val="ＭＳ Ｐゴシック"/>
        <family val="3"/>
        <charset val="134"/>
        <scheme val="minor"/>
      </rPr>
      <t>岚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</si>
  <si>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春圣博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生物材料有限公司</t>
    </r>
  </si>
  <si>
    <r>
      <t>果酒（含酒精）;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</si>
  <si>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粱心基</t>
  </si>
  <si>
    <r>
      <t>罗</t>
    </r>
    <r>
      <rPr>
        <sz val="11"/>
        <color theme="1"/>
        <rFont val="ＭＳ Ｐゴシック"/>
        <family val="3"/>
        <charset val="128"/>
        <scheme val="minor"/>
      </rPr>
      <t>林******************</t>
    </r>
  </si>
  <si>
    <r>
      <t>烈酒;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清酒（日本米酒）;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</si>
  <si>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屹将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</si>
  <si>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州网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</si>
  <si>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烈酒;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</t>
    </r>
  </si>
  <si>
    <t>冭蒡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</si>
  <si>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圣川食品科技有限公司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</si>
  <si>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烈酒;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甜果酒;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</si>
  <si>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宋萄</t>
  </si>
  <si>
    <t>南京宋氏茶堂茶叶有限公司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</si>
  <si>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甜果酒; 白葡萄酒;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黄酒; 柑香酒; 果酒（含酒精）; 威士忌;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</si>
  <si>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阳春</t>
    </r>
    <r>
      <rPr>
        <sz val="11"/>
        <color theme="1"/>
        <rFont val="ＭＳ Ｐゴシック"/>
        <family val="3"/>
        <charset val="134"/>
        <scheme val="minor"/>
      </rPr>
      <t>晖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</si>
  <si>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</si>
  <si>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施家会</t>
  </si>
  <si>
    <r>
      <t>阳原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弘州振</t>
    </r>
    <r>
      <rPr>
        <sz val="11"/>
        <color theme="1"/>
        <rFont val="ＭＳ Ｐゴシック"/>
        <family val="3"/>
        <charset val="134"/>
        <scheme val="minor"/>
      </rPr>
      <t>农发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</si>
  <si>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白酒; 餐后酒（利口酒和烈酒）; 米酒; 黄酒;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</si>
  <si>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r>
      <t>福</t>
    </r>
    <r>
      <rPr>
        <sz val="11"/>
        <color theme="1"/>
        <rFont val="ＭＳ Ｐゴシック"/>
        <family val="3"/>
        <charset val="134"/>
        <scheme val="minor"/>
      </rPr>
      <t>应</t>
    </r>
    <r>
      <rPr>
        <sz val="11"/>
        <color theme="1"/>
        <rFont val="ＭＳ Ｐゴシック"/>
        <family val="3"/>
        <charset val="128"/>
        <scheme val="minor"/>
      </rPr>
      <t>岭</t>
    </r>
  </si>
  <si>
    <r>
      <t>耿</t>
    </r>
    <r>
      <rPr>
        <sz val="11"/>
        <color theme="1"/>
        <rFont val="ＭＳ Ｐゴシック"/>
        <family val="3"/>
        <charset val="134"/>
        <scheme val="minor"/>
      </rPr>
      <t>马长</t>
    </r>
    <r>
      <rPr>
        <sz val="11"/>
        <color theme="1"/>
        <rFont val="ＭＳ Ｐゴシック"/>
        <family val="3"/>
        <charset val="128"/>
        <scheme val="minor"/>
      </rPr>
      <t>老酒坊</t>
    </r>
  </si>
  <si>
    <r>
      <t>果酒; 青梅酒;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清酒</t>
    </r>
  </si>
  <si>
    <r>
      <t>喵</t>
    </r>
    <r>
      <rPr>
        <sz val="11"/>
        <color theme="1"/>
        <rFont val="ＭＳ Ｐゴシック"/>
        <family val="3"/>
        <charset val="128"/>
        <scheme val="minor"/>
      </rPr>
      <t>扎特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</si>
  <si>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小小莫扎特音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</si>
  <si>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酸酒（低等葡萄酒）; 伏特加酒; 葡萄酒; 果酒（含酒精）;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清酒（日本米酒）; 食用酒精; 威士忌</t>
    </r>
  </si>
  <si>
    <t>金洄</t>
  </si>
  <si>
    <r>
      <t>河南</t>
    </r>
    <r>
      <rPr>
        <sz val="11"/>
        <color theme="1"/>
        <rFont val="ＭＳ Ｐゴシック"/>
        <family val="3"/>
        <charset val="134"/>
        <scheme val="minor"/>
      </rPr>
      <t>铜</t>
    </r>
    <r>
      <rPr>
        <sz val="11"/>
        <color theme="1"/>
        <rFont val="ＭＳ Ｐゴシック"/>
        <family val="3"/>
        <charset val="128"/>
        <scheme val="minor"/>
      </rPr>
      <t>山湖酒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</si>
  <si>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青稞酒;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露酒; 葡萄酒; 米酒; 白酒; 黄酒</t>
    </r>
  </si>
  <si>
    <r>
      <t>藻</t>
    </r>
    <r>
      <rPr>
        <sz val="11"/>
        <color theme="1"/>
        <rFont val="ＭＳ Ｐゴシック"/>
        <family val="3"/>
        <charset val="134"/>
        <scheme val="minor"/>
      </rPr>
      <t>领鲜</t>
    </r>
  </si>
  <si>
    <t>宋文煜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</si>
  <si>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开胃酒;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汽酒; 果酒（含酒精）</t>
    </r>
  </si>
  <si>
    <t>嘉勉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</si>
  <si>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清酒（日本米酒）; 果酒; 葡萄酒; 黄酒; 白酒</t>
    </r>
  </si>
  <si>
    <r>
      <t>君莫</t>
    </r>
    <r>
      <rPr>
        <sz val="11"/>
        <color theme="1"/>
        <rFont val="ＭＳ Ｐゴシック"/>
        <family val="3"/>
        <charset val="134"/>
        <scheme val="minor"/>
      </rPr>
      <t>叹</t>
    </r>
  </si>
  <si>
    <r>
      <t>果酒;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</si>
  <si>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r>
      <t>埃文·</t>
    </r>
    <r>
      <rPr>
        <sz val="11"/>
        <color theme="1"/>
        <rFont val="ＭＳ Ｐゴシック"/>
        <family val="3"/>
        <charset val="134"/>
        <scheme val="minor"/>
      </rPr>
      <t>凯尔</t>
    </r>
    <r>
      <rPr>
        <sz val="11"/>
        <color theme="1"/>
        <rFont val="ＭＳ Ｐゴシック"/>
        <family val="3"/>
        <charset val="128"/>
        <scheme val="minor"/>
      </rPr>
      <t xml:space="preserve"> EVAN KAIL</t>
    </r>
  </si>
  <si>
    <r>
      <t>埃文•</t>
    </r>
    <r>
      <rPr>
        <sz val="11"/>
        <color theme="1"/>
        <rFont val="ＭＳ Ｐゴシック"/>
        <family val="3"/>
        <charset val="134"/>
        <scheme val="minor"/>
      </rPr>
      <t>凯尔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</si>
  <si>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清酒; 米酒;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白葡萄酒; 露酒; 果酒（含酒精）</t>
    </r>
  </si>
  <si>
    <t>牡丹星辰</t>
  </si>
  <si>
    <t>王康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</si>
  <si>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</si>
  <si>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老典金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</si>
  <si>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</t>
    </r>
  </si>
  <si>
    <r>
      <t>MEOWZART 小小</t>
    </r>
    <r>
      <rPr>
        <sz val="11"/>
        <color theme="1"/>
        <rFont val="ＭＳ Ｐゴシック"/>
        <family val="3"/>
        <charset val="129"/>
        <scheme val="minor"/>
      </rPr>
      <t>喵</t>
    </r>
    <r>
      <rPr>
        <sz val="11"/>
        <color theme="1"/>
        <rFont val="ＭＳ Ｐゴシック"/>
        <family val="3"/>
        <charset val="128"/>
        <scheme val="minor"/>
      </rPr>
      <t>扎特</t>
    </r>
  </si>
  <si>
    <r>
      <t>米酒; 白酒; 葡萄酒; 果酒（含酒精）; 酸酒（低等葡萄酒）; 清酒（日本米酒）; 食用酒精;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</t>
    </r>
  </si>
  <si>
    <r>
      <t>标鲜</t>
    </r>
    <r>
      <rPr>
        <sz val="11"/>
        <color theme="1"/>
        <rFont val="ＭＳ Ｐゴシック"/>
        <family val="3"/>
        <charset val="128"/>
        <scheme val="minor"/>
      </rPr>
      <t>生</t>
    </r>
  </si>
  <si>
    <t>周慢玲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</si>
  <si>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葡萄酒; 威士忌</t>
    </r>
  </si>
  <si>
    <r>
      <t>匠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名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</si>
  <si>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利口酒; 果酒; 烈酒; 米酒</t>
    </r>
  </si>
  <si>
    <r>
      <t>腾</t>
    </r>
    <r>
      <rPr>
        <sz val="11"/>
        <color theme="1"/>
        <rFont val="ＭＳ Ｐゴシック"/>
        <family val="3"/>
        <charset val="128"/>
        <scheme val="minor"/>
      </rPr>
      <t>烟瀑</t>
    </r>
  </si>
  <si>
    <r>
      <t>瑞安市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达休</t>
    </r>
    <r>
      <rPr>
        <sz val="11"/>
        <color theme="1"/>
        <rFont val="ＭＳ Ｐゴシック"/>
        <family val="3"/>
        <charset val="134"/>
        <scheme val="minor"/>
      </rPr>
      <t>闲农业专业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</si>
  <si>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白酒; 开胃酒; 薄荷酒; 米酒; 果酒（含酒精）; 黄酒; 葡萄酒; 蜂蜜酒;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</si>
  <si>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尉隆</t>
  </si>
  <si>
    <r>
      <t>范景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</si>
  <si>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米酒;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果酒（含酒精）; 葡萄酒; 白酒</t>
    </r>
  </si>
  <si>
    <r>
      <t>农</t>
    </r>
    <r>
      <rPr>
        <sz val="11"/>
        <color theme="1"/>
        <rFont val="ＭＳ Ｐゴシック"/>
        <family val="3"/>
        <charset val="128"/>
        <scheme val="minor"/>
      </rPr>
      <t>品哥</t>
    </r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</si>
  <si>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江省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采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品多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</si>
  <si>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</t>
    </r>
  </si>
  <si>
    <r>
      <t>禧果</t>
    </r>
    <r>
      <rPr>
        <sz val="11"/>
        <color theme="1"/>
        <rFont val="ＭＳ Ｐゴシック"/>
        <family val="3"/>
        <charset val="134"/>
        <scheme val="minor"/>
      </rPr>
      <t>缤纷</t>
    </r>
  </si>
  <si>
    <r>
      <t>屠</t>
    </r>
    <r>
      <rPr>
        <sz val="11"/>
        <color theme="1"/>
        <rFont val="ＭＳ Ｐゴシック"/>
        <family val="3"/>
        <charset val="134"/>
        <scheme val="minor"/>
      </rPr>
      <t>绍</t>
    </r>
    <r>
      <rPr>
        <sz val="11"/>
        <color theme="1"/>
        <rFont val="ＭＳ Ｐゴシック"/>
        <family val="3"/>
        <charset val="128"/>
        <scheme val="minor"/>
      </rPr>
      <t>恒</t>
    </r>
  </si>
  <si>
    <r>
      <t>白酒; 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甜果酒;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</si>
  <si>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半生金穗</t>
    </r>
  </si>
  <si>
    <r>
      <t>果酒（含酒精）; 白酒; 露酒;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</si>
  <si>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博</t>
    </r>
    <r>
      <rPr>
        <sz val="11"/>
        <color theme="1"/>
        <rFont val="ＭＳ Ｐゴシック"/>
        <family val="3"/>
        <charset val="134"/>
        <scheme val="minor"/>
      </rPr>
      <t>链</t>
    </r>
  </si>
  <si>
    <r>
      <t>博</t>
    </r>
    <r>
      <rPr>
        <sz val="11"/>
        <color theme="1"/>
        <rFont val="ＭＳ Ｐゴシック"/>
        <family val="3"/>
        <charset val="134"/>
        <scheme val="minor"/>
      </rPr>
      <t>链</t>
    </r>
    <r>
      <rPr>
        <sz val="11"/>
        <color theme="1"/>
        <rFont val="ＭＳ Ｐゴシック"/>
        <family val="3"/>
        <charset val="128"/>
        <scheme val="minor"/>
      </rPr>
      <t>数字科技（广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</si>
  <si>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白酒; 蒸煮提取物（利口酒和烈酒）;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威士忌; 果酒（含酒精）</t>
    </r>
  </si>
  <si>
    <r>
      <t>叁</t>
    </r>
    <r>
      <rPr>
        <sz val="11"/>
        <color theme="1"/>
        <rFont val="ＭＳ Ｐゴシック"/>
        <family val="3"/>
        <charset val="128"/>
        <scheme val="minor"/>
      </rPr>
      <t>辰</t>
    </r>
    <r>
      <rPr>
        <sz val="11"/>
        <color theme="1"/>
        <rFont val="ＭＳ Ｐゴシック"/>
        <family val="3"/>
        <charset val="134"/>
        <scheme val="minor"/>
      </rPr>
      <t>叁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</si>
  <si>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奉</t>
    </r>
    <r>
      <rPr>
        <sz val="11"/>
        <color theme="1"/>
        <rFont val="ＭＳ Ｐゴシック"/>
        <family val="3"/>
        <charset val="134"/>
        <scheme val="minor"/>
      </rPr>
      <t>觞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</si>
  <si>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葡萄酒; 果酒（含酒精）; 黄酒; 开胃酒;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</si>
  <si>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琛坊莱半泉</t>
  </si>
  <si>
    <r>
      <t xml:space="preserve">葡萄酒; 白酒; 汽酒; 烈酒;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</si>
  <si>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轰</t>
    </r>
    <r>
      <rPr>
        <sz val="11"/>
        <color theme="1"/>
        <rFont val="ＭＳ Ｐゴシック"/>
        <family val="3"/>
        <charset val="128"/>
        <scheme val="minor"/>
      </rPr>
      <t>硬</t>
    </r>
  </si>
  <si>
    <r>
      <t>李雪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</si>
  <si>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</si>
  <si>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玉流樽</t>
  </si>
  <si>
    <t>黄国文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</si>
  <si>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</si>
  <si>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古王侯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</si>
  <si>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黄酒; 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</t>
    </r>
  </si>
  <si>
    <r>
      <t>鹤</t>
    </r>
    <r>
      <rPr>
        <sz val="11"/>
        <color theme="1"/>
        <rFont val="ＭＳ Ｐゴシック"/>
        <family val="3"/>
        <charset val="128"/>
        <scheme val="minor"/>
      </rPr>
      <t>造福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康寿</t>
    </r>
  </si>
  <si>
    <r>
      <t>烈酒; 清酒（日本米酒）; 米酒; 威士忌; 黄酒; 甜酒;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</si>
  <si>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闯赢</t>
  </si>
  <si>
    <r>
      <t>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白酒; 开胃酒; 清酒（日本米酒）; 威士忌</t>
    </r>
  </si>
  <si>
    <r>
      <t>炫小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</si>
  <si>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映建</t>
    </r>
  </si>
  <si>
    <r>
      <t xml:space="preserve">开胃酒;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五加皮酒（中国混合烈酒）;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黄酒; 果酒; 米酒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</si>
  <si>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伏特加酒; 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</si>
  <si>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果酒（含酒精）; 葡萄酒;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黄酒; 食用酒精; 青稞酒</t>
    </r>
  </si>
  <si>
    <r>
      <t>大匠</t>
    </r>
    <r>
      <rPr>
        <sz val="11"/>
        <color theme="1"/>
        <rFont val="ＭＳ Ｐゴシック"/>
        <family val="3"/>
        <charset val="134"/>
        <scheme val="minor"/>
      </rPr>
      <t>问</t>
    </r>
    <r>
      <rPr>
        <sz val="11"/>
        <color theme="1"/>
        <rFont val="ＭＳ Ｐゴシック"/>
        <family val="3"/>
        <charset val="128"/>
        <scheme val="minor"/>
      </rPr>
      <t>宗</t>
    </r>
  </si>
  <si>
    <r>
      <t>福建鼎晟茶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</si>
  <si>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白干酒（中国白酒）; 烈酒; 葡萄酒; 威士忌; 食用酒精; 青稞酒; 白酒;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</si>
  <si>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神羊</t>
    </r>
    <r>
      <rPr>
        <sz val="11"/>
        <color theme="1"/>
        <rFont val="ＭＳ Ｐゴシック"/>
        <family val="3"/>
        <charset val="134"/>
        <scheme val="minor"/>
      </rPr>
      <t>衔</t>
    </r>
    <r>
      <rPr>
        <sz val="11"/>
        <color theme="1"/>
        <rFont val="ＭＳ Ｐゴシック"/>
        <family val="3"/>
        <charset val="128"/>
        <scheme val="minor"/>
      </rPr>
      <t>穗</t>
    </r>
  </si>
  <si>
    <t>四川郎酒股份有限公司</t>
  </si>
  <si>
    <r>
      <t>利口酒;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威士忌;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</si>
  <si>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越空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</si>
  <si>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晟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</si>
  <si>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</si>
  <si>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宜品达</t>
  </si>
  <si>
    <r>
      <t>长</t>
    </r>
    <r>
      <rPr>
        <sz val="11"/>
        <color theme="1"/>
        <rFont val="ＭＳ Ｐゴシック"/>
        <family val="3"/>
        <charset val="128"/>
        <scheme val="minor"/>
      </rPr>
      <t>沙市开福区哇哩</t>
    </r>
    <r>
      <rPr>
        <sz val="11"/>
        <color theme="1"/>
        <rFont val="ＭＳ Ｐゴシック"/>
        <family val="3"/>
        <charset val="134"/>
        <scheme val="minor"/>
      </rPr>
      <t>顾</t>
    </r>
    <r>
      <rPr>
        <sz val="11"/>
        <color theme="1"/>
        <rFont val="ＭＳ Ｐゴシック"/>
        <family val="3"/>
        <charset val="128"/>
        <scheme val="minor"/>
      </rPr>
      <t>得数</t>
    </r>
    <r>
      <rPr>
        <sz val="11"/>
        <color theme="1"/>
        <rFont val="ＭＳ Ｐゴシック"/>
        <family val="3"/>
        <charset val="134"/>
        <scheme val="minor"/>
      </rPr>
      <t>码</t>
    </r>
    <r>
      <rPr>
        <sz val="11"/>
        <color theme="1"/>
        <rFont val="ＭＳ Ｐゴシック"/>
        <family val="3"/>
        <charset val="128"/>
        <scheme val="minor"/>
      </rPr>
      <t>通</t>
    </r>
    <r>
      <rPr>
        <sz val="11"/>
        <color theme="1"/>
        <rFont val="ＭＳ Ｐゴシック"/>
        <family val="3"/>
        <charset val="134"/>
        <scheme val="minor"/>
      </rPr>
      <t>讯</t>
    </r>
    <r>
      <rPr>
        <sz val="11"/>
        <color theme="1"/>
        <rFont val="ＭＳ Ｐゴシック"/>
        <family val="3"/>
        <charset val="128"/>
        <scheme val="minor"/>
      </rPr>
      <t>商行（个体工商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</si>
  <si>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开胃酒; 葡萄酒</t>
    </r>
  </si>
  <si>
    <t>椒友坊</t>
  </si>
  <si>
    <r>
      <t xml:space="preserve">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</si>
  <si>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安思拓</t>
  </si>
  <si>
    <t>深圳市安思拓科技有限公司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</si>
  <si>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清酒; 天然汽酒; 白葡萄酒; 葡萄酒; 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烈酒</t>
    </r>
  </si>
  <si>
    <t>桃园穗月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</si>
  <si>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果酒（含酒精）; 烈酒; 开胃酒; 白酒</t>
    </r>
  </si>
  <si>
    <t>杜甫与我</t>
  </si>
  <si>
    <r>
      <t xml:space="preserve">清酒（日本米酒）;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薄荷酒;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</si>
  <si>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吉祥幸福</t>
    </r>
    <r>
      <rPr>
        <sz val="11"/>
        <color theme="1"/>
        <rFont val="ＭＳ Ｐゴシック"/>
        <family val="3"/>
        <charset val="134"/>
        <scheme val="minor"/>
      </rPr>
      <t>鸟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</si>
  <si>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宁奥美投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</si>
  <si>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白酒; 苹果酒; 利口酒;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</si>
  <si>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AOHOO</t>
  </si>
  <si>
    <r>
      <t>杭州圭鑫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</si>
  <si>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</t>
    </r>
  </si>
  <si>
    <r>
      <t>吴</t>
    </r>
    <r>
      <rPr>
        <sz val="11"/>
        <color theme="1"/>
        <rFont val="ＭＳ Ｐゴシック"/>
        <family val="3"/>
        <charset val="134"/>
        <scheme val="minor"/>
      </rPr>
      <t>门艺兰</t>
    </r>
  </si>
  <si>
    <r>
      <t>殷</t>
    </r>
    <r>
      <rPr>
        <sz val="11"/>
        <color theme="1"/>
        <rFont val="ＭＳ Ｐゴシック"/>
        <family val="3"/>
        <charset val="134"/>
        <scheme val="minor"/>
      </rPr>
      <t>璎</t>
    </r>
  </si>
  <si>
    <r>
      <t>葡萄酒; 米酒;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蒸煮提取物（利口酒和烈酒）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</si>
  <si>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鼎泉</t>
    </r>
  </si>
  <si>
    <r>
      <t>威士忌; 米酒; 白酒;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</si>
  <si>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金淞泓源</t>
  </si>
  <si>
    <r>
      <t>云南万夫合力高原特色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林有限公司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</si>
  <si>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青稞酒; 米酒; 白干酒（中国白酒）</t>
    </r>
  </si>
  <si>
    <t>夏甄爽</t>
  </si>
  <si>
    <r>
      <t>山西酒都甄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</si>
  <si>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</si>
  <si>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苹果酒; 黄酒;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柑香酒; 米酒;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餐后酒（利口酒和烈酒）;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</si>
  <si>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豫音孟韵</t>
  </si>
  <si>
    <r>
      <t>河南酒多美供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</si>
  <si>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威士忌; 米酒; 白酒; 葡萄酒; 烈酒</t>
    </r>
  </si>
  <si>
    <r>
      <t>焦熹</t>
    </r>
    <r>
      <rPr>
        <sz val="11"/>
        <color theme="1"/>
        <rFont val="ＭＳ Ｐゴシック"/>
        <family val="3"/>
        <charset val="134"/>
        <scheme val="minor"/>
      </rPr>
      <t>红</t>
    </r>
  </si>
  <si>
    <t>吴善露</t>
  </si>
  <si>
    <r>
      <t xml:space="preserve">葡萄酒;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果酒; 烈酒; 蝮蛇酒; 梅酒; 白酒</t>
    </r>
  </si>
  <si>
    <t>航迹千里</t>
  </si>
  <si>
    <t>彭金平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</si>
  <si>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</si>
  <si>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达源通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</si>
  <si>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江达源生物科技有限公司</t>
    </r>
  </si>
  <si>
    <r>
      <t>烈酒; 草本型利口酒;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蜂蜜酒;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白干酒（中国白酒）; 果酒; 米酒</t>
    </r>
  </si>
  <si>
    <r>
      <t>萧</t>
    </r>
    <r>
      <rPr>
        <sz val="11"/>
        <color theme="1"/>
        <rFont val="ＭＳ Ｐゴシック"/>
        <family val="3"/>
        <charset val="128"/>
        <scheme val="minor"/>
      </rPr>
      <t>哈哈</t>
    </r>
  </si>
  <si>
    <r>
      <t>萧县乡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</si>
  <si>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梨酒</t>
    </r>
  </si>
  <si>
    <t>波奇卡廖夫</t>
  </si>
  <si>
    <r>
      <t>绥</t>
    </r>
    <r>
      <rPr>
        <sz val="11"/>
        <color theme="1"/>
        <rFont val="ＭＳ Ｐゴシック"/>
        <family val="3"/>
        <charset val="128"/>
        <scheme val="minor"/>
      </rPr>
      <t>芬河福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斯达供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</si>
  <si>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杜松子酒; 威士忌; 利口酒; 伏特加酒; 白酒; 蜂蜜酒;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</si>
  <si>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神</t>
    </r>
    <r>
      <rPr>
        <sz val="11"/>
        <color theme="1"/>
        <rFont val="ＭＳ Ｐゴシック"/>
        <family val="3"/>
        <charset val="134"/>
        <scheme val="minor"/>
      </rPr>
      <t>农尝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</si>
  <si>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猛猛</t>
    </r>
  </si>
  <si>
    <t>米酒; 葡萄酒; 甜酒; 果酒; 食用酒精; 清酒; 黄酒; 开胃酒; 汽酒; 白酒</t>
  </si>
  <si>
    <r>
      <t>秘境</t>
    </r>
    <r>
      <rPr>
        <sz val="11"/>
        <color theme="1"/>
        <rFont val="ＭＳ Ｐゴシック"/>
        <family val="3"/>
        <charset val="134"/>
        <scheme val="minor"/>
      </rPr>
      <t>寻</t>
    </r>
    <r>
      <rPr>
        <sz val="11"/>
        <color theme="1"/>
        <rFont val="ＭＳ Ｐゴシック"/>
        <family val="3"/>
        <charset val="128"/>
        <scheme val="minor"/>
      </rPr>
      <t>香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</si>
  <si>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伏特加酒; 黄酒; 食用酒精</t>
    </r>
  </si>
  <si>
    <t>平梁</t>
  </si>
  <si>
    <t>何滔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</si>
  <si>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米酒; 白酒</t>
    </r>
  </si>
  <si>
    <r>
      <t>邓</t>
    </r>
    <r>
      <rPr>
        <sz val="11"/>
        <color theme="1"/>
        <rFont val="ＭＳ Ｐゴシック"/>
        <family val="3"/>
        <charset val="128"/>
        <scheme val="minor"/>
      </rPr>
      <t>美英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</si>
  <si>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渝味</t>
    </r>
    <r>
      <rPr>
        <sz val="11"/>
        <color theme="1"/>
        <rFont val="ＭＳ Ｐゴシック"/>
        <family val="3"/>
        <charset val="134"/>
        <scheme val="minor"/>
      </rPr>
      <t>轩农</t>
    </r>
    <r>
      <rPr>
        <sz val="11"/>
        <color theme="1"/>
        <rFont val="ＭＳ Ｐゴシック"/>
        <family val="3"/>
        <charset val="128"/>
        <scheme val="minor"/>
      </rPr>
      <t>副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品加工有限公司</t>
    </r>
  </si>
  <si>
    <r>
      <t>白干酒（中国白酒）;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烈性干酒;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果酒（含酒精）; 开胃酒; 黄酒</t>
    </r>
  </si>
  <si>
    <t>凌香</t>
  </si>
  <si>
    <r>
      <t>长</t>
    </r>
    <r>
      <rPr>
        <sz val="11"/>
        <color theme="1"/>
        <rFont val="ＭＳ Ｐゴシック"/>
        <family val="3"/>
        <charset val="128"/>
        <scheme val="minor"/>
      </rPr>
      <t>沙酒巢酒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</si>
  <si>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含酒精的气泡水; 汽酒; 白酒</t>
    </r>
  </si>
  <si>
    <t>岭世</t>
  </si>
  <si>
    <r>
      <t>烟台悠田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</si>
  <si>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白葡萄酒; 干型苹果酒; 苹果酒; 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</si>
  <si>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世</t>
    </r>
    <r>
      <rPr>
        <sz val="11"/>
        <color theme="1"/>
        <rFont val="ＭＳ Ｐゴシック"/>
        <family val="3"/>
        <charset val="134"/>
        <scheme val="minor"/>
      </rPr>
      <t>巅</t>
    </r>
  </si>
  <si>
    <r>
      <t>周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梅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</si>
  <si>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威士忌; 果酒; 高粱酒; 烈酒</t>
    </r>
  </si>
  <si>
    <r>
      <t>赣</t>
    </r>
    <r>
      <rPr>
        <sz val="11"/>
        <color theme="1"/>
        <rFont val="ＭＳ Ｐゴシック"/>
        <family val="3"/>
        <charset val="128"/>
        <scheme val="minor"/>
      </rPr>
      <t>果惠</t>
    </r>
  </si>
  <si>
    <t>刘海波</t>
  </si>
  <si>
    <r>
      <t>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食用酒精;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</si>
  <si>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拉逢京台酒</t>
  </si>
  <si>
    <r>
      <t>白干酒（中国白酒）;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</si>
  <si>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九</t>
    </r>
    <r>
      <rPr>
        <sz val="11"/>
        <color theme="1"/>
        <rFont val="ＭＳ Ｐゴシック"/>
        <family val="3"/>
        <charset val="134"/>
        <scheme val="minor"/>
      </rPr>
      <t>维爱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</si>
  <si>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黄酒; 露酒;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</si>
  <si>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京宁久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</si>
  <si>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南京</t>
    </r>
    <r>
      <rPr>
        <sz val="11"/>
        <color theme="1"/>
        <rFont val="ＭＳ Ｐゴシック"/>
        <family val="3"/>
        <charset val="134"/>
        <scheme val="minor"/>
      </rPr>
      <t>鹰</t>
    </r>
    <r>
      <rPr>
        <sz val="11"/>
        <color theme="1"/>
        <rFont val="ＭＳ Ｐゴシック"/>
        <family val="3"/>
        <charset val="128"/>
        <scheme val="minor"/>
      </rPr>
      <t>姿</t>
    </r>
    <r>
      <rPr>
        <sz val="11"/>
        <color theme="1"/>
        <rFont val="ＭＳ Ｐゴシック"/>
        <family val="3"/>
        <charset val="134"/>
        <scheme val="minor"/>
      </rPr>
      <t>丽贸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</si>
  <si>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果酒（含酒精）; 黄酒; 日式甜米酒; 清酒;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青稞酒; 苹果酒</t>
    </r>
  </si>
  <si>
    <r>
      <t>谷崎</t>
    </r>
    <r>
      <rPr>
        <sz val="11"/>
        <color theme="1"/>
        <rFont val="ＭＳ Ｐゴシック"/>
        <family val="3"/>
        <charset val="134"/>
        <scheme val="minor"/>
      </rPr>
      <t>绪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</si>
  <si>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白酒; 米酒; 烈酒;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</si>
  <si>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r>
      <t>灵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道</t>
    </r>
    <r>
      <rPr>
        <sz val="11"/>
        <color theme="1"/>
        <rFont val="ＭＳ Ｐゴシック"/>
        <family val="3"/>
        <charset val="134"/>
        <scheme val="minor"/>
      </rPr>
      <t>饮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</si>
  <si>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沽韵酒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</si>
  <si>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果酒; 清酒; 甜果酒; 高粱酒; 米酒; 露酒; 黄酒</t>
    </r>
  </si>
  <si>
    <t>南星老夫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</si>
  <si>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苦艾酒; 果酒（含酒精）; 蝮蛇酒; 白酒; 烈酒;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</si>
  <si>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鹤问</t>
    </r>
    <r>
      <rPr>
        <sz val="11"/>
        <color theme="1"/>
        <rFont val="ＭＳ Ｐゴシック"/>
        <family val="3"/>
        <charset val="128"/>
        <scheme val="minor"/>
      </rPr>
      <t>湖</t>
    </r>
    <r>
      <rPr>
        <sz val="11"/>
        <color theme="1"/>
        <rFont val="ＭＳ Ｐゴシック"/>
        <family val="3"/>
        <charset val="134"/>
        <scheme val="minor"/>
      </rPr>
      <t>问</t>
    </r>
    <r>
      <rPr>
        <sz val="11"/>
        <color theme="1"/>
        <rFont val="ＭＳ Ｐゴシック"/>
        <family val="3"/>
        <charset val="128"/>
        <scheme val="minor"/>
      </rPr>
      <t>湖</t>
    </r>
  </si>
  <si>
    <r>
      <t>江西</t>
    </r>
    <r>
      <rPr>
        <sz val="11"/>
        <color theme="1"/>
        <rFont val="ＭＳ Ｐゴシック"/>
        <family val="3"/>
        <charset val="134"/>
        <scheme val="minor"/>
      </rPr>
      <t>鹤问</t>
    </r>
    <r>
      <rPr>
        <sz val="11"/>
        <color theme="1"/>
        <rFont val="ＭＳ Ｐゴシック"/>
        <family val="3"/>
        <charset val="128"/>
        <scheme val="minor"/>
      </rPr>
      <t>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</si>
  <si>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威士忌; 葡萄酒; 伏特加酒;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</si>
  <si>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梅女神</t>
  </si>
  <si>
    <t>洪土妹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</si>
  <si>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梅酒;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米酒; 威士忌; 果酒（含酒精）; 黄酒; 葡萄酒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</si>
  <si>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半生丰收</t>
    </r>
  </si>
  <si>
    <r>
      <t>青稞酒;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</si>
  <si>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辣工坊食品有限公司</t>
    </r>
  </si>
  <si>
    <r>
      <t xml:space="preserve">青稞酒;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果酒（含酒精）; 白酒; 葡萄酒;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</si>
  <si>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董酒·紫金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藏</t>
    </r>
  </si>
  <si>
    <r>
      <t xml:space="preserve">白酒; 餐后酒（利口酒和烈酒）; 葡萄酒;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梨酒; 清酒（日本米酒）; 米酒</t>
    </r>
  </si>
  <si>
    <r>
      <t>王家解</t>
    </r>
    <r>
      <rPr>
        <sz val="11"/>
        <color theme="1"/>
        <rFont val="ＭＳ Ｐゴシック"/>
        <family val="3"/>
        <charset val="134"/>
        <scheme val="minor"/>
      </rPr>
      <t>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</si>
  <si>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志合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</si>
  <si>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清酒（日本米酒）</t>
    </r>
  </si>
  <si>
    <r>
      <t>鹤问</t>
    </r>
    <r>
      <rPr>
        <sz val="11"/>
        <color theme="1"/>
        <rFont val="ＭＳ Ｐゴシック"/>
        <family val="3"/>
        <charset val="128"/>
        <scheme val="minor"/>
      </rPr>
      <t>湖</t>
    </r>
    <r>
      <rPr>
        <sz val="11"/>
        <color theme="1"/>
        <rFont val="ＭＳ Ｐゴシック"/>
        <family val="3"/>
        <charset val="134"/>
        <scheme val="minor"/>
      </rPr>
      <t>问</t>
    </r>
    <r>
      <rPr>
        <sz val="11"/>
        <color theme="1"/>
        <rFont val="ＭＳ Ｐゴシック"/>
        <family val="3"/>
        <charset val="128"/>
        <scheme val="minor"/>
      </rPr>
      <t>城</t>
    </r>
  </si>
  <si>
    <r>
      <t>伏特加酒;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</si>
  <si>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鑫</t>
    </r>
    <r>
      <rPr>
        <sz val="11"/>
        <color theme="1"/>
        <rFont val="ＭＳ Ｐゴシック"/>
        <family val="3"/>
        <charset val="134"/>
        <scheme val="minor"/>
      </rPr>
      <t>锦绣张</t>
    </r>
    <r>
      <rPr>
        <sz val="11"/>
        <color theme="1"/>
        <rFont val="ＭＳ Ｐゴシック"/>
        <family val="3"/>
        <charset val="128"/>
        <scheme val="minor"/>
      </rPr>
      <t>液</t>
    </r>
  </si>
  <si>
    <r>
      <t>清酒（日本米酒）; 青稞酒; 黄酒; 高粱酒;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伏特加酒</t>
    </r>
  </si>
  <si>
    <r>
      <t>谯</t>
    </r>
    <r>
      <rPr>
        <sz val="11"/>
        <color theme="1"/>
        <rFont val="ＭＳ Ｐゴシック"/>
        <family val="3"/>
        <charset val="128"/>
        <scheme val="minor"/>
      </rPr>
      <t>寿酒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</si>
  <si>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显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</si>
  <si>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果酒（含酒精）</t>
    </r>
  </si>
  <si>
    <r>
      <t>炙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堂</t>
    </r>
  </si>
  <si>
    <r>
      <t>四川灸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堂医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</si>
  <si>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果酒; 葡萄酒; 烈酒; 青梅酒;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白酒</t>
    </r>
  </si>
  <si>
    <r>
      <t>侠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泉</t>
    </r>
  </si>
  <si>
    <r>
      <t>果酒;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威士忌; 白酒;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</si>
  <si>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JARDIN MOUEDE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</si>
  <si>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建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</si>
  <si>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起泡白葡萄酒; 白葡萄酒; 威士忌; 朗姆酒; 果酒; 葡萄酒;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</si>
  <si>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慧和池</t>
  </si>
  <si>
    <r>
      <t>石</t>
    </r>
    <r>
      <rPr>
        <sz val="11"/>
        <color theme="1"/>
        <rFont val="ＭＳ Ｐゴシック"/>
        <family val="3"/>
        <charset val="134"/>
        <scheme val="minor"/>
      </rPr>
      <t>银东</t>
    </r>
  </si>
  <si>
    <r>
      <t>威士忌; 伏特加酒; 果酒（含酒精）;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</si>
  <si>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白酒; 米酒; 食用酒精; 葡萄酒</t>
    </r>
  </si>
  <si>
    <t>葛氏百福园</t>
  </si>
  <si>
    <r>
      <t>葛建</t>
    </r>
    <r>
      <rPr>
        <sz val="11"/>
        <color theme="1"/>
        <rFont val="ＭＳ Ｐゴシック"/>
        <family val="3"/>
        <charset val="134"/>
        <scheme val="minor"/>
      </rPr>
      <t>栋</t>
    </r>
  </si>
  <si>
    <r>
      <t>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青稞酒; 黄酒; 白酒; 葡萄酒</t>
    </r>
  </si>
  <si>
    <t>白玉河</t>
  </si>
  <si>
    <t>李天文</t>
  </si>
  <si>
    <r>
      <t xml:space="preserve">果酒（含酒精）; 葡萄酒; 白酒; 薄荷酒; 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</t>
    </r>
  </si>
  <si>
    <r>
      <t>富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泰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</si>
  <si>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振宏</t>
    </r>
  </si>
  <si>
    <r>
      <t xml:space="preserve">米酒; 果酒（含酒精）; 开胃酒; 威士忌;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薄荷酒</t>
    </r>
  </si>
  <si>
    <r>
      <t>臻•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棠</t>
    </r>
  </si>
  <si>
    <r>
      <t xml:space="preserve">黄酒;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甜酒; 梅酒;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米酒; 烈性干酒; 清酒</t>
    </r>
  </si>
  <si>
    <t>威武虎</t>
  </si>
  <si>
    <r>
      <t>周</t>
    </r>
    <r>
      <rPr>
        <sz val="11"/>
        <color theme="1"/>
        <rFont val="ＭＳ Ｐゴシック"/>
        <family val="3"/>
        <charset val="134"/>
        <scheme val="minor"/>
      </rPr>
      <t>红军</t>
    </r>
  </si>
  <si>
    <r>
      <t>果酒;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葡萄酒; 食用酒精; 白酒;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</si>
  <si>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遵云</t>
    </r>
    <r>
      <rPr>
        <sz val="11"/>
        <color theme="1"/>
        <rFont val="ＭＳ Ｐゴシック"/>
        <family val="3"/>
        <charset val="134"/>
        <scheme val="minor"/>
      </rPr>
      <t>边</t>
    </r>
  </si>
  <si>
    <r>
      <t>翟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普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</si>
  <si>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高粱酒;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梨酒; 白干酒（中国白酒）</t>
    </r>
  </si>
  <si>
    <t>夏厨丁湘花</t>
  </si>
  <si>
    <r>
      <t>夏</t>
    </r>
    <r>
      <rPr>
        <sz val="11"/>
        <color theme="1"/>
        <rFont val="ＭＳ Ｐゴシック"/>
        <family val="3"/>
        <charset val="134"/>
        <scheme val="minor"/>
      </rPr>
      <t>顺军</t>
    </r>
  </si>
  <si>
    <r>
      <t xml:space="preserve">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青稞酒;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梨酒; 米酒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</si>
  <si>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载</t>
    </r>
  </si>
  <si>
    <t>刘杰</t>
  </si>
  <si>
    <r>
      <t>葡萄酒;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</si>
  <si>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椒魅儿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</si>
  <si>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</t>
    </r>
  </si>
  <si>
    <r>
      <t>蓟</t>
    </r>
    <r>
      <rPr>
        <sz val="11"/>
        <color theme="1"/>
        <rFont val="ＭＳ Ｐゴシック"/>
        <family val="3"/>
        <charset val="128"/>
        <scheme val="minor"/>
      </rPr>
      <t>谷香</t>
    </r>
  </si>
  <si>
    <r>
      <t>马兴</t>
    </r>
    <r>
      <rPr>
        <sz val="11"/>
        <color theme="1"/>
        <rFont val="ＭＳ Ｐゴシック"/>
        <family val="3"/>
        <charset val="128"/>
        <scheme val="minor"/>
      </rPr>
      <t>元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</si>
  <si>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青稞酒; 汽酒;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</si>
  <si>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允雪都</t>
  </si>
  <si>
    <t>常州玖臻祥副食品有限公司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</si>
  <si>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米酒; 清酒; 白酒; 黄酒; 葡萄酒;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</t>
    </r>
  </si>
  <si>
    <t>和九天</t>
  </si>
  <si>
    <r>
      <t>利口酒;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</si>
  <si>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醉蝉娥</t>
  </si>
  <si>
    <t>申明全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</si>
  <si>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</t>
    </r>
  </si>
  <si>
    <r>
      <t>四河</t>
    </r>
    <r>
      <rPr>
        <sz val="11"/>
        <color theme="1"/>
        <rFont val="ＭＳ Ｐゴシック"/>
        <family val="3"/>
        <charset val="134"/>
        <scheme val="minor"/>
      </rPr>
      <t>头</t>
    </r>
  </si>
  <si>
    <r>
      <t xml:space="preserve">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</si>
  <si>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合肥永不褪色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</si>
  <si>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汽酒; 食用酒精;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黄酒</t>
    </r>
  </si>
  <si>
    <t>椒玖坊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</si>
  <si>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</si>
  <si>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t>韵膳拾光</t>
  </si>
  <si>
    <r>
      <t>洛阳膳道餐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</si>
  <si>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含酒精的气泡水;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</si>
  <si>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智真园</t>
  </si>
  <si>
    <r>
      <t>张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</si>
  <si>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青梅酒; 伏特加酒;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葡萄酒; 清酒（日本米酒）; 白酒</t>
    </r>
  </si>
  <si>
    <r>
      <t>至樽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祖</t>
    </r>
  </si>
  <si>
    <r>
      <t>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米酒; 白酒; 利口酒;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威士忌</t>
    </r>
  </si>
  <si>
    <t>兔卜兔</t>
  </si>
  <si>
    <r>
      <t xml:space="preserve">白酒; 果酒（含酒精）; 葡萄酒; 威士忌;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黄酒; 米酒</t>
    </r>
  </si>
  <si>
    <r>
      <t>颂</t>
    </r>
    <r>
      <rPr>
        <sz val="11"/>
        <color theme="1"/>
        <rFont val="ＭＳ Ｐゴシック"/>
        <family val="3"/>
        <charset val="128"/>
        <scheme val="minor"/>
      </rPr>
      <t>一懐</t>
    </r>
  </si>
  <si>
    <r>
      <t>御酒品牌管理（重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</si>
  <si>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葡萄酒</t>
    </r>
  </si>
  <si>
    <r>
      <t>清人</t>
    </r>
    <r>
      <rPr>
        <sz val="11"/>
        <color theme="1"/>
        <rFont val="ＭＳ Ｐゴシック"/>
        <family val="3"/>
        <charset val="134"/>
        <scheme val="minor"/>
      </rPr>
      <t>乌</t>
    </r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</si>
  <si>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江墨土</t>
    </r>
    <r>
      <rPr>
        <sz val="11"/>
        <color theme="1"/>
        <rFont val="ＭＳ Ｐゴシック"/>
        <family val="3"/>
        <charset val="134"/>
        <scheme val="minor"/>
      </rPr>
      <t>农产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</si>
  <si>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薄荷酒; 米酒; 黄酒</t>
    </r>
  </si>
  <si>
    <r>
      <t>大夫</t>
    </r>
    <r>
      <rPr>
        <sz val="11"/>
        <color theme="1"/>
        <rFont val="ＭＳ Ｐゴシック"/>
        <family val="3"/>
        <charset val="134"/>
        <scheme val="minor"/>
      </rPr>
      <t>顶</t>
    </r>
  </si>
  <si>
    <t>朱国明</t>
  </si>
  <si>
    <r>
      <t>果酒（含酒精）;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</t>
    </r>
  </si>
  <si>
    <t>葵田</t>
  </si>
  <si>
    <r>
      <t>广州株社葵田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</si>
  <si>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食用酒精; 清酒; 果酒（含酒精）; 黄酒; 米酒; 清酒（日本米酒）;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</si>
  <si>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云</t>
    </r>
    <r>
      <rPr>
        <sz val="11"/>
        <color theme="1"/>
        <rFont val="ＭＳ Ｐゴシック"/>
        <family val="3"/>
        <charset val="134"/>
        <scheme val="minor"/>
      </rPr>
      <t>边</t>
    </r>
  </si>
  <si>
    <t>李浩浩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</si>
  <si>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汽酒; 米酒; 高粱酒;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</si>
  <si>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谢诺</t>
  </si>
  <si>
    <r>
      <t>国仁</t>
    </r>
    <r>
      <rPr>
        <sz val="11"/>
        <color theme="1"/>
        <rFont val="ＭＳ Ｐゴシック"/>
        <family val="3"/>
        <charset val="134"/>
        <scheme val="minor"/>
      </rPr>
      <t>肽</t>
    </r>
    <r>
      <rPr>
        <sz val="11"/>
        <color theme="1"/>
        <rFont val="ＭＳ Ｐゴシック"/>
        <family val="3"/>
        <charset val="128"/>
        <scheme val="minor"/>
      </rPr>
      <t>健康品牌运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（广州）有限公司</t>
    </r>
  </si>
  <si>
    <r>
      <t>米酒;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白干酒（中国白酒）; 葡萄酒</t>
    </r>
  </si>
  <si>
    <r>
      <t>彩云</t>
    </r>
    <r>
      <rPr>
        <sz val="11"/>
        <color theme="1"/>
        <rFont val="ＭＳ Ｐゴシック"/>
        <family val="3"/>
        <charset val="134"/>
        <scheme val="minor"/>
      </rPr>
      <t>边</t>
    </r>
  </si>
  <si>
    <r>
      <t>白干酒（中国白酒）; 米酒;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</si>
  <si>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氏三合酒坊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</si>
  <si>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春云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</si>
  <si>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</si>
  <si>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r>
      <t>每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冰雕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</si>
  <si>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老知青智慧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</si>
  <si>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日式甜米酒; 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</si>
  <si>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GOLDEN GRIP</t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</si>
  <si>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朗姆酒;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起泡白葡萄酒; 果酒; 伏特加酒; 烈酒</t>
    </r>
  </si>
  <si>
    <t>RETROWEAR</t>
  </si>
  <si>
    <r>
      <t>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果酒; 威士忌; 葡萄酒; 起泡白葡萄酒; 朗姆酒; 伏特加酒; 白葡萄酒;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</t>
    </r>
  </si>
  <si>
    <r>
      <t>贤</t>
    </r>
    <r>
      <rPr>
        <sz val="11"/>
        <color theme="1"/>
        <rFont val="ＭＳ Ｐゴシック"/>
        <family val="3"/>
        <charset val="128"/>
        <scheme val="minor"/>
      </rPr>
      <t>杰</t>
    </r>
  </si>
  <si>
    <r>
      <t>韩</t>
    </r>
    <r>
      <rPr>
        <sz val="11"/>
        <color theme="1"/>
        <rFont val="ＭＳ Ｐゴシック"/>
        <family val="3"/>
        <charset val="128"/>
        <scheme val="minor"/>
      </rPr>
      <t>旺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</si>
  <si>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米酒;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梨酒; 果酒（含酒精）; 葡萄酒</t>
    </r>
  </si>
  <si>
    <t>恒旺三宝</t>
  </si>
  <si>
    <r>
      <t>冉光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</si>
  <si>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蜂蜜酒; 白酒; 葡萄酒; 黄酒; 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</t>
    </r>
  </si>
  <si>
    <t>智和信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</si>
  <si>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智和信工程服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</si>
  <si>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葡萄酒; 伏特加酒; 白酒; 开胃酒;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</si>
  <si>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鹤问</t>
    </r>
    <r>
      <rPr>
        <sz val="11"/>
        <color theme="1"/>
        <rFont val="ＭＳ Ｐゴシック"/>
        <family val="3"/>
        <charset val="128"/>
        <scheme val="minor"/>
      </rPr>
      <t>湖</t>
    </r>
    <r>
      <rPr>
        <sz val="11"/>
        <color theme="1"/>
        <rFont val="ＭＳ Ｐゴシック"/>
        <family val="3"/>
        <charset val="134"/>
        <scheme val="minor"/>
      </rPr>
      <t>问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</si>
  <si>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伏特加酒; 威士忌;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</si>
  <si>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阁</t>
    </r>
    <r>
      <rPr>
        <sz val="11"/>
        <color theme="1"/>
        <rFont val="ＭＳ Ｐゴシック"/>
        <family val="3"/>
        <charset val="128"/>
        <scheme val="minor"/>
      </rPr>
      <t>臣</t>
    </r>
  </si>
  <si>
    <r>
      <t>胡云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</si>
  <si>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白酒; 露酒; 白干酒（中国白酒）;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</t>
    </r>
  </si>
  <si>
    <t>木朗斯</t>
  </si>
  <si>
    <r>
      <t>广州莱倪客商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</si>
  <si>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</si>
  <si>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清照</t>
    </r>
    <r>
      <rPr>
        <sz val="11"/>
        <color theme="1"/>
        <rFont val="ＭＳ Ｐゴシック"/>
        <family val="3"/>
        <charset val="134"/>
        <scheme val="minor"/>
      </rPr>
      <t>词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</si>
  <si>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白酒; 黄酒; 葡萄酒; 开胃酒; 苹果酒; 酸酒（低等葡萄酒）; 果酒（含酒精）</t>
    </r>
  </si>
  <si>
    <t>至尊仁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</si>
  <si>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果酒; 烈酒;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</si>
  <si>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厂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</si>
  <si>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州市</t>
    </r>
    <r>
      <rPr>
        <sz val="11"/>
        <color theme="1"/>
        <rFont val="ＭＳ Ｐゴシック"/>
        <family val="3"/>
        <charset val="134"/>
        <scheme val="minor"/>
      </rPr>
      <t>泸</t>
    </r>
    <r>
      <rPr>
        <sz val="11"/>
        <color theme="1"/>
        <rFont val="ＭＳ Ｐゴシック"/>
        <family val="3"/>
        <charset val="128"/>
        <scheme val="minor"/>
      </rPr>
      <t>厂酒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</si>
  <si>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葡萄酒; 果酒（含酒精）; 清酒（日本米酒）;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黄酒</t>
    </r>
  </si>
  <si>
    <t>醉馥娘</t>
  </si>
  <si>
    <r>
      <t>杨东</t>
    </r>
    <r>
      <rPr>
        <sz val="11"/>
        <color theme="1"/>
        <rFont val="ＭＳ Ｐゴシック"/>
        <family val="3"/>
        <charset val="128"/>
        <scheme val="minor"/>
      </rPr>
      <t>柏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</si>
  <si>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蜂蜜酒; 黄酒; 葡萄酒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</si>
  <si>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膳庭</t>
    </r>
  </si>
  <si>
    <t>黄雪梅</t>
  </si>
  <si>
    <r>
      <t>白酒; 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黄酒;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</si>
  <si>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 xml:space="preserve">果酒; 果酒（含酒精）; 利口酒;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甜果酒; 水果汽酒</t>
    </r>
  </si>
  <si>
    <t>浙俏</t>
  </si>
  <si>
    <r>
      <t>郑</t>
    </r>
    <r>
      <rPr>
        <sz val="11"/>
        <color theme="1"/>
        <rFont val="ＭＳ Ｐゴシック"/>
        <family val="3"/>
        <charset val="128"/>
        <scheme val="minor"/>
      </rPr>
      <t>更新</t>
    </r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</si>
  <si>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</si>
  <si>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三度修心</t>
  </si>
  <si>
    <t>孔冬梅</t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</si>
  <si>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葡萄酒; 米酒</t>
    </r>
  </si>
  <si>
    <t>薯悦客</t>
  </si>
  <si>
    <r>
      <t>宇宙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亮控股(湖北)有限公司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</si>
  <si>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清酒（日本米酒）; 白酒; 伏特加酒;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果酒（含酒精）; 开胃酒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</si>
  <si>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溪里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</si>
  <si>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山商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</si>
  <si>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果酒（含酒精）;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米酒; 黄酒; 葡萄酒; 柑香酒</t>
    </r>
  </si>
  <si>
    <t>蜀中酒典</t>
  </si>
  <si>
    <r>
      <t>成都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汇兴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</si>
  <si>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清酒; 米酒</t>
    </r>
  </si>
  <si>
    <t>稼速</t>
  </si>
  <si>
    <t>北京航天朗勤科技有限公司</t>
  </si>
  <si>
    <r>
      <t>葡萄酒; 威士忌; 朗姆酒; 白酒;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</si>
  <si>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寿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</si>
  <si>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宗全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</si>
  <si>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苹果酒; 葡萄酒; 清酒（日本米酒）;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</si>
  <si>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彩</t>
    </r>
    <r>
      <rPr>
        <sz val="11"/>
        <color theme="1"/>
        <rFont val="ＭＳ Ｐゴシック"/>
        <family val="3"/>
        <charset val="134"/>
        <scheme val="minor"/>
      </rPr>
      <t>玺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</si>
  <si>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葡萄酒; 果酒（含酒精）;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</t>
    </r>
  </si>
  <si>
    <t>杏天朝</t>
  </si>
  <si>
    <r>
      <t>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高粱酒; 果酒（含酒精）;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</si>
  <si>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江南</t>
    </r>
    <r>
      <rPr>
        <sz val="11"/>
        <color theme="1"/>
        <rFont val="ＭＳ Ｐゴシック"/>
        <family val="3"/>
        <charset val="134"/>
        <scheme val="minor"/>
      </rPr>
      <t>驿</t>
    </r>
    <r>
      <rPr>
        <sz val="11"/>
        <color theme="1"/>
        <rFont val="ＭＳ Ｐゴシック"/>
        <family val="3"/>
        <charset val="128"/>
        <scheme val="minor"/>
      </rPr>
      <t>不</t>
    </r>
    <r>
      <rPr>
        <sz val="11"/>
        <color theme="1"/>
        <rFont val="ＭＳ Ｐゴシック"/>
        <family val="3"/>
        <charset val="134"/>
        <scheme val="minor"/>
      </rPr>
      <t>馋</t>
    </r>
  </si>
  <si>
    <r>
      <t>杭州江南</t>
    </r>
    <r>
      <rPr>
        <sz val="11"/>
        <color theme="1"/>
        <rFont val="ＭＳ Ｐゴシック"/>
        <family val="3"/>
        <charset val="134"/>
        <scheme val="minor"/>
      </rPr>
      <t>驿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</si>
  <si>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清酒（日本米酒）; 威士忌</t>
    </r>
  </si>
  <si>
    <r>
      <t>七公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</si>
  <si>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河南妙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</si>
  <si>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米酒;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</si>
  <si>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ONE CUP OF SEA</t>
  </si>
  <si>
    <r>
      <t>王琮</t>
    </r>
    <r>
      <rPr>
        <sz val="11"/>
        <color theme="1"/>
        <rFont val="ＭＳ Ｐゴシック"/>
        <family val="3"/>
        <charset val="134"/>
        <scheme val="minor"/>
      </rPr>
      <t>凯</t>
    </r>
  </si>
  <si>
    <r>
      <t xml:space="preserve">米酒;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</si>
  <si>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SHENG ZI JI</t>
  </si>
  <si>
    <r>
      <t>陈尔</t>
    </r>
    <r>
      <rPr>
        <sz val="11"/>
        <color theme="1"/>
        <rFont val="ＭＳ Ｐゴシック"/>
        <family val="3"/>
        <charset val="128"/>
        <scheme val="minor"/>
      </rPr>
      <t>澄</t>
    </r>
  </si>
  <si>
    <r>
      <t>蜂蜜酒; 白酒;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</si>
  <si>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t>楠溪嫂</t>
  </si>
  <si>
    <r>
      <t>陈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敏</t>
    </r>
  </si>
  <si>
    <r>
      <t xml:space="preserve">白酒; 烈酒; 青稞酒;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</si>
  <si>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寸</t>
    </r>
    <r>
      <rPr>
        <sz val="11"/>
        <color theme="1"/>
        <rFont val="ＭＳ Ｐゴシック"/>
        <family val="3"/>
        <charset val="134"/>
        <scheme val="minor"/>
      </rPr>
      <t>轻</t>
    </r>
  </si>
  <si>
    <t>杭州吉初品牌管理有限公司</t>
  </si>
  <si>
    <r>
      <t xml:space="preserve">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</si>
  <si>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r>
      <t>泽</t>
    </r>
    <r>
      <rPr>
        <sz val="11"/>
        <color theme="1"/>
        <rFont val="ＭＳ Ｐゴシック"/>
        <family val="3"/>
        <charset val="128"/>
        <scheme val="minor"/>
      </rPr>
      <t>青宏</t>
    </r>
  </si>
  <si>
    <r>
      <t>绍兴</t>
    </r>
    <r>
      <rPr>
        <sz val="11"/>
        <color theme="1"/>
        <rFont val="ＭＳ Ｐゴシック"/>
        <family val="3"/>
        <charset val="128"/>
        <scheme val="minor"/>
      </rPr>
      <t>市和家园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境科技有限公司</t>
    </r>
  </si>
  <si>
    <r>
      <t xml:space="preserve">黄酒; 威士忌;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汽酒; 食用酒精;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</si>
  <si>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同路酒庄</t>
  </si>
  <si>
    <r>
      <t>海南金</t>
    </r>
    <r>
      <rPr>
        <sz val="11"/>
        <color theme="1"/>
        <rFont val="ＭＳ Ｐゴシック"/>
        <family val="3"/>
        <charset val="134"/>
        <scheme val="minor"/>
      </rPr>
      <t>盘实业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</si>
  <si>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开胃酒;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苹果酒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</si>
  <si>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半生</t>
    </r>
  </si>
  <si>
    <r>
      <t>食用酒精; 青稞酒; 露酒;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</si>
  <si>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观澜</t>
    </r>
  </si>
  <si>
    <t>四川射洪市太乙酒厂</t>
  </si>
  <si>
    <r>
      <t>葡萄酒; 白酒;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开胃酒;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</si>
  <si>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客</t>
    </r>
    <r>
      <rPr>
        <sz val="11"/>
        <color theme="1"/>
        <rFont val="ＭＳ Ｐゴシック"/>
        <family val="3"/>
        <charset val="134"/>
        <scheme val="minor"/>
      </rPr>
      <t>绵</t>
    </r>
  </si>
  <si>
    <t>章德荣</t>
  </si>
  <si>
    <r>
      <t>清酒（日本米酒）;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开胃酒; 茴芹酒（利口酒）</t>
    </r>
  </si>
  <si>
    <r>
      <t>宫</t>
    </r>
    <r>
      <rPr>
        <sz val="11"/>
        <color theme="1"/>
        <rFont val="ＭＳ Ｐゴシック"/>
        <family val="3"/>
        <charset val="128"/>
        <scheme val="minor"/>
      </rPr>
      <t>年</t>
    </r>
  </si>
  <si>
    <r>
      <t xml:space="preserve">白酒; 薄荷酒;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威士忌;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果酒（含酒精）; 葡萄酒</t>
    </r>
  </si>
  <si>
    <t>RD</t>
  </si>
  <si>
    <t>周行</t>
  </si>
  <si>
    <r>
      <t>果酒（含酒精）; 含酒精的气泡水; 甜果酒;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青梅酒;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</si>
  <si>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村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</si>
  <si>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荣友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</si>
  <si>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果酒（含酒精）; 葡萄酒; 威士忌;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</si>
  <si>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怡枚</t>
  </si>
  <si>
    <t>桑芳</t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</si>
  <si>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梨酒; 米酒; 葡萄酒</t>
    </r>
  </si>
  <si>
    <t>盛京人人</t>
  </si>
  <si>
    <r>
      <t>田春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</si>
  <si>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清酒; 米酒</t>
    </r>
  </si>
  <si>
    <t>FAISKEY SEA</t>
  </si>
  <si>
    <t>王子敬</t>
  </si>
  <si>
    <r>
      <t xml:space="preserve">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伏特加酒;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</si>
  <si>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苗嘎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</si>
  <si>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州苗嘎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中医养生</t>
    </r>
    <r>
      <rPr>
        <sz val="11"/>
        <color theme="1"/>
        <rFont val="ＭＳ Ｐゴシック"/>
        <family val="3"/>
        <charset val="134"/>
        <scheme val="minor"/>
      </rPr>
      <t>连锁经营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</si>
  <si>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梨酒;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</si>
  <si>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畲阿妹</t>
  </si>
  <si>
    <r>
      <t>龙</t>
    </r>
    <r>
      <rPr>
        <sz val="11"/>
        <color theme="1"/>
        <rFont val="ＭＳ Ｐゴシック"/>
        <family val="3"/>
        <charset val="128"/>
        <scheme val="minor"/>
      </rPr>
      <t>泉市竹垟畲族</t>
    </r>
    <r>
      <rPr>
        <sz val="11"/>
        <color theme="1"/>
        <rFont val="ＭＳ Ｐゴシック"/>
        <family val="3"/>
        <charset val="134"/>
        <scheme val="minor"/>
      </rPr>
      <t>乡农</t>
    </r>
    <r>
      <rPr>
        <sz val="11"/>
        <color theme="1"/>
        <rFont val="ＭＳ Ｐゴシック"/>
        <family val="3"/>
        <charset val="128"/>
        <scheme val="minor"/>
      </rPr>
      <t>村集体</t>
    </r>
    <r>
      <rPr>
        <sz val="11"/>
        <color theme="1"/>
        <rFont val="ＭＳ Ｐゴシック"/>
        <family val="3"/>
        <charset val="134"/>
        <scheme val="minor"/>
      </rPr>
      <t>经济发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</si>
  <si>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</si>
  <si>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汨汁源</t>
  </si>
  <si>
    <t>湖南米汁原食品科技有限公司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</si>
  <si>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高粱酒; 米酒; 果酒; 葡萄酒; 黄酒; 白酒;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</t>
    </r>
  </si>
  <si>
    <t>樵庭王子</t>
  </si>
  <si>
    <t>黄金祥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</si>
  <si>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蒸煮提取物（利口酒和烈酒）; 食用酒精; 米酒; 白酒;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</si>
  <si>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馥照 FUK ZIU</t>
  </si>
  <si>
    <r>
      <t>广州海珠区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馥冷</t>
    </r>
    <r>
      <rPr>
        <sz val="11"/>
        <color theme="1"/>
        <rFont val="ＭＳ Ｐゴシック"/>
        <family val="3"/>
        <charset val="134"/>
        <scheme val="minor"/>
      </rPr>
      <t>热饮</t>
    </r>
    <r>
      <rPr>
        <sz val="11"/>
        <color theme="1"/>
        <rFont val="ＭＳ Ｐゴシック"/>
        <family val="3"/>
        <charset val="128"/>
        <scheme val="minor"/>
      </rPr>
      <t>料店</t>
    </r>
  </si>
  <si>
    <r>
      <t>利口酒; 梅酒; 含酒精的气泡水; 白酒; 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>酒; 威士忌; 米酒;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</si>
  <si>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r>
      <t>员</t>
    </r>
    <r>
      <rPr>
        <sz val="11"/>
        <color theme="1"/>
        <rFont val="ＭＳ Ｐゴシック"/>
        <family val="3"/>
        <charset val="128"/>
        <scheme val="minor"/>
      </rPr>
      <t>源酒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</si>
  <si>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白酒; 黄酒; 葡萄酒; 清酒;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</si>
  <si>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家</t>
    </r>
    <r>
      <rPr>
        <sz val="11"/>
        <color theme="1"/>
        <rFont val="ＭＳ Ｐゴシック"/>
        <family val="3"/>
        <charset val="134"/>
        <scheme val="minor"/>
      </rPr>
      <t>畅</t>
    </r>
  </si>
  <si>
    <r>
      <t>门</t>
    </r>
    <r>
      <rPr>
        <sz val="11"/>
        <color theme="1"/>
        <rFont val="ＭＳ Ｐゴシック"/>
        <family val="3"/>
        <charset val="128"/>
        <scheme val="minor"/>
      </rPr>
      <t>金柱</t>
    </r>
  </si>
  <si>
    <r>
      <t>白酒; 果酒（含酒精）; 青稞酒;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葡萄酒</t>
    </r>
  </si>
  <si>
    <r>
      <t>富</t>
    </r>
    <r>
      <rPr>
        <sz val="11"/>
        <color theme="1"/>
        <rFont val="ＭＳ Ｐゴシック"/>
        <family val="3"/>
        <charset val="134"/>
        <scheme val="minor"/>
      </rPr>
      <t>畅</t>
    </r>
  </si>
  <si>
    <r>
      <t>开胃酒;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果酒（含酒精）; 葡萄酒; 苹果酒;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</si>
  <si>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赤能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</si>
  <si>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</t>
    </r>
  </si>
  <si>
    <r>
      <t>坔</t>
    </r>
    <r>
      <rPr>
        <sz val="11"/>
        <color theme="1"/>
        <rFont val="ＭＳ Ｐゴシック"/>
        <family val="3"/>
        <charset val="128"/>
        <scheme val="minor"/>
      </rPr>
      <t>壹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</si>
  <si>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宁夏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九品牌管理有限公司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</si>
  <si>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柑香酒; 汽酒; 果酒（含酒精）; 葡萄酒; 餐后酒（利口酒和烈酒）; 酸酒（低等葡萄酒）;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</t>
    </r>
  </si>
  <si>
    <t>闲兴</t>
  </si>
  <si>
    <r>
      <t>崔金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</si>
  <si>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威士忌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</si>
  <si>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工源味</t>
    </r>
  </si>
  <si>
    <t>广州市心安食品科技有限公司</t>
  </si>
  <si>
    <r>
      <t>果酒（含酒精）;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白酒;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水果汽酒;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</si>
  <si>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素坊</t>
    </r>
  </si>
  <si>
    <r>
      <t>徐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祥</t>
    </r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</si>
  <si>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黄酒; 果酒（含酒精）; 利口酒; 白酒; 米酒</t>
    </r>
  </si>
  <si>
    <t>青山漫</t>
  </si>
  <si>
    <r>
      <t>李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萍</t>
    </r>
  </si>
  <si>
    <r>
      <t>白酒; 葡萄酒;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青稞酒; 米酒</t>
    </r>
  </si>
  <si>
    <r>
      <t>寒</t>
    </r>
    <r>
      <rPr>
        <sz val="11"/>
        <color theme="1"/>
        <rFont val="ＭＳ Ｐゴシック"/>
        <family val="3"/>
        <charset val="134"/>
        <scheme val="minor"/>
      </rPr>
      <t>时</t>
    </r>
  </si>
  <si>
    <r>
      <t>天津百年藤国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</si>
  <si>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伏特加酒; 葡萄酒</t>
    </r>
  </si>
  <si>
    <r>
      <t>豫</t>
    </r>
    <r>
      <rPr>
        <sz val="11"/>
        <color theme="1"/>
        <rFont val="ＭＳ Ｐゴシック"/>
        <family val="3"/>
        <charset val="134"/>
        <scheme val="minor"/>
      </rPr>
      <t>鹰</t>
    </r>
    <r>
      <rPr>
        <sz val="11"/>
        <color theme="1"/>
        <rFont val="ＭＳ Ｐゴシック"/>
        <family val="3"/>
        <charset val="128"/>
        <scheme val="minor"/>
      </rPr>
      <t>聚</t>
    </r>
    <r>
      <rPr>
        <sz val="11"/>
        <color theme="1"/>
        <rFont val="ＭＳ Ｐゴシック"/>
        <family val="3"/>
        <charset val="134"/>
        <scheme val="minor"/>
      </rPr>
      <t>发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</si>
  <si>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二</t>
    </r>
    <r>
      <rPr>
        <sz val="11"/>
        <color theme="1"/>
        <rFont val="ＭＳ Ｐゴシック"/>
        <family val="3"/>
        <charset val="134"/>
        <scheme val="minor"/>
      </rPr>
      <t>艳</t>
    </r>
  </si>
  <si>
    <r>
      <t xml:space="preserve">米酒; 伏特加酒;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白酒</t>
    </r>
  </si>
  <si>
    <t>CHAGANLAKE</t>
  </si>
  <si>
    <r>
      <t>前郭</t>
    </r>
    <r>
      <rPr>
        <sz val="11"/>
        <color theme="1"/>
        <rFont val="ＭＳ Ｐゴシック"/>
        <family val="3"/>
        <charset val="134"/>
        <scheme val="minor"/>
      </rPr>
      <t>尔罗</t>
    </r>
    <r>
      <rPr>
        <sz val="11"/>
        <color theme="1"/>
        <rFont val="ＭＳ Ｐゴシック"/>
        <family val="3"/>
        <charset val="128"/>
        <scheme val="minor"/>
      </rPr>
      <t>斯蒙古族自治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9"/>
        <scheme val="minor"/>
      </rPr>
      <t>查</t>
    </r>
    <r>
      <rPr>
        <sz val="11"/>
        <color theme="1"/>
        <rFont val="ＭＳ Ｐゴシック"/>
        <family val="3"/>
        <charset val="128"/>
        <scheme val="minor"/>
      </rPr>
      <t>干泡酒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</si>
  <si>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白干酒（中国白酒）; 葡萄酒; 白酒; 开胃酒; 草莓酒;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梨酒; 米酒; 黄酒</t>
    </r>
  </si>
  <si>
    <t>菱巷王子</t>
  </si>
  <si>
    <t>李川林</t>
  </si>
  <si>
    <r>
      <t>白酒; 黄酒; 米酒; 果酒（含酒精）;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</si>
  <si>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r>
      <t>銮</t>
    </r>
    <r>
      <rPr>
        <sz val="11"/>
        <color theme="1"/>
        <rFont val="ＭＳ Ｐゴシック"/>
        <family val="3"/>
        <charset val="128"/>
        <scheme val="minor"/>
      </rPr>
      <t>浩王子</t>
    </r>
  </si>
  <si>
    <r>
      <t>介</t>
    </r>
    <r>
      <rPr>
        <sz val="11"/>
        <color theme="1"/>
        <rFont val="ＭＳ Ｐゴシック"/>
        <family val="3"/>
        <charset val="134"/>
        <scheme val="minor"/>
      </rPr>
      <t>资龙</t>
    </r>
  </si>
  <si>
    <r>
      <t>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白酒;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</si>
  <si>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璞旦王子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</si>
  <si>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食用酒精;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</t>
    </r>
  </si>
  <si>
    <t>蜀大泡</t>
  </si>
  <si>
    <r>
      <t>四川食研院食品科技研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</si>
  <si>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</si>
  <si>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DA CHONG JIU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</si>
  <si>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州舍台酒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</si>
  <si>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薄荷酒; 苹果酒; 葡萄酒</t>
    </r>
  </si>
  <si>
    <t>瀚典</t>
  </si>
  <si>
    <r>
      <t>邱建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</si>
  <si>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开胃酒; 葡萄酒;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烈酒</t>
    </r>
  </si>
  <si>
    <t>葵耀千秋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</si>
  <si>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蒸煮提取物（利口酒和烈酒）; 葡萄酒;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</si>
  <si>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粤</t>
    </r>
  </si>
  <si>
    <t>刘健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</si>
  <si>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食用酒精; 葡萄酒; 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米酒</t>
    </r>
  </si>
  <si>
    <t>寿坤台</t>
  </si>
  <si>
    <r>
      <t xml:space="preserve">开胃酒;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薄荷酒;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</si>
  <si>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巴达</t>
    </r>
    <r>
      <rPr>
        <sz val="11"/>
        <color theme="1"/>
        <rFont val="ＭＳ Ｐゴシック"/>
        <family val="3"/>
        <charset val="134"/>
        <scheme val="minor"/>
      </rPr>
      <t>鸟</t>
    </r>
  </si>
  <si>
    <r>
      <t>车</t>
    </r>
    <r>
      <rPr>
        <sz val="11"/>
        <color theme="1"/>
        <rFont val="ＭＳ Ｐゴシック"/>
        <family val="3"/>
        <charset val="128"/>
        <scheme val="minor"/>
      </rPr>
      <t>巴达科技（云南）有限公司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</si>
  <si>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食用酒精; 果酒（含酒精）; 黄酒; 威士忌; 青稞酒</t>
    </r>
  </si>
  <si>
    <t>湘寿坊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</si>
  <si>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威士忌;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清酒（日本米酒）; 葡萄酒</t>
    </r>
  </si>
  <si>
    <t>FANTASY EAGLE</t>
  </si>
  <si>
    <r>
      <t>上海奔特国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</si>
  <si>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米酒; 黄酒</t>
    </r>
  </si>
  <si>
    <t>贮玺</t>
  </si>
  <si>
    <t>刘恒</t>
  </si>
  <si>
    <r>
      <t>高粱酒;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</si>
  <si>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菩</t>
    </r>
    <r>
      <rPr>
        <sz val="11"/>
        <color theme="1"/>
        <rFont val="ＭＳ Ｐゴシック"/>
        <family val="3"/>
        <charset val="134"/>
        <scheme val="minor"/>
      </rPr>
      <t>觉</t>
    </r>
    <r>
      <rPr>
        <sz val="11"/>
        <color theme="1"/>
        <rFont val="ＭＳ Ｐゴシック"/>
        <family val="3"/>
        <charset val="128"/>
        <scheme val="minor"/>
      </rPr>
      <t>愫</t>
    </r>
  </si>
  <si>
    <t>明平建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</si>
  <si>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青稞酒; 黄酒; 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</si>
  <si>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僉</t>
    </r>
    <r>
      <rPr>
        <sz val="11"/>
        <color theme="1"/>
        <rFont val="ＭＳ Ｐゴシック"/>
        <family val="3"/>
        <charset val="134"/>
        <scheme val="minor"/>
      </rPr>
      <t>缘红</t>
    </r>
  </si>
  <si>
    <r>
      <t>餐后酒（利口酒和烈酒）;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酸酒（低等葡萄酒）;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葡萄酒; 柑香酒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</si>
  <si>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工源吸</t>
    </r>
  </si>
  <si>
    <r>
      <t>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果酒（含酒精）; 水果汽酒</t>
    </r>
  </si>
  <si>
    <r>
      <t>妧</t>
    </r>
    <r>
      <rPr>
        <sz val="11"/>
        <color theme="1"/>
        <rFont val="ＭＳ Ｐゴシック"/>
        <family val="3"/>
        <charset val="129"/>
        <scheme val="minor"/>
      </rPr>
      <t>姩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</si>
  <si>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酸酒（低等葡萄酒）;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柑香酒; 汽酒;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</si>
  <si>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官言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</si>
  <si>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吉佳供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</si>
  <si>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食用酒精</t>
    </r>
  </si>
  <si>
    <r>
      <t>小宁日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</si>
  <si>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奇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媒（浙江）有限公司</t>
    </r>
  </si>
  <si>
    <r>
      <t>清酒;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</si>
  <si>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徕选</t>
  </si>
  <si>
    <r>
      <t>孙</t>
    </r>
    <r>
      <rPr>
        <sz val="11"/>
        <color theme="1"/>
        <rFont val="ＭＳ Ｐゴシック"/>
        <family val="3"/>
        <charset val="128"/>
        <scheme val="minor"/>
      </rPr>
      <t>立敏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</si>
  <si>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烈酒; 高粱酒</t>
    </r>
  </si>
  <si>
    <t>FAIRY BAY</t>
  </si>
  <si>
    <t>杯必取葡萄酒有限公司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</si>
  <si>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伏特加酒; 开胃酒; 威士忌;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尼瓦（以甘蔗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葡萄酒</t>
    </r>
  </si>
  <si>
    <r>
      <t>骑</t>
    </r>
    <r>
      <rPr>
        <sz val="11"/>
        <color theme="1"/>
        <rFont val="ＭＳ Ｐゴシック"/>
        <family val="3"/>
        <charset val="128"/>
        <scheme val="minor"/>
      </rPr>
      <t>士高姿</t>
    </r>
  </si>
  <si>
    <t>成都融福源科技有限公司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</si>
  <si>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起泡白葡萄酒; 伏特加酒; 威士忌;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</si>
  <si>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帆</t>
    </r>
    <r>
      <rPr>
        <sz val="11"/>
        <color theme="1"/>
        <rFont val="ＭＳ Ｐゴシック"/>
        <family val="3"/>
        <charset val="134"/>
        <scheme val="minor"/>
      </rPr>
      <t>仑</t>
    </r>
    <r>
      <rPr>
        <sz val="11"/>
        <color theme="1"/>
        <rFont val="ＭＳ Ｐゴシック"/>
        <family val="3"/>
        <charset val="128"/>
        <scheme val="minor"/>
      </rPr>
      <t>王子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</si>
  <si>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果酒（含酒精）; 食用酒精;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</t>
    </r>
  </si>
  <si>
    <t>苗嘎雄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</si>
  <si>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米酒; 开胃酒; 葡萄酒; 梨酒; 黄酒; 白酒</t>
    </r>
  </si>
  <si>
    <t>番席王子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</si>
  <si>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黄酒; 食用酒精;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</si>
  <si>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梵陶王子</t>
  </si>
  <si>
    <r>
      <t>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</si>
  <si>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旦</t>
    </r>
    <r>
      <rPr>
        <sz val="11"/>
        <color theme="1"/>
        <rFont val="ＭＳ Ｐゴシック"/>
        <family val="3"/>
        <charset val="134"/>
        <scheme val="minor"/>
      </rPr>
      <t>伦</t>
    </r>
    <r>
      <rPr>
        <sz val="11"/>
        <color theme="1"/>
        <rFont val="ＭＳ Ｐゴシック"/>
        <family val="3"/>
        <charset val="128"/>
        <scheme val="minor"/>
      </rPr>
      <t>王子</t>
    </r>
  </si>
  <si>
    <t>金戈</t>
  </si>
  <si>
    <r>
      <t>白酒;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蒸煮提取物（利口酒和烈酒）</t>
    </r>
  </si>
  <si>
    <r>
      <t>腾为</t>
    </r>
    <r>
      <rPr>
        <sz val="11"/>
        <color theme="1"/>
        <rFont val="ＭＳ Ｐゴシック"/>
        <family val="3"/>
        <charset val="128"/>
        <scheme val="minor"/>
      </rPr>
      <t>小溪流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</si>
  <si>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东腾为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</si>
  <si>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青稞酒; 葡萄酒; 白酒;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</si>
  <si>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徽心</t>
  </si>
  <si>
    <r>
      <t>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青稞酒; 白酒; 清酒（日本米酒）</t>
    </r>
  </si>
  <si>
    <r>
      <t>徽</t>
    </r>
    <r>
      <rPr>
        <sz val="11"/>
        <color theme="1"/>
        <rFont val="ＭＳ Ｐゴシック"/>
        <family val="3"/>
        <charset val="134"/>
        <scheme val="minor"/>
      </rPr>
      <t>绵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</si>
  <si>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威士忌</t>
    </r>
  </si>
  <si>
    <r>
      <t>财</t>
    </r>
    <r>
      <rPr>
        <sz val="11"/>
        <color theme="1"/>
        <rFont val="ＭＳ Ｐゴシック"/>
        <family val="3"/>
        <charset val="128"/>
        <scheme val="minor"/>
      </rPr>
      <t>大喜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</si>
  <si>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羽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</si>
  <si>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含酒精的气泡水;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</si>
  <si>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禹孟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</si>
  <si>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王三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</si>
  <si>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 xml:space="preserve">威士忌; 米酒;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伏特加酒;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</si>
  <si>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ECAI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</si>
  <si>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梨酒;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白干酒（中国白酒）;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黄酒; 米酒</t>
    </r>
  </si>
  <si>
    <t>大眼虎</t>
  </si>
  <si>
    <t>广州虎牙科技有限公司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</si>
  <si>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苹果酒;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</si>
  <si>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踏雪赤兔</t>
  </si>
  <si>
    <t>上海魔滕思智能科技有限公司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</si>
  <si>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烈性干酒; 烈酒;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威士忌; 朗姆酒</t>
    </r>
  </si>
  <si>
    <t>WAY °CHIB</t>
  </si>
  <si>
    <r>
      <t>北京罩得住餐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</si>
  <si>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</si>
  <si>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澄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梦</t>
    </r>
  </si>
  <si>
    <r>
      <t>诸</t>
    </r>
    <r>
      <rPr>
        <sz val="11"/>
        <color theme="1"/>
        <rFont val="ＭＳ Ｐゴシック"/>
        <family val="3"/>
        <charset val="129"/>
        <scheme val="minor"/>
      </rPr>
      <t>暨</t>
    </r>
    <r>
      <rPr>
        <sz val="11"/>
        <color theme="1"/>
        <rFont val="ＭＳ Ｐゴシック"/>
        <family val="3"/>
        <charset val="128"/>
        <scheme val="minor"/>
      </rPr>
      <t>市青函</t>
    </r>
    <r>
      <rPr>
        <sz val="11"/>
        <color theme="1"/>
        <rFont val="ＭＳ Ｐゴシック"/>
        <family val="3"/>
        <charset val="134"/>
        <scheme val="minor"/>
      </rPr>
      <t>针织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</si>
  <si>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日式甜米酒; 高粱酒; 白干酒（中国白酒）;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</si>
  <si>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t>BLACK SUN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</si>
  <si>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星</t>
    </r>
    <r>
      <rPr>
        <sz val="11"/>
        <color theme="1"/>
        <rFont val="ＭＳ Ｐゴシック"/>
        <family val="3"/>
        <charset val="134"/>
        <scheme val="minor"/>
      </rPr>
      <t>罗饰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</si>
  <si>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>白酒; 清酒; 甜酒; 白干酒（中国白酒）;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果酒; 黄酒</t>
    </r>
  </si>
  <si>
    <t>泓关</t>
  </si>
  <si>
    <r>
      <t xml:space="preserve">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烈酒; 葡萄酒; 开胃酒;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</si>
  <si>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花井岩</t>
  </si>
  <si>
    <t>赵聪聪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</si>
  <si>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果酒; 米酒; 甜酒; 梨酒;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</t>
    </r>
  </si>
  <si>
    <t>彭城古黄河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</si>
  <si>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佳盛源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</si>
  <si>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白干酒（中国白酒）;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米酒;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</si>
  <si>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苔匠</t>
  </si>
  <si>
    <r>
      <t xml:space="preserve">葡萄酒; 利口酒;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</si>
  <si>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欣夏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</si>
  <si>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山西北路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</si>
  <si>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葡萄酒; 果酒; 白酒; 黄酒; 高粱酒; 枸杞酒; 米酒</t>
    </r>
  </si>
  <si>
    <t>花膳余堂</t>
  </si>
  <si>
    <t>米健</t>
  </si>
  <si>
    <r>
      <t>果酒（含酒精）;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葡萄酒; 清酒;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</si>
  <si>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道天洲</t>
  </si>
  <si>
    <r>
      <t>陈</t>
    </r>
    <r>
      <rPr>
        <sz val="11"/>
        <color theme="1"/>
        <rFont val="ＭＳ Ｐゴシック"/>
        <family val="3"/>
        <charset val="128"/>
        <scheme val="minor"/>
      </rPr>
      <t>宝平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</si>
  <si>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葡萄酒; 米酒;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</si>
  <si>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吉之北村</t>
  </si>
  <si>
    <r>
      <t>吉林省百芝堂参茸特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</si>
  <si>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蜂蜜酒; 烈酒; 开胃酒;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</si>
  <si>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迟扬</t>
    </r>
    <r>
      <rPr>
        <sz val="11"/>
        <color theme="1"/>
        <rFont val="ＭＳ Ｐゴシック"/>
        <family val="3"/>
        <charset val="128"/>
        <scheme val="minor"/>
      </rPr>
      <t>千秋</t>
    </r>
  </si>
  <si>
    <t>李朋超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</si>
  <si>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蒸煮提取物（利口酒和烈酒）</t>
    </r>
  </si>
  <si>
    <t>桓瑟千秋</t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</si>
  <si>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葡萄酒</t>
    </r>
  </si>
  <si>
    <r>
      <t>天津静海供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</si>
  <si>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黄酒;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</si>
  <si>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台醇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</si>
  <si>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汽酒;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果酒; 含酒精的气泡水</t>
    </r>
  </si>
  <si>
    <t>FOTELLOP GILLY</t>
  </si>
  <si>
    <r>
      <t xml:space="preserve">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白葡萄酒</t>
    </r>
  </si>
  <si>
    <r>
      <t>约</t>
    </r>
    <r>
      <rPr>
        <sz val="11"/>
        <color theme="1"/>
        <rFont val="ＭＳ Ｐゴシック"/>
        <family val="3"/>
        <charset val="128"/>
        <scheme val="minor"/>
      </rPr>
      <t>翰家族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</si>
  <si>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迷恩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</si>
  <si>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苦味酒;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</t>
    </r>
  </si>
  <si>
    <t>礼祥福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</si>
  <si>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庆华</t>
    </r>
    <r>
      <rPr>
        <sz val="11"/>
        <color theme="1"/>
        <rFont val="ＭＳ Ｐゴシック"/>
        <family val="3"/>
        <charset val="128"/>
        <scheme val="minor"/>
      </rPr>
      <t>溪村黄精面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</si>
  <si>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果酒; 烈酒; 白干酒（中国白酒）; 蒸煮提取物（利口酒和烈酒）;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高粱酒; 米酒</t>
    </r>
  </si>
  <si>
    <t>中烙</t>
  </si>
  <si>
    <r>
      <t>张</t>
    </r>
    <r>
      <rPr>
        <sz val="11"/>
        <color theme="1"/>
        <rFont val="ＭＳ Ｐゴシック"/>
        <family val="3"/>
        <charset val="128"/>
        <scheme val="minor"/>
      </rPr>
      <t>万福</t>
    </r>
  </si>
  <si>
    <r>
      <t>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烈酒; 威士忌;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</si>
  <si>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沐晗</t>
  </si>
  <si>
    <t>金志文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</si>
  <si>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威士忌</t>
    </r>
  </si>
  <si>
    <r>
      <t>埊</t>
    </r>
    <r>
      <rPr>
        <sz val="11"/>
        <color theme="1"/>
        <rFont val="ＭＳ Ｐゴシック"/>
        <family val="3"/>
        <charset val="128"/>
        <scheme val="minor"/>
      </rPr>
      <t>壹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</si>
  <si>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汽酒; 柑香酒;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餐后酒（利口酒和烈酒）;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酸酒（低等葡萄酒）</t>
    </r>
  </si>
  <si>
    <t>允弛</t>
  </si>
  <si>
    <r>
      <t>广州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格斯生物科技有限公司</t>
    </r>
  </si>
  <si>
    <r>
      <t>白酒;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白干酒（中国白酒）;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清酒; 葡萄酒; 朗姆酒; 威士忌</t>
    </r>
  </si>
  <si>
    <r>
      <t>寿</t>
    </r>
    <r>
      <rPr>
        <sz val="11"/>
        <color theme="1"/>
        <rFont val="ＭＳ Ｐゴシック"/>
        <family val="3"/>
        <charset val="134"/>
        <scheme val="minor"/>
      </rPr>
      <t>绵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</si>
  <si>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春枝</t>
    </r>
  </si>
  <si>
    <r>
      <t xml:space="preserve">白酒;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</si>
  <si>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澎倍醉梦仙</t>
  </si>
  <si>
    <r>
      <t>郭</t>
    </r>
    <r>
      <rPr>
        <sz val="11"/>
        <color theme="1"/>
        <rFont val="ＭＳ Ｐゴシック"/>
        <family val="3"/>
        <charset val="134"/>
        <scheme val="minor"/>
      </rPr>
      <t>鹏鹏</t>
    </r>
  </si>
  <si>
    <r>
      <t xml:space="preserve">果酒（含酒精）;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清酒（日本米酒）;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</si>
  <si>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CHOOSE MEET</t>
  </si>
  <si>
    <r>
      <t>程雪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</si>
  <si>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果酒（含酒精）; 葡萄酒;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</si>
  <si>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创</t>
    </r>
    <r>
      <rPr>
        <sz val="11"/>
        <color theme="1"/>
        <rFont val="ＭＳ Ｐゴシック"/>
        <family val="3"/>
        <charset val="128"/>
        <scheme val="minor"/>
      </rPr>
      <t>新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 xml:space="preserve"> CHUANGXIN LOONG</t>
    </r>
  </si>
  <si>
    <r>
      <t>世界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新大会(广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)有限公司</t>
    </r>
  </si>
  <si>
    <r>
      <t>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白酒; 葡萄酒; 伏特加酒; 黄酒</t>
    </r>
  </si>
  <si>
    <t>昂朝王子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</si>
  <si>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白酒; 黄酒; 果酒（含酒精）; 食用酒精; 蒸煮提取物（利口酒和烈酒）</t>
    </r>
  </si>
  <si>
    <t>茂帕酒庄</t>
  </si>
  <si>
    <r>
      <t>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果酒（含酒精）;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蒸煮提取物（利口酒和烈酒）</t>
    </r>
  </si>
  <si>
    <t>万得厨天厨</t>
  </si>
  <si>
    <r>
      <t xml:space="preserve">米酒;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葡萄酒; 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</si>
  <si>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津欣王</t>
  </si>
  <si>
    <r>
      <t xml:space="preserve">黄酒;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甜酒;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枸杞酒</t>
    </r>
  </si>
  <si>
    <t>泛万千秋</t>
  </si>
  <si>
    <r>
      <t>韩</t>
    </r>
    <r>
      <rPr>
        <sz val="11"/>
        <color theme="1"/>
        <rFont val="ＭＳ Ｐゴシック"/>
        <family val="3"/>
        <charset val="128"/>
        <scheme val="minor"/>
      </rPr>
      <t>俊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</si>
  <si>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食用酒精; 葡萄酒; 白酒; 果酒（含酒精）; 米酒</t>
    </r>
  </si>
  <si>
    <t>栗乎乎</t>
  </si>
  <si>
    <r>
      <t>溧阳市</t>
    </r>
    <r>
      <rPr>
        <sz val="11"/>
        <color theme="1"/>
        <rFont val="ＭＳ Ｐゴシック"/>
        <family val="3"/>
        <charset val="134"/>
        <scheme val="minor"/>
      </rPr>
      <t>轻</t>
    </r>
    <r>
      <rPr>
        <sz val="11"/>
        <color theme="1"/>
        <rFont val="ＭＳ Ｐゴシック"/>
        <family val="3"/>
        <charset val="128"/>
        <scheme val="minor"/>
      </rPr>
      <t>越文化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</si>
  <si>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清酒; 青稞酒; 高粱酒; 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</si>
  <si>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瑶妃</t>
    </r>
    <r>
      <rPr>
        <sz val="11"/>
        <color theme="1"/>
        <rFont val="ＭＳ Ｐゴシック"/>
        <family val="3"/>
        <charset val="134"/>
        <scheme val="minor"/>
      </rPr>
      <t>忆</t>
    </r>
  </si>
  <si>
    <r>
      <t>清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义兴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</si>
  <si>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</si>
  <si>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仁美荷</t>
  </si>
  <si>
    <t>北京仁和博大中医医学研究院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</si>
  <si>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清酒（日本米酒）;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</t>
    </r>
  </si>
  <si>
    <r>
      <t>笃诚莲</t>
    </r>
    <r>
      <rPr>
        <sz val="11"/>
        <color theme="1"/>
        <rFont val="ＭＳ Ｐゴシック"/>
        <family val="3"/>
        <charset val="128"/>
        <scheme val="minor"/>
      </rPr>
      <t>花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</si>
  <si>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东笃诚</t>
    </r>
    <r>
      <rPr>
        <sz val="11"/>
        <color theme="1"/>
        <rFont val="ＭＳ Ｐゴシック"/>
        <family val="3"/>
        <charset val="128"/>
        <scheme val="minor"/>
      </rPr>
      <t>文化投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</si>
  <si>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薄荷酒; 朗姆酒; 伏特加酒; 果酒（含酒精）;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</si>
  <si>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非妮膜</t>
    </r>
    <r>
      <rPr>
        <sz val="11"/>
        <color theme="1"/>
        <rFont val="ＭＳ Ｐゴシック"/>
        <family val="3"/>
        <charset val="134"/>
        <scheme val="minor"/>
      </rPr>
      <t>术</t>
    </r>
  </si>
  <si>
    <t>吴新星</t>
  </si>
  <si>
    <r>
      <t>薄荷酒;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开胃酒;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</si>
  <si>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9号伊斯</t>
    </r>
    <r>
      <rPr>
        <sz val="11"/>
        <color theme="1"/>
        <rFont val="ＭＳ Ｐゴシック"/>
        <family val="3"/>
        <charset val="134"/>
        <scheme val="minor"/>
      </rPr>
      <t>顿马</t>
    </r>
    <r>
      <rPr>
        <sz val="11"/>
        <color theme="1"/>
        <rFont val="ＭＳ Ｐゴシック"/>
        <family val="3"/>
        <charset val="128"/>
        <scheme val="minor"/>
      </rPr>
      <t>丁</t>
    </r>
  </si>
  <si>
    <r>
      <t>周口百斯特威酒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</si>
  <si>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梅酒; 黄酒; 露酒;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利口酒; 果酒; 汽酒</t>
    </r>
  </si>
  <si>
    <t>中耀君</t>
  </si>
  <si>
    <r>
      <t>深圳市家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条健康科技有限公司</t>
    </r>
  </si>
  <si>
    <r>
      <t>汽酒; 果酒（含酒精）; 米酒; 加有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生素的朗姆酒;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葡萄酒;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草本型利口酒; 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</si>
  <si>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酒 渭河福酒</t>
  </si>
  <si>
    <t>李渭平</t>
  </si>
  <si>
    <r>
      <t>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</si>
  <si>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广州佛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品牌管理有限公司</t>
    </r>
  </si>
  <si>
    <r>
      <t>葡萄酒; 米酒; 黄酒; 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白酒; 汽酒</t>
    </r>
  </si>
  <si>
    <t>冰雪游</t>
  </si>
  <si>
    <t>江西三清天下秀啤酒有限公司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</si>
  <si>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高粱酒;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葡萄酒; 黄酒; 米酒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</si>
  <si>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全太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</si>
  <si>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州太和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</si>
  <si>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米酒; 黄酒; 果酒; 葡萄酒; 含奶油利口酒;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</si>
  <si>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台欣王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</si>
  <si>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米酒; 黄酒; 高粱酒; 枸杞酒; 果酒</t>
    </r>
  </si>
  <si>
    <r>
      <t>靓</t>
    </r>
    <r>
      <rPr>
        <sz val="11"/>
        <color theme="1"/>
        <rFont val="ＭＳ Ｐゴシック"/>
        <family val="3"/>
        <charset val="128"/>
        <scheme val="minor"/>
      </rPr>
      <t>瑶酒坊</t>
    </r>
  </si>
  <si>
    <t>王斌美</t>
  </si>
  <si>
    <t>茴芹酒（利口酒）; 白酒; 果酒（含酒精）; 葡萄酒; 烈酒; 清酒; 开胃酒; 黄酒; 清酒（日本米酒）; 米酒</t>
  </si>
  <si>
    <r>
      <t>瑿</t>
    </r>
    <r>
      <rPr>
        <sz val="11"/>
        <color theme="1"/>
        <rFont val="ＭＳ Ｐゴシック"/>
        <family val="3"/>
        <charset val="128"/>
        <scheme val="minor"/>
      </rPr>
      <t>毉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</si>
  <si>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开胃酒; 柑香酒;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酸酒（低等葡萄酒）;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汽酒</t>
    </r>
  </si>
  <si>
    <t>翎涯千秋</t>
  </si>
  <si>
    <r>
      <t>贾</t>
    </r>
    <r>
      <rPr>
        <sz val="11"/>
        <color theme="1"/>
        <rFont val="ＭＳ Ｐゴシック"/>
        <family val="3"/>
        <charset val="128"/>
        <scheme val="minor"/>
      </rPr>
      <t>林</t>
    </r>
    <r>
      <rPr>
        <sz val="11"/>
        <color theme="1"/>
        <rFont val="ＭＳ Ｐゴシック"/>
        <family val="3"/>
        <charset val="134"/>
        <scheme val="minor"/>
      </rPr>
      <t>凯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</si>
  <si>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果酒（含酒精）; 葡萄酒; 白酒;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</t>
    </r>
  </si>
  <si>
    <t>佳南清酌</t>
  </si>
  <si>
    <r>
      <t>高</t>
    </r>
    <r>
      <rPr>
        <sz val="11"/>
        <color theme="1"/>
        <rFont val="ＭＳ Ｐゴシック"/>
        <family val="3"/>
        <charset val="134"/>
        <scheme val="minor"/>
      </rPr>
      <t>亚东</t>
    </r>
  </si>
  <si>
    <r>
      <t>米酒; 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甜酒; 白酒; 苹果酒; 黄酒</t>
    </r>
  </si>
  <si>
    <t>梧横千秋</t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</si>
  <si>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蒸煮提取物（利口酒和烈酒）; 食用酒精; 米酒</t>
    </r>
  </si>
  <si>
    <t>甘天醇御液</t>
  </si>
  <si>
    <r>
      <t xml:space="preserve">果酒; 米酒; 薄荷酒; 苦味酒; 白酒; 青稞酒;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酸酒（低等葡萄酒）</t>
    </r>
  </si>
  <si>
    <t>中歪</t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</si>
  <si>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青稞酒; 威士忌;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</si>
  <si>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徽</t>
    </r>
    <r>
      <rPr>
        <sz val="11"/>
        <color theme="1"/>
        <rFont val="ＭＳ Ｐゴシック"/>
        <family val="3"/>
        <charset val="129"/>
        <scheme val="minor"/>
      </rPr>
      <t>优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</si>
  <si>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葡萄酒; 白酒; 清酒（日本米酒）; 果酒（含酒精）</t>
    </r>
  </si>
  <si>
    <r>
      <t>创</t>
    </r>
    <r>
      <rPr>
        <sz val="11"/>
        <color theme="1"/>
        <rFont val="ＭＳ Ｐゴシック"/>
        <family val="3"/>
        <charset val="128"/>
        <scheme val="minor"/>
      </rPr>
      <t>新客</t>
    </r>
  </si>
  <si>
    <r>
      <t xml:space="preserve">烈酒; 白酒; 伏特加酒; 果酒;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</si>
  <si>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暮</t>
    </r>
    <r>
      <rPr>
        <sz val="11"/>
        <color theme="1"/>
        <rFont val="ＭＳ Ｐゴシック"/>
        <family val="3"/>
        <charset val="134"/>
        <scheme val="minor"/>
      </rPr>
      <t>鹏</t>
    </r>
    <r>
      <rPr>
        <sz val="11"/>
        <color theme="1"/>
        <rFont val="ＭＳ Ｐゴシック"/>
        <family val="3"/>
        <charset val="128"/>
        <scheme val="minor"/>
      </rPr>
      <t>王子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</si>
  <si>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蒸煮提取物（利口酒和烈酒）; 食用酒精;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</si>
  <si>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AAZ</t>
  </si>
  <si>
    <r>
      <t>广州市新</t>
    </r>
    <r>
      <rPr>
        <sz val="11"/>
        <color theme="1"/>
        <rFont val="ＭＳ Ｐゴシック"/>
        <family val="3"/>
        <charset val="134"/>
        <scheme val="minor"/>
      </rPr>
      <t>娱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</si>
  <si>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薄荷酒; 黄酒; 开胃酒;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</si>
  <si>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SANELOER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</si>
  <si>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苹果酒;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烈酒; 利口酒</t>
    </r>
  </si>
  <si>
    <t>彭唯唯</t>
  </si>
  <si>
    <t>尹豪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</si>
  <si>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白酒;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利口酒;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</si>
  <si>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东钢</t>
    </r>
    <r>
      <rPr>
        <sz val="11"/>
        <color theme="1"/>
        <rFont val="ＭＳ Ｐゴシック"/>
        <family val="3"/>
        <charset val="128"/>
        <scheme val="minor"/>
      </rPr>
      <t>港工</t>
    </r>
    <r>
      <rPr>
        <sz val="11"/>
        <color theme="1"/>
        <rFont val="ＭＳ Ｐゴシック"/>
        <family val="3"/>
        <charset val="134"/>
        <scheme val="minor"/>
      </rPr>
      <t>业设备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</si>
  <si>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品; 果酒（含酒精）; 利口酒;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</si>
  <si>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横瑶王子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</si>
  <si>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蒸煮提取物（利口酒和烈酒）; 白酒; 米酒; 黄酒; 果酒（含酒精）</t>
    </r>
  </si>
  <si>
    <t>攀蒙王子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</si>
  <si>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蒸煮提取物（利口酒和烈酒）;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米酒</t>
    </r>
  </si>
  <si>
    <r>
      <t>萨</t>
    </r>
    <r>
      <rPr>
        <sz val="11"/>
        <color theme="1"/>
        <rFont val="ＭＳ Ｐゴシック"/>
        <family val="3"/>
        <charset val="128"/>
        <scheme val="minor"/>
      </rPr>
      <t>誉王子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</si>
  <si>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蒸煮提取物（利口酒和烈酒）; 食用酒精</t>
    </r>
  </si>
  <si>
    <t>花欣王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</si>
  <si>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枸杞酒; 高粱酒; 白酒; 甜酒; 果酒; 黄酒</t>
    </r>
  </si>
  <si>
    <t>松童池</t>
  </si>
  <si>
    <t>徐恒芳</t>
  </si>
  <si>
    <r>
      <t>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高粱酒; 果酒（含酒精）; 黄酒</t>
    </r>
  </si>
  <si>
    <t>祖寨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</si>
  <si>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苹果酒;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</t>
    </r>
  </si>
  <si>
    <t>寿彩</t>
  </si>
  <si>
    <r>
      <t xml:space="preserve">葡萄酒;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开胃酒;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</si>
  <si>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29"/>
        <scheme val="minor"/>
      </rPr>
      <t>嘟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</si>
  <si>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香醇酒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</si>
  <si>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高粱酒;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青梅酒;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白酒</t>
    </r>
  </si>
  <si>
    <r>
      <t>创</t>
    </r>
    <r>
      <rPr>
        <sz val="11"/>
        <color theme="1"/>
        <rFont val="ＭＳ Ｐゴシック"/>
        <family val="3"/>
        <charset val="128"/>
        <scheme val="minor"/>
      </rPr>
      <t>新君</t>
    </r>
  </si>
  <si>
    <r>
      <t>果酒;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伏特加酒; 白酒;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</si>
  <si>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蜀</t>
    </r>
    <r>
      <rPr>
        <sz val="11"/>
        <color theme="1"/>
        <rFont val="ＭＳ Ｐゴシック"/>
        <family val="3"/>
        <charset val="134"/>
        <scheme val="minor"/>
      </rPr>
      <t>屿</t>
    </r>
  </si>
  <si>
    <r>
      <t>四川聚焦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</si>
  <si>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青梅酒; 黄酒</t>
    </r>
  </si>
  <si>
    <r>
      <t>杭州</t>
    </r>
    <r>
      <rPr>
        <sz val="11"/>
        <color theme="1"/>
        <rFont val="ＭＳ Ｐゴシック"/>
        <family val="3"/>
        <charset val="134"/>
        <scheme val="minor"/>
      </rPr>
      <t>赛</t>
    </r>
    <r>
      <rPr>
        <sz val="11"/>
        <color theme="1"/>
        <rFont val="ＭＳ Ｐゴシック"/>
        <family val="3"/>
        <charset val="128"/>
        <scheme val="minor"/>
      </rPr>
      <t>盟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出口有限公司</t>
    </r>
  </si>
  <si>
    <r>
      <t>果酒（含酒精）; 梅酒;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日式甜米酒; 佐餐酒; 水果汽酒;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</si>
  <si>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弄</t>
    </r>
  </si>
  <si>
    <t>冯连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</si>
  <si>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果酒（含酒精）; 青稞酒; 清酒（日本米酒）; 白酒</t>
    </r>
  </si>
  <si>
    <r>
      <t>统</t>
    </r>
    <r>
      <rPr>
        <sz val="11"/>
        <color theme="1"/>
        <rFont val="ＭＳ Ｐゴシック"/>
        <family val="3"/>
        <charset val="128"/>
        <scheme val="minor"/>
      </rPr>
      <t>科</t>
    </r>
  </si>
  <si>
    <r>
      <t>广西花花宇宙网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</si>
  <si>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</t>
    </r>
  </si>
  <si>
    <r>
      <t>超</t>
    </r>
    <r>
      <rPr>
        <sz val="11"/>
        <color theme="1"/>
        <rFont val="ＭＳ Ｐゴシック"/>
        <family val="3"/>
        <charset val="134"/>
        <scheme val="minor"/>
      </rPr>
      <t>乐创</t>
    </r>
    <r>
      <rPr>
        <sz val="11"/>
        <color theme="1"/>
        <rFont val="ＭＳ Ｐゴシック"/>
        <family val="3"/>
        <charset val="128"/>
        <scheme val="minor"/>
      </rPr>
      <t>界</t>
    </r>
  </si>
  <si>
    <r>
      <t>南京超</t>
    </r>
    <r>
      <rPr>
        <sz val="11"/>
        <color theme="1"/>
        <rFont val="ＭＳ Ｐゴシック"/>
        <family val="3"/>
        <charset val="134"/>
        <scheme val="minor"/>
      </rPr>
      <t>乐创</t>
    </r>
    <r>
      <rPr>
        <sz val="11"/>
        <color theme="1"/>
        <rFont val="ＭＳ Ｐゴシック"/>
        <family val="3"/>
        <charset val="128"/>
        <scheme val="minor"/>
      </rPr>
      <t>界国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</si>
  <si>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葡萄酒; 甘蔗制烈酒;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</si>
  <si>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情全保</t>
    </r>
  </si>
  <si>
    <r>
      <t>杭州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情全保云科技有限公司</t>
    </r>
  </si>
  <si>
    <r>
      <t>蜂蜜酒;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</t>
    </r>
  </si>
  <si>
    <r>
      <t>错</t>
    </r>
    <r>
      <rPr>
        <sz val="11"/>
        <color theme="1"/>
        <rFont val="ＭＳ Ｐゴシック"/>
        <family val="3"/>
        <charset val="128"/>
        <scheme val="minor"/>
      </rPr>
      <t>花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</si>
  <si>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西皓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星辰酒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</si>
  <si>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清酒; 苹果酒;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</t>
    </r>
  </si>
  <si>
    <r>
      <t>霸王·</t>
    </r>
    <r>
      <rPr>
        <sz val="11"/>
        <color theme="1"/>
        <rFont val="ＭＳ Ｐゴシック"/>
        <family val="3"/>
        <charset val="134"/>
        <scheme val="minor"/>
      </rPr>
      <t>乌骓</t>
    </r>
  </si>
  <si>
    <r>
      <t xml:space="preserve">白酒; 烈酒;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葡萄酒;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烈性干酒; 威士忌;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</si>
  <si>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蔡德</t>
    </r>
    <r>
      <rPr>
        <sz val="11"/>
        <color theme="1"/>
        <rFont val="ＭＳ Ｐゴシック"/>
        <family val="3"/>
        <charset val="134"/>
        <scheme val="minor"/>
      </rPr>
      <t>伦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</si>
  <si>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州私封酒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</si>
  <si>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露酒; 果酒</t>
    </r>
  </si>
  <si>
    <t>蒙西瀚王</t>
  </si>
  <si>
    <t>王学民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</si>
  <si>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蒸煮提取物（利口酒和烈酒）;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</si>
  <si>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魔幻</t>
    </r>
    <r>
      <rPr>
        <sz val="11"/>
        <color theme="1"/>
        <rFont val="ＭＳ Ｐゴシック"/>
        <family val="3"/>
        <charset val="134"/>
        <scheme val="minor"/>
      </rPr>
      <t>鹰</t>
    </r>
  </si>
  <si>
    <r>
      <t>葡萄酒; 食用酒精;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威士忌; 米酒</t>
    </r>
  </si>
  <si>
    <r>
      <t>丰律酒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</si>
  <si>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广州丰律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</si>
  <si>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威士忌; 食用酒精;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</t>
    </r>
  </si>
  <si>
    <r>
      <t>杭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千秋</t>
    </r>
  </si>
  <si>
    <r>
      <t>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蒸煮提取物（利口酒和烈酒）;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</t>
    </r>
  </si>
  <si>
    <r>
      <t>延乎</t>
    </r>
    <r>
      <rPr>
        <sz val="11"/>
        <color theme="1"/>
        <rFont val="ＭＳ Ｐゴシック"/>
        <family val="3"/>
        <charset val="134"/>
        <scheme val="minor"/>
      </rPr>
      <t>飨</t>
    </r>
  </si>
  <si>
    <r>
      <t>栾川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城关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光彩广告印刷中心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</si>
  <si>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黄酒;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蜂蜜酒; 米酒;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</si>
  <si>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风</t>
    </r>
    <r>
      <rPr>
        <sz val="11"/>
        <color theme="1"/>
        <rFont val="ＭＳ Ｐゴシック"/>
        <family val="3"/>
        <charset val="128"/>
        <scheme val="minor"/>
      </rPr>
      <t>吹斗</t>
    </r>
    <r>
      <rPr>
        <sz val="11"/>
        <color theme="1"/>
        <rFont val="ＭＳ Ｐゴシック"/>
        <family val="3"/>
        <charset val="134"/>
        <scheme val="minor"/>
      </rPr>
      <t>转</t>
    </r>
  </si>
  <si>
    <r>
      <t>李永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</si>
  <si>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果酒; 佐餐酒; 汽酒; 清酒; 米酒</t>
    </r>
  </si>
  <si>
    <t>小寨仙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</si>
  <si>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</t>
    </r>
  </si>
  <si>
    <t>杭州本适科技有限公司</t>
  </si>
  <si>
    <r>
      <t>果酒; 白酒;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</si>
  <si>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t>MOUNT CULLEN</t>
  </si>
  <si>
    <r>
      <t>亚</t>
    </r>
    <r>
      <rPr>
        <sz val="11"/>
        <color theme="1"/>
        <rFont val="ＭＳ Ｐゴシック"/>
        <family val="3"/>
        <charset val="128"/>
        <scheme val="minor"/>
      </rPr>
      <t>力酒;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尼瓦（以甘蔗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朗姆酒; 威士忌; 开胃酒</t>
    </r>
  </si>
  <si>
    <r>
      <t>功夫</t>
    </r>
    <r>
      <rPr>
        <sz val="11"/>
        <color theme="1"/>
        <rFont val="ＭＳ Ｐゴシック"/>
        <family val="3"/>
        <charset val="134"/>
        <scheme val="minor"/>
      </rPr>
      <t>链</t>
    </r>
    <r>
      <rPr>
        <sz val="11"/>
        <color theme="1"/>
        <rFont val="ＭＳ Ｐゴシック"/>
        <family val="3"/>
        <charset val="128"/>
        <scheme val="minor"/>
      </rPr>
      <t>（上海）体育文化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</si>
  <si>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</si>
  <si>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VIFYTY</t>
  </si>
  <si>
    <r>
      <t>合肥凡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品牌管理有限公司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</si>
  <si>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梨酒;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白酒</t>
    </r>
  </si>
  <si>
    <t>燎耀王子</t>
  </si>
  <si>
    <r>
      <t>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葡萄酒;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</t>
    </r>
  </si>
  <si>
    <t>太欣王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</si>
  <si>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葡萄酒; 枸杞酒; 甜酒;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黄酒</t>
    </r>
  </si>
  <si>
    <r>
      <t>寿之</t>
    </r>
    <r>
      <rPr>
        <sz val="11"/>
        <color theme="1"/>
        <rFont val="ＭＳ Ｐゴシック"/>
        <family val="3"/>
        <charset val="134"/>
        <scheme val="minor"/>
      </rPr>
      <t>贺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</si>
  <si>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开胃酒; 青稞酒;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</si>
  <si>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神思徐酒</t>
  </si>
  <si>
    <r>
      <t>福建省春秋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林科技有限公司</t>
    </r>
  </si>
  <si>
    <r>
      <t>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苹果酒</t>
    </r>
  </si>
  <si>
    <t>鹿王潭</t>
  </si>
  <si>
    <r>
      <t xml:space="preserve">蜂蜜酒;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</si>
  <si>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寿</t>
    </r>
    <r>
      <rPr>
        <sz val="11"/>
        <color theme="1"/>
        <rFont val="ＭＳ Ｐゴシック"/>
        <family val="3"/>
        <charset val="134"/>
        <scheme val="minor"/>
      </rPr>
      <t>畅</t>
    </r>
  </si>
  <si>
    <r>
      <t>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清酒（日本米酒）;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</si>
  <si>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瀚海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渊</t>
    </r>
  </si>
  <si>
    <r>
      <t>周</t>
    </r>
    <r>
      <rPr>
        <sz val="11"/>
        <color theme="1"/>
        <rFont val="ＭＳ Ｐゴシック"/>
        <family val="3"/>
        <charset val="134"/>
        <scheme val="minor"/>
      </rPr>
      <t>艳</t>
    </r>
    <r>
      <rPr>
        <sz val="11"/>
        <color theme="1"/>
        <rFont val="ＭＳ Ｐゴシック"/>
        <family val="3"/>
        <charset val="128"/>
        <scheme val="minor"/>
      </rPr>
      <t>霞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</si>
  <si>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威士忌</t>
    </r>
  </si>
  <si>
    <t>中祟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</si>
  <si>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黄酒; 烈酒;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</si>
  <si>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谦</t>
    </r>
    <r>
      <rPr>
        <sz val="11"/>
        <color theme="1"/>
        <rFont val="ＭＳ Ｐゴシック"/>
        <family val="3"/>
        <charset val="128"/>
        <scheme val="minor"/>
      </rPr>
      <t>泰君安</t>
    </r>
  </si>
  <si>
    <r>
      <t>广州</t>
    </r>
    <r>
      <rPr>
        <sz val="11"/>
        <color theme="1"/>
        <rFont val="ＭＳ Ｐゴシック"/>
        <family val="3"/>
        <charset val="134"/>
        <scheme val="minor"/>
      </rPr>
      <t>谦</t>
    </r>
    <r>
      <rPr>
        <sz val="11"/>
        <color theme="1"/>
        <rFont val="ＭＳ Ｐゴシック"/>
        <family val="3"/>
        <charset val="128"/>
        <scheme val="minor"/>
      </rPr>
      <t>泰金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</si>
  <si>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薄荷酒; 白酒; 青稞酒; 清酒; 伏特加酒; 清酒（日本米酒）</t>
    </r>
  </si>
  <si>
    <r>
      <t>聚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匠</t>
    </r>
  </si>
  <si>
    <r>
      <t>成都醉芳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</si>
  <si>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食用酒精; 青稞酒;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</si>
  <si>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芒恒千秋</t>
  </si>
  <si>
    <r>
      <t xml:space="preserve">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白酒; 米酒;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</si>
  <si>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皑</t>
    </r>
    <r>
      <rPr>
        <sz val="11"/>
        <color theme="1"/>
        <rFont val="ＭＳ Ｐゴシック"/>
        <family val="3"/>
        <charset val="128"/>
        <scheme val="minor"/>
      </rPr>
      <t>融千秋</t>
    </r>
  </si>
  <si>
    <r>
      <t>食用酒精; 白酒; 葡萄酒; 果酒（含酒精）;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</t>
    </r>
  </si>
  <si>
    <t>不知天</t>
  </si>
  <si>
    <r>
      <t>广西南宁</t>
    </r>
    <r>
      <rPr>
        <sz val="11"/>
        <color theme="1"/>
        <rFont val="ＭＳ Ｐゴシック"/>
        <family val="3"/>
        <charset val="134"/>
        <scheme val="minor"/>
      </rPr>
      <t>汇发</t>
    </r>
    <r>
      <rPr>
        <sz val="11"/>
        <color theme="1"/>
        <rFont val="ＭＳ Ｐゴシック"/>
        <family val="3"/>
        <charset val="128"/>
        <scheme val="minor"/>
      </rPr>
      <t>置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</si>
  <si>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清酒; 葡萄酒;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</si>
  <si>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沐淋川</t>
  </si>
  <si>
    <t>汪巧玲</t>
  </si>
  <si>
    <r>
      <t xml:space="preserve">梨酒; 果酒; 黄酒; 白酒; 食用酒精;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葡萄酒</t>
    </r>
  </si>
  <si>
    <r>
      <t>宝味</t>
    </r>
    <r>
      <rPr>
        <sz val="11"/>
        <color theme="1"/>
        <rFont val="ＭＳ Ｐゴシック"/>
        <family val="3"/>
        <charset val="134"/>
        <scheme val="minor"/>
      </rPr>
      <t>赏</t>
    </r>
  </si>
  <si>
    <r>
      <t>果酒（含酒精）; 开胃酒; 清酒（日本米酒）; 威士忌;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</si>
  <si>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t>老寨翁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</si>
  <si>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葡萄酒; 开胃酒</t>
    </r>
  </si>
  <si>
    <r>
      <t>钧</t>
    </r>
    <r>
      <rPr>
        <sz val="11"/>
        <color theme="1"/>
        <rFont val="ＭＳ Ｐゴシック"/>
        <family val="3"/>
        <charset val="128"/>
        <scheme val="minor"/>
      </rPr>
      <t>然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</si>
  <si>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念文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</si>
  <si>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高粱酒;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</si>
  <si>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思</t>
    </r>
    <r>
      <rPr>
        <sz val="11"/>
        <color theme="1"/>
        <rFont val="ＭＳ Ｐゴシック"/>
        <family val="3"/>
        <charset val="134"/>
        <scheme val="minor"/>
      </rPr>
      <t>变</t>
    </r>
  </si>
  <si>
    <r>
      <t>白酒; 葡萄酒; 清酒（日本米酒）;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</t>
    </r>
  </si>
  <si>
    <t>CASTLE BLEDON</t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</si>
  <si>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伏特加酒; 白葡萄酒; 黄酒;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</si>
  <si>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墈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</si>
  <si>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清酒（日本米酒）; 葡萄酒; 果酒（含酒精）; 青稞酒</t>
    </r>
  </si>
  <si>
    <t>LAJAZZ KISS</t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</si>
  <si>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白葡萄酒; 葡萄酒; 伏特加酒; 白酒; 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</si>
  <si>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郡合祥</t>
  </si>
  <si>
    <t>王冬冬</t>
  </si>
  <si>
    <r>
      <t>清酒（日本米酒）;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</si>
  <si>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r>
      <t>弥</t>
    </r>
    <r>
      <rPr>
        <sz val="11"/>
        <color theme="1"/>
        <rFont val="ＭＳ Ｐゴシック"/>
        <family val="3"/>
        <charset val="129"/>
        <scheme val="minor"/>
      </rPr>
      <t>蔻</t>
    </r>
  </si>
  <si>
    <r>
      <t>柑香酒; 葡萄酒;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</si>
  <si>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渐</t>
    </r>
    <r>
      <rPr>
        <sz val="11"/>
        <color theme="1"/>
        <rFont val="ＭＳ Ｐゴシック"/>
        <family val="3"/>
        <charset val="128"/>
        <scheme val="minor"/>
      </rPr>
      <t>阳</t>
    </r>
  </si>
  <si>
    <r>
      <t>郑兴</t>
    </r>
    <r>
      <rPr>
        <sz val="11"/>
        <color theme="1"/>
        <rFont val="ＭＳ Ｐゴシック"/>
        <family val="3"/>
        <charset val="128"/>
        <scheme val="minor"/>
      </rPr>
      <t>旺</t>
    </r>
  </si>
  <si>
    <r>
      <t>葡萄酒;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</si>
  <si>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刺明珠徐酒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</si>
  <si>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苹果酒; 利口酒;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</si>
  <si>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沗酒</t>
  </si>
  <si>
    <r>
      <t>果酒（含酒精）; 餐后酒（利口酒和烈酒）;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柑香酒; 酸酒（低等葡萄酒）;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</si>
  <si>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帝</t>
    </r>
    <r>
      <rPr>
        <sz val="11"/>
        <color theme="1"/>
        <rFont val="ＭＳ Ｐゴシック"/>
        <family val="3"/>
        <charset val="129"/>
        <scheme val="minor"/>
      </rPr>
      <t>郼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</si>
  <si>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餐后酒（利口酒和烈酒）; 葡萄酒; 酸酒（低等葡萄酒）;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柑香酒; 开胃酒; 果酒（含酒精）</t>
    </r>
  </si>
  <si>
    <r>
      <t>康</t>
    </r>
    <r>
      <rPr>
        <sz val="11"/>
        <color theme="1"/>
        <rFont val="ＭＳ Ｐゴシック"/>
        <family val="3"/>
        <charset val="134"/>
        <scheme val="minor"/>
      </rPr>
      <t>应</t>
    </r>
    <r>
      <rPr>
        <sz val="11"/>
        <color theme="1"/>
        <rFont val="ＭＳ Ｐゴシック"/>
        <family val="3"/>
        <charset val="128"/>
        <scheme val="minor"/>
      </rPr>
      <t>魁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</si>
  <si>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州向日魁酒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</si>
  <si>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食用酒精; 高粱酒; 果酒（含酒精）; 烈酒; 葡萄酒; 青稞酒; 米酒</t>
    </r>
  </si>
  <si>
    <t>叔子鼎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</si>
  <si>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州酒无之境酒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</si>
  <si>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</si>
  <si>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杭</t>
    </r>
    <r>
      <rPr>
        <sz val="11"/>
        <color theme="1"/>
        <rFont val="ＭＳ Ｐゴシック"/>
        <family val="3"/>
        <charset val="134"/>
        <scheme val="minor"/>
      </rPr>
      <t>闻</t>
    </r>
    <r>
      <rPr>
        <sz val="11"/>
        <color theme="1"/>
        <rFont val="ＭＳ Ｐゴシック"/>
        <family val="3"/>
        <charset val="128"/>
        <scheme val="minor"/>
      </rPr>
      <t>大帝</t>
    </r>
  </si>
  <si>
    <r>
      <t>葡萄酒;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</si>
  <si>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彤</t>
    </r>
    <r>
      <rPr>
        <sz val="11"/>
        <color theme="1"/>
        <rFont val="ＭＳ Ｐゴシック"/>
        <family val="3"/>
        <charset val="134"/>
        <scheme val="minor"/>
      </rPr>
      <t>伦</t>
    </r>
    <r>
      <rPr>
        <sz val="11"/>
        <color theme="1"/>
        <rFont val="ＭＳ Ｐゴシック"/>
        <family val="3"/>
        <charset val="128"/>
        <scheme val="minor"/>
      </rPr>
      <t>王子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</si>
  <si>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食用酒精;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蒸煮提取物（利口酒和烈酒）</t>
    </r>
  </si>
  <si>
    <t>阳指天</t>
  </si>
  <si>
    <r>
      <t>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烈酒; 蒸煮提取物（利口酒和烈酒）; 果酒;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白干酒（中国白酒）; 白酒;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</si>
  <si>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柴大成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</si>
  <si>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</si>
  <si>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品栖凰</t>
  </si>
  <si>
    <r>
      <t>嘉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市南湖区新丰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栖凰埭村股份</t>
    </r>
    <r>
      <rPr>
        <sz val="11"/>
        <color theme="1"/>
        <rFont val="ＭＳ Ｐゴシック"/>
        <family val="3"/>
        <charset val="134"/>
        <scheme val="minor"/>
      </rPr>
      <t>经济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</si>
  <si>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果酒（含酒精）; 白酒; 杜松子酒;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</si>
  <si>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平</t>
    </r>
    <r>
      <rPr>
        <sz val="11"/>
        <color theme="1"/>
        <rFont val="ＭＳ Ｐゴシック"/>
        <family val="3"/>
        <charset val="134"/>
        <scheme val="minor"/>
      </rPr>
      <t>桥</t>
    </r>
    <r>
      <rPr>
        <sz val="11"/>
        <color theme="1"/>
        <rFont val="ＭＳ Ｐゴシック"/>
        <family val="3"/>
        <charset val="128"/>
        <scheme val="minor"/>
      </rPr>
      <t>外婆家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</si>
  <si>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蝮蛇酒; 蜂蜜酒; 汽酒; 黄酒; 白酒; 果酒（含酒精）; 米酒; 清酒（日本米酒）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</si>
  <si>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河水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</si>
  <si>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弥勒市</t>
    </r>
    <r>
      <rPr>
        <sz val="11"/>
        <color theme="1"/>
        <rFont val="ＭＳ Ｐゴシック"/>
        <family val="3"/>
        <charset val="134"/>
        <scheme val="minor"/>
      </rPr>
      <t>锦华农产</t>
    </r>
    <r>
      <rPr>
        <sz val="11"/>
        <color theme="1"/>
        <rFont val="ＭＳ Ｐゴシック"/>
        <family val="3"/>
        <charset val="128"/>
        <scheme val="minor"/>
      </rPr>
      <t>品</t>
    </r>
    <r>
      <rPr>
        <sz val="11"/>
        <color theme="1"/>
        <rFont val="ＭＳ Ｐゴシック"/>
        <family val="3"/>
        <charset val="134"/>
        <scheme val="minor"/>
      </rPr>
      <t>产销专业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</si>
  <si>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</t>
    </r>
  </si>
  <si>
    <t>峨鹿</t>
  </si>
  <si>
    <r>
      <t>楚雄国运城市运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</si>
  <si>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白酒; 果酒（含酒精）</t>
    </r>
  </si>
  <si>
    <r>
      <t>项</t>
    </r>
    <r>
      <rPr>
        <sz val="11"/>
        <color theme="1"/>
        <rFont val="ＭＳ Ｐゴシック"/>
        <family val="3"/>
        <charset val="128"/>
        <scheme val="minor"/>
      </rPr>
      <t>羽楚韵</t>
    </r>
  </si>
  <si>
    <t>吴俊健</t>
  </si>
  <si>
    <r>
      <t>清酒; 伏特加酒;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朗姆酒;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</si>
  <si>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灵</t>
    </r>
    <r>
      <rPr>
        <sz val="11"/>
        <color theme="1"/>
        <rFont val="ＭＳ Ｐゴシック"/>
        <family val="3"/>
        <charset val="134"/>
        <scheme val="minor"/>
      </rPr>
      <t>谣</t>
    </r>
  </si>
  <si>
    <t>党建成</t>
  </si>
  <si>
    <r>
      <t>白酒; 蒸煮提取物（利口酒和烈酒）;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青稞酒;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</si>
  <si>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滇致曲</t>
  </si>
  <si>
    <r>
      <t>云南致曲酒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</si>
  <si>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蜂蜜酒;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梨酒</t>
    </r>
  </si>
  <si>
    <t>村稻园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</si>
  <si>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青稞酒; 开胃酒;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</si>
  <si>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禹孟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</si>
  <si>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威士忌;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</si>
  <si>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唯泰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</si>
  <si>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蒸煮提取物（利口酒和烈酒）;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食用酒精;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</si>
  <si>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水</t>
    </r>
    <r>
      <rPr>
        <sz val="11"/>
        <color theme="1"/>
        <rFont val="ＭＳ Ｐゴシック"/>
        <family val="3"/>
        <charset val="134"/>
        <scheme val="minor"/>
      </rPr>
      <t>雾岛</t>
    </r>
  </si>
  <si>
    <t>林开松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</si>
  <si>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米酒;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</si>
  <si>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t>晋阳潭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</si>
  <si>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蜂蜜酒;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</si>
  <si>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t>万得厨蛋巢</t>
  </si>
  <si>
    <r>
      <t xml:space="preserve">白酒; 葡萄酒; 米酒;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</si>
  <si>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r>
      <t>寿</t>
    </r>
    <r>
      <rPr>
        <sz val="11"/>
        <color theme="1"/>
        <rFont val="ＭＳ Ｐゴシック"/>
        <family val="3"/>
        <charset val="134"/>
        <scheme val="minor"/>
      </rPr>
      <t>颂</t>
    </r>
  </si>
  <si>
    <r>
      <t>果酒（含酒精）; 开胃酒; 清酒（日本米酒）;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</si>
  <si>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胖</t>
    </r>
    <r>
      <rPr>
        <sz val="11"/>
        <color theme="1"/>
        <rFont val="ＭＳ Ｐゴシック"/>
        <family val="3"/>
        <charset val="134"/>
        <scheme val="minor"/>
      </rPr>
      <t>妈烧</t>
    </r>
  </si>
  <si>
    <r>
      <t>成都胖掌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</si>
  <si>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米酒;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水果汽酒</t>
    </r>
  </si>
  <si>
    <r>
      <t>冀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州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</si>
  <si>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喜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</si>
  <si>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开胃酒;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</t>
    </r>
  </si>
  <si>
    <t>月荷</t>
  </si>
  <si>
    <r>
      <t>陈</t>
    </r>
    <r>
      <rPr>
        <sz val="11"/>
        <color theme="1"/>
        <rFont val="ＭＳ Ｐゴシック"/>
        <family val="3"/>
        <charset val="128"/>
        <scheme val="minor"/>
      </rPr>
      <t>德芬</t>
    </r>
  </si>
  <si>
    <r>
      <t>白酒; 米酒;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黄酒; 烈酒;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</si>
  <si>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KASABLANKA</t>
  </si>
  <si>
    <r>
      <t>吐洪江·吾</t>
    </r>
    <r>
      <rPr>
        <sz val="11"/>
        <color theme="1"/>
        <rFont val="ＭＳ Ｐゴシック"/>
        <family val="3"/>
        <charset val="134"/>
        <scheme val="minor"/>
      </rPr>
      <t>买尔</t>
    </r>
  </si>
  <si>
    <r>
      <t>威士忌; 白酒;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</si>
  <si>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t>二怪</t>
  </si>
  <si>
    <r>
      <t>陈</t>
    </r>
    <r>
      <rPr>
        <sz val="11"/>
        <color theme="1"/>
        <rFont val="ＭＳ Ｐゴシック"/>
        <family val="3"/>
        <charset val="128"/>
        <scheme val="minor"/>
      </rPr>
      <t>梅菊</t>
    </r>
  </si>
  <si>
    <r>
      <t>清酒;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果酒（含酒精）; 米酒; 黄酒; 梨酒; 白酒</t>
    </r>
  </si>
  <si>
    <r>
      <t>夏津</t>
    </r>
    <r>
      <rPr>
        <sz val="11"/>
        <color theme="1"/>
        <rFont val="ＭＳ Ｐゴシック"/>
        <family val="3"/>
        <charset val="134"/>
        <scheme val="minor"/>
      </rPr>
      <t>县农</t>
    </r>
    <r>
      <rPr>
        <sz val="11"/>
        <color theme="1"/>
        <rFont val="ＭＳ Ｐゴシック"/>
        <family val="3"/>
        <charset val="128"/>
        <scheme val="minor"/>
      </rPr>
      <t>村</t>
    </r>
    <r>
      <rPr>
        <sz val="11"/>
        <color theme="1"/>
        <rFont val="ＭＳ Ｐゴシック"/>
        <family val="3"/>
        <charset val="134"/>
        <scheme val="minor"/>
      </rPr>
      <t>经济发</t>
    </r>
    <r>
      <rPr>
        <sz val="11"/>
        <color theme="1"/>
        <rFont val="ＭＳ Ｐゴシック"/>
        <family val="3"/>
        <charset val="128"/>
        <scheme val="minor"/>
      </rPr>
      <t>展中心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</si>
  <si>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烈酒;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刺五加酒; 蒸煮提取物（利口酒和烈酒）; 伏特加酒; 果酒; 混合威士忌酒</t>
    </r>
  </si>
  <si>
    <t>MEETALL</t>
  </si>
  <si>
    <r>
      <t xml:space="preserve">汽酒;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伏特加酒; 朗姆酒;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葡萄酒</t>
    </r>
  </si>
  <si>
    <r>
      <t>楷</t>
    </r>
    <r>
      <rPr>
        <sz val="11"/>
        <color theme="1"/>
        <rFont val="ＭＳ Ｐゴシック"/>
        <family val="3"/>
        <charset val="134"/>
        <scheme val="minor"/>
      </rPr>
      <t>纵</t>
    </r>
    <r>
      <rPr>
        <sz val="11"/>
        <color theme="1"/>
        <rFont val="ＭＳ Ｐゴシック"/>
        <family val="3"/>
        <charset val="128"/>
        <scheme val="minor"/>
      </rPr>
      <t>王子</t>
    </r>
  </si>
  <si>
    <r>
      <t>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果酒（含酒精）; 葡萄酒; 蒸煮提取物（利口酒和烈酒）;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</si>
  <si>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喜运天承</t>
  </si>
  <si>
    <r>
      <t>钱</t>
    </r>
    <r>
      <rPr>
        <sz val="11"/>
        <color theme="1"/>
        <rFont val="ＭＳ Ｐゴシック"/>
        <family val="3"/>
        <charset val="128"/>
        <scheme val="minor"/>
      </rPr>
      <t>冠佐</t>
    </r>
  </si>
  <si>
    <r>
      <t xml:space="preserve">白酒; 威士忌;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果酒（含酒精）</t>
    </r>
  </si>
  <si>
    <t>云中恋</t>
  </si>
  <si>
    <t>刘四河</t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</si>
  <si>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</si>
  <si>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帆葵大帝</t>
  </si>
  <si>
    <r>
      <t>白酒; 黄酒; 食用酒精; 米酒; 蒸煮提取物（利口酒和烈酒）;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</si>
  <si>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晏大涛</t>
  </si>
  <si>
    <r>
      <t>高粱酒;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清酒; 蒸煮提取物（利口酒和烈酒）;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</si>
  <si>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榆</t>
    </r>
    <r>
      <rPr>
        <sz val="11"/>
        <color theme="1"/>
        <rFont val="ＭＳ Ｐゴシック"/>
        <family val="3"/>
        <charset val="134"/>
        <scheme val="minor"/>
      </rPr>
      <t>玺</t>
    </r>
  </si>
  <si>
    <r>
      <t xml:space="preserve">米酒; 果酒（含酒精）;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</si>
  <si>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尺</t>
    </r>
    <r>
      <rPr>
        <sz val="11"/>
        <color theme="1"/>
        <rFont val="ＭＳ Ｐゴシック"/>
        <family val="3"/>
        <charset val="134"/>
        <scheme val="minor"/>
      </rPr>
      <t>伦</t>
    </r>
    <r>
      <rPr>
        <sz val="11"/>
        <color theme="1"/>
        <rFont val="ＭＳ Ｐゴシック"/>
        <family val="3"/>
        <charset val="128"/>
        <scheme val="minor"/>
      </rPr>
      <t>千秋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</si>
  <si>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食用酒精</t>
    </r>
  </si>
  <si>
    <t>尺瑞王子</t>
  </si>
  <si>
    <r>
      <t>蒸煮提取物（利口酒和烈酒）;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</si>
  <si>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芭翠提</t>
  </si>
  <si>
    <r>
      <t>大理市美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</si>
  <si>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果酒; 汽酒; 清酒; 蒸煮提取物（利口酒和烈酒）; 白酒; 露酒</t>
    </r>
  </si>
  <si>
    <r>
      <t>瑞福</t>
    </r>
    <r>
      <rPr>
        <sz val="11"/>
        <color theme="1"/>
        <rFont val="ＭＳ Ｐゴシック"/>
        <family val="3"/>
        <charset val="134"/>
        <scheme val="minor"/>
      </rPr>
      <t>玺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</si>
  <si>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州瑞福</t>
    </r>
    <r>
      <rPr>
        <sz val="11"/>
        <color theme="1"/>
        <rFont val="ＭＳ Ｐゴシック"/>
        <family val="3"/>
        <charset val="134"/>
        <scheme val="minor"/>
      </rPr>
      <t>玺贸</t>
    </r>
    <r>
      <rPr>
        <sz val="11"/>
        <color theme="1"/>
        <rFont val="ＭＳ Ｐゴシック"/>
        <family val="3"/>
        <charset val="128"/>
        <scheme val="minor"/>
      </rPr>
      <t>易有限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</si>
  <si>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米酒; 食用酒精;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</si>
  <si>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顺</t>
    </r>
    <r>
      <rPr>
        <sz val="11"/>
        <color theme="1"/>
        <rFont val="ＭＳ Ｐゴシック"/>
        <family val="3"/>
        <charset val="128"/>
        <scheme val="minor"/>
      </rPr>
      <t>福</t>
    </r>
    <r>
      <rPr>
        <sz val="11"/>
        <color theme="1"/>
        <rFont val="ＭＳ Ｐゴシック"/>
        <family val="3"/>
        <charset val="134"/>
        <scheme val="minor"/>
      </rPr>
      <t>玺</t>
    </r>
  </si>
  <si>
    <r>
      <t>青稞酒;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</si>
  <si>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匠之</t>
    </r>
    <r>
      <rPr>
        <sz val="11"/>
        <color theme="1"/>
        <rFont val="ＭＳ Ｐゴシック"/>
        <family val="3"/>
        <charset val="134"/>
        <scheme val="minor"/>
      </rPr>
      <t>绝</t>
    </r>
  </si>
  <si>
    <t>曹津雨</t>
  </si>
  <si>
    <r>
      <t>白酒;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利口酒; 烈酒; 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</si>
  <si>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维时</t>
    </r>
    <r>
      <rPr>
        <sz val="11"/>
        <color theme="1"/>
        <rFont val="ＭＳ Ｐゴシック"/>
        <family val="3"/>
        <charset val="128"/>
        <scheme val="minor"/>
      </rPr>
      <t>珍</t>
    </r>
  </si>
  <si>
    <r>
      <t>新疆域上本味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</si>
  <si>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果酒（含酒精）; 葡萄酒;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薄荷酒; 露酒; 白酒</t>
    </r>
  </si>
  <si>
    <r>
      <t>羽拉</t>
    </r>
    <r>
      <rPr>
        <sz val="11"/>
        <color theme="1"/>
        <rFont val="ＭＳ Ｐゴシック"/>
        <family val="3"/>
        <charset val="134"/>
        <scheme val="minor"/>
      </rPr>
      <t>图</t>
    </r>
  </si>
  <si>
    <t>朱佳豪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</si>
  <si>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</si>
  <si>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北大荒集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江八五五</t>
    </r>
    <r>
      <rPr>
        <sz val="11"/>
        <color theme="1"/>
        <rFont val="ＭＳ Ｐゴシック"/>
        <family val="3"/>
        <charset val="134"/>
        <scheme val="minor"/>
      </rPr>
      <t>农场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</si>
  <si>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</si>
  <si>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耿耿星河</t>
  </si>
  <si>
    <r>
      <t>耿</t>
    </r>
    <r>
      <rPr>
        <sz val="11"/>
        <color theme="1"/>
        <rFont val="ＭＳ Ｐゴシック"/>
        <family val="3"/>
        <charset val="134"/>
        <scheme val="minor"/>
      </rPr>
      <t>硕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</si>
  <si>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</si>
  <si>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五窖虎</t>
  </si>
  <si>
    <r>
      <t>曹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亮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</si>
  <si>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果酒（含酒精）;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</si>
  <si>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仁州</t>
    </r>
    <r>
      <rPr>
        <sz val="11"/>
        <color theme="1"/>
        <rFont val="ＭＳ Ｐゴシック"/>
        <family val="3"/>
        <charset val="129"/>
        <scheme val="minor"/>
      </rPr>
      <t>怀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</si>
  <si>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果酒; 米酒; 利口酒;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威士忌; 烈酒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</si>
  <si>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承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</si>
  <si>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果酒; 利口酒</t>
    </r>
  </si>
  <si>
    <t>映刻</t>
  </si>
  <si>
    <r>
      <t>广西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</si>
  <si>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高粱酒; 黄酒; 露酒;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</si>
  <si>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俞</t>
    </r>
    <r>
      <rPr>
        <sz val="11"/>
        <color theme="1"/>
        <rFont val="ＭＳ Ｐゴシック"/>
        <family val="3"/>
        <charset val="128"/>
        <scheme val="minor"/>
      </rPr>
      <t>里古墨</t>
    </r>
  </si>
  <si>
    <r>
      <t>吉林</t>
    </r>
    <r>
      <rPr>
        <sz val="11"/>
        <color theme="1"/>
        <rFont val="ＭＳ Ｐゴシック"/>
        <family val="3"/>
        <charset val="129"/>
        <scheme val="minor"/>
      </rPr>
      <t>俞</t>
    </r>
    <r>
      <rPr>
        <sz val="11"/>
        <color theme="1"/>
        <rFont val="ＭＳ Ｐゴシック"/>
        <family val="3"/>
        <charset val="128"/>
        <scheme val="minor"/>
      </rPr>
      <t>里古墨健康科技有限公司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</si>
  <si>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</si>
  <si>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杏宏仁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</si>
  <si>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信宏仁医</t>
    </r>
    <r>
      <rPr>
        <sz val="11"/>
        <color theme="1"/>
        <rFont val="ＭＳ Ｐゴシック"/>
        <family val="3"/>
        <charset val="134"/>
        <scheme val="minor"/>
      </rPr>
      <t>药连锁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</si>
  <si>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白酒;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五加皮酒（中国混合烈酒）; 黄酒</t>
    </r>
  </si>
  <si>
    <r>
      <t>古中</t>
    </r>
    <r>
      <rPr>
        <sz val="11"/>
        <color theme="1"/>
        <rFont val="ＭＳ Ｐゴシック"/>
        <family val="3"/>
        <charset val="134"/>
        <scheme val="minor"/>
      </rPr>
      <t>驰</t>
    </r>
  </si>
  <si>
    <r>
      <t>海口秀英区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芳</t>
    </r>
    <r>
      <rPr>
        <sz val="11"/>
        <color theme="1"/>
        <rFont val="ＭＳ Ｐゴシック"/>
        <family val="3"/>
        <charset val="134"/>
        <scheme val="minor"/>
      </rPr>
      <t>锦贸</t>
    </r>
    <r>
      <rPr>
        <sz val="11"/>
        <color theme="1"/>
        <rFont val="ＭＳ Ｐゴシック"/>
        <family val="3"/>
        <charset val="128"/>
        <scheme val="minor"/>
      </rPr>
      <t>易商行（个体工商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</si>
  <si>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食用酒精; 葡萄酒; 白酒;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梅酒;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</si>
  <si>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西仲源健康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</si>
  <si>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苦艾酒; 果酒; 蜂蜜酒; 白酒; 开胃酒; 露酒;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高粱酒; 烈酒</t>
    </r>
  </si>
  <si>
    <r>
      <t>胡小</t>
    </r>
    <r>
      <rPr>
        <sz val="11"/>
        <color theme="1"/>
        <rFont val="ＭＳ Ｐゴシック"/>
        <family val="3"/>
        <charset val="134"/>
        <scheme val="minor"/>
      </rPr>
      <t>鹂</t>
    </r>
  </si>
  <si>
    <r>
      <t>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8"/>
        <scheme val="minor"/>
      </rPr>
      <t>原和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</si>
  <si>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白葡萄酒;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起泡白葡萄酒;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梅酒</t>
    </r>
  </si>
  <si>
    <t>鼎邈堂</t>
  </si>
  <si>
    <r>
      <t>李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金******************</t>
    </r>
  </si>
  <si>
    <r>
      <t>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甜酒;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</si>
  <si>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正心融禾</t>
  </si>
  <si>
    <r>
      <t>阜阳正念禧合餐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</si>
  <si>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黄酒; 果酒（含酒精）; 米酒; 食用酒精; 葡萄酒;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</si>
  <si>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匠承</t>
    </r>
  </si>
  <si>
    <r>
      <t>段奇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</si>
  <si>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 xml:space="preserve">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白酒</t>
    </r>
  </si>
  <si>
    <t>WUTERS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</si>
  <si>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黄酒; 葡萄酒;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白干酒（中国白酒）</t>
    </r>
  </si>
  <si>
    <t>宴嬉王</t>
  </si>
  <si>
    <t>杨艳丽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</si>
  <si>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利口酒; 白酒</t>
    </r>
  </si>
  <si>
    <t>梅花羡</t>
  </si>
  <si>
    <r>
      <t>富肴餐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</si>
  <si>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梅酒;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</si>
  <si>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祥康名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</si>
  <si>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州祥康酒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</si>
  <si>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 xml:space="preserve">汽酒;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</si>
  <si>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溪江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</si>
  <si>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果酒（含酒精）;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</si>
  <si>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品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里</t>
    </r>
  </si>
  <si>
    <r>
      <t>广西品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</si>
  <si>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青梅酒; 米酒; 烈酒; 葡萄酒; 果酒; 果酒（含酒精）; 黄酒; 清酒; 白酒; 甜酒</t>
  </si>
  <si>
    <r>
      <t>濮友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</si>
  <si>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莞市盾牌医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</si>
  <si>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烈酒;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</si>
  <si>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记忆录</t>
  </si>
  <si>
    <r>
      <t>芦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</si>
  <si>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威士忌; 米酒; 果酒（含酒精）; 葡萄酒; 青稞酒; 黄酒; 白酒; 高粱酒;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</si>
  <si>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商山花神</t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</si>
  <si>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清酒; 黄酒; 米酒;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</si>
  <si>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泉祖</t>
    </r>
  </si>
  <si>
    <r>
      <t>米酒; 烈酒;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</si>
  <si>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t>福小禧</t>
  </si>
  <si>
    <r>
      <t>亳州市孝来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</si>
  <si>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</t>
    </r>
  </si>
  <si>
    <r>
      <t>莞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</si>
  <si>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莞瑞泉生活科技有限公司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</si>
  <si>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朗姆酒; 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</si>
  <si>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水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</si>
  <si>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米酒; 烈酒; 利口酒;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</si>
  <si>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忆</t>
    </r>
    <r>
      <rPr>
        <sz val="11"/>
        <color theme="1"/>
        <rFont val="ＭＳ Ｐゴシック"/>
        <family val="3"/>
        <charset val="128"/>
        <scheme val="minor"/>
      </rPr>
      <t>湘泓</t>
    </r>
  </si>
  <si>
    <t>熊学林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</si>
  <si>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</t>
    </r>
  </si>
  <si>
    <r>
      <t>金溧</t>
    </r>
    <r>
      <rPr>
        <sz val="11"/>
        <color theme="1"/>
        <rFont val="ＭＳ Ｐゴシック"/>
        <family val="3"/>
        <charset val="134"/>
        <scheme val="minor"/>
      </rPr>
      <t>缘</t>
    </r>
  </si>
  <si>
    <t>李佳</t>
  </si>
  <si>
    <r>
      <t xml:space="preserve">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</si>
  <si>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客酒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</si>
  <si>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</si>
  <si>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佳U</t>
    </r>
    <r>
      <rPr>
        <sz val="11"/>
        <color theme="1"/>
        <rFont val="ＭＳ Ｐゴシック"/>
        <family val="3"/>
        <charset val="134"/>
        <scheme val="minor"/>
      </rPr>
      <t>栈</t>
    </r>
  </si>
  <si>
    <r>
      <t>上海仕辛投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</si>
  <si>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</si>
  <si>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善耕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</t>
    </r>
  </si>
  <si>
    <t>王海广</t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</si>
  <si>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米酒;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</si>
  <si>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明珠</t>
    </r>
    <r>
      <rPr>
        <sz val="11"/>
        <color theme="1"/>
        <rFont val="ＭＳ Ｐゴシック"/>
        <family val="3"/>
        <charset val="134"/>
        <scheme val="minor"/>
      </rPr>
      <t>龙</t>
    </r>
  </si>
  <si>
    <t>王菊花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</si>
  <si>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利口酒;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葡萄酒; 果酒（含酒精）; 黄酒; 开胃酒</t>
    </r>
  </si>
  <si>
    <r>
      <t>幸运</t>
    </r>
    <r>
      <rPr>
        <sz val="11"/>
        <color theme="1"/>
        <rFont val="ＭＳ Ｐゴシック"/>
        <family val="3"/>
        <charset val="134"/>
        <scheme val="minor"/>
      </rPr>
      <t>说</t>
    </r>
  </si>
  <si>
    <r>
      <t xml:space="preserve">果酒（含酒精）; 开胃酒; 葡萄酒; 黄酒; 白干酒（中国白酒）; 清酒;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</si>
  <si>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渡欲</t>
  </si>
  <si>
    <r>
      <t>赵</t>
    </r>
    <r>
      <rPr>
        <sz val="11"/>
        <color theme="1"/>
        <rFont val="ＭＳ Ｐゴシック"/>
        <family val="3"/>
        <charset val="128"/>
        <scheme val="minor"/>
      </rPr>
      <t>磊</t>
    </r>
  </si>
  <si>
    <r>
      <t>果酒;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白干酒（中国白酒）; 米酒</t>
    </r>
  </si>
  <si>
    <r>
      <t>府郡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承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</si>
  <si>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蜂蜜酒; 清酒（日本米酒）;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</si>
  <si>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HSYPWNC</t>
  </si>
  <si>
    <r>
      <t>梅州市金穗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</si>
  <si>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</si>
  <si>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天德先生</t>
  </si>
  <si>
    <t>廖天德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</si>
  <si>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高粱酒; 白酒; 米酒</t>
    </r>
  </si>
  <si>
    <r>
      <t>宝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老豫州</t>
    </r>
  </si>
  <si>
    <r>
      <t>罗战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</si>
  <si>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 xml:space="preserve">露酒; 果酒; 开胃酒; 米酒; 白酒;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</t>
    </r>
  </si>
  <si>
    <r>
      <t>权</t>
    </r>
    <r>
      <rPr>
        <sz val="11"/>
        <color theme="1"/>
        <rFont val="ＭＳ Ｐゴシック"/>
        <family val="3"/>
        <charset val="128"/>
        <scheme val="minor"/>
      </rPr>
      <t>状元</t>
    </r>
  </si>
  <si>
    <r>
      <t>包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荣</t>
    </r>
  </si>
  <si>
    <r>
      <t xml:space="preserve">开胃酒; 白酒; 利口酒; 果酒（含酒精）;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</si>
  <si>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樽</t>
    </r>
    <r>
      <rPr>
        <sz val="11"/>
        <color theme="1"/>
        <rFont val="ＭＳ Ｐゴシック"/>
        <family val="3"/>
        <charset val="134"/>
        <scheme val="minor"/>
      </rPr>
      <t>领</t>
    </r>
    <r>
      <rPr>
        <sz val="11"/>
        <color theme="1"/>
        <rFont val="ＭＳ Ｐゴシック"/>
        <family val="3"/>
        <charset val="128"/>
        <scheme val="minor"/>
      </rPr>
      <t>者</t>
    </r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</si>
  <si>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</si>
  <si>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梁秋大王</t>
  </si>
  <si>
    <r>
      <t>马</t>
    </r>
    <r>
      <rPr>
        <sz val="11"/>
        <color theme="1"/>
        <rFont val="ＭＳ Ｐゴシック"/>
        <family val="3"/>
        <charset val="128"/>
        <scheme val="minor"/>
      </rPr>
      <t>鑫成</t>
    </r>
  </si>
  <si>
    <r>
      <t xml:space="preserve">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葡萄酒; 威士忌; 果酒（含酒精）</t>
    </r>
  </si>
  <si>
    <t>皇庭湾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</si>
  <si>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清酒; 开胃酒; 白酒; 黄酒</t>
    </r>
  </si>
  <si>
    <t>HNNEESSET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</si>
  <si>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</si>
  <si>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御医昌</t>
  </si>
  <si>
    <t>黄竹影</t>
  </si>
  <si>
    <r>
      <t>果酒（含酒精）; 开胃酒;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蜂蜜酒;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</si>
  <si>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窖余年</t>
  </si>
  <si>
    <r>
      <t>白酒; 清酒; 葡萄酒; 果酒（含酒精）; 黄酒;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白干酒（中国白酒）;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</si>
  <si>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柔</t>
    </r>
    <r>
      <rPr>
        <sz val="11"/>
        <color theme="1"/>
        <rFont val="ＭＳ Ｐゴシック"/>
        <family val="3"/>
        <charset val="134"/>
        <scheme val="minor"/>
      </rPr>
      <t>领</t>
    </r>
    <r>
      <rPr>
        <sz val="11"/>
        <color theme="1"/>
        <rFont val="ＭＳ Ｐゴシック"/>
        <family val="3"/>
        <charset val="128"/>
        <scheme val="minor"/>
      </rPr>
      <t>者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</si>
  <si>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米酒;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葡萄酒; 白酒</t>
    </r>
  </si>
  <si>
    <t>宗翁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</si>
  <si>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葡萄酒; 清酒;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利口酒; 开胃酒</t>
    </r>
  </si>
  <si>
    <t>灵感疏入</t>
  </si>
  <si>
    <r>
      <t xml:space="preserve">清酒（日本米酒）;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</si>
  <si>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领</t>
    </r>
    <r>
      <rPr>
        <sz val="11"/>
        <color theme="1"/>
        <rFont val="ＭＳ Ｐゴシック"/>
        <family val="3"/>
        <charset val="128"/>
        <scheme val="minor"/>
      </rPr>
      <t>者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</si>
  <si>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白酒;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</si>
  <si>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长树</t>
    </r>
    <r>
      <rPr>
        <sz val="11"/>
        <color theme="1"/>
        <rFont val="ＭＳ Ｐゴシック"/>
        <family val="3"/>
        <charset val="128"/>
        <scheme val="minor"/>
      </rPr>
      <t>谷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</si>
  <si>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果酒（含酒精）; 利口酒; 白干酒（中国白酒）; 清酒; 黄酒; 白酒; 开胃酒</t>
    </r>
  </si>
  <si>
    <r>
      <t>黔叶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</si>
  <si>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仕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</si>
  <si>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 xml:space="preserve">果酒（含酒精）; 蜂蜜酒; 葡萄酒; 黄酒;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</si>
  <si>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ROLLSEA</t>
  </si>
  <si>
    <r>
      <t>嘉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妙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</si>
  <si>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伏特加酒;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清酒（日本米酒）;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</si>
  <si>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三川</t>
    </r>
    <r>
      <rPr>
        <sz val="11"/>
        <color theme="1"/>
        <rFont val="ＭＳ Ｐゴシック"/>
        <family val="3"/>
        <charset val="134"/>
        <scheme val="minor"/>
      </rPr>
      <t>粬苏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</si>
  <si>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州新江河商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</si>
  <si>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青梅酒; 黄酒; 青稞酒;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</t>
    </r>
  </si>
  <si>
    <t>粮邱淳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</si>
  <si>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威士忌; 米酒</t>
    </r>
  </si>
  <si>
    <r>
      <t>晋</t>
    </r>
    <r>
      <rPr>
        <sz val="11"/>
        <color theme="1"/>
        <rFont val="ＭＳ Ｐゴシック"/>
        <family val="3"/>
        <charset val="134"/>
        <scheme val="minor"/>
      </rPr>
      <t>兴师</t>
    </r>
  </si>
  <si>
    <t>易国良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</si>
  <si>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伏特加酒; 清酒（日本米酒）;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</si>
  <si>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桑</t>
    </r>
    <r>
      <rPr>
        <sz val="11"/>
        <color theme="1"/>
        <rFont val="ＭＳ Ｐゴシック"/>
        <family val="3"/>
        <charset val="134"/>
        <scheme val="minor"/>
      </rPr>
      <t>见</t>
    </r>
  </si>
  <si>
    <r>
      <t>石家庄章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</si>
  <si>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清酒（日本米酒）; 苦味酒; 苹果酒; 梨酒; 果酒; 米酒; 露酒; 黄酒;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</si>
  <si>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梁丰年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</si>
  <si>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利口酒; 白干酒（中国白酒）;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葡萄酒; 开胃酒</t>
    </r>
  </si>
  <si>
    <r>
      <t>孝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九天</t>
    </r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</si>
  <si>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果酒（含酒精）;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</si>
  <si>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斟</t>
    </r>
    <r>
      <rPr>
        <sz val="11"/>
        <color theme="1"/>
        <rFont val="ＭＳ Ｐゴシック"/>
        <family val="3"/>
        <charset val="134"/>
        <scheme val="minor"/>
      </rPr>
      <t>领</t>
    </r>
    <r>
      <rPr>
        <sz val="11"/>
        <color theme="1"/>
        <rFont val="ＭＳ Ｐゴシック"/>
        <family val="3"/>
        <charset val="128"/>
        <scheme val="minor"/>
      </rPr>
      <t>者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</si>
  <si>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米酒;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</si>
  <si>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林海</t>
    </r>
  </si>
  <si>
    <r>
      <t>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清酒; 黄酒</t>
    </r>
  </si>
  <si>
    <t>瑶艾你久久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</si>
  <si>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州瑶艾你旅游服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</si>
  <si>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白干酒（中国白酒）; 高粱酒; 米酒; 白酒; 苦艾酒;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</si>
  <si>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字</t>
    </r>
    <r>
      <rPr>
        <sz val="11"/>
        <color theme="1"/>
        <rFont val="ＭＳ Ｐゴシック"/>
        <family val="3"/>
        <charset val="134"/>
        <scheme val="minor"/>
      </rPr>
      <t>语</t>
    </r>
    <r>
      <rPr>
        <sz val="11"/>
        <color theme="1"/>
        <rFont val="ＭＳ Ｐゴシック"/>
        <family val="3"/>
        <charset val="128"/>
        <scheme val="minor"/>
      </rPr>
      <t>物</t>
    </r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</si>
  <si>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锋练</t>
    </r>
    <r>
      <rPr>
        <sz val="11"/>
        <color theme="1"/>
        <rFont val="ＭＳ Ｐゴシック"/>
        <family val="3"/>
        <charset val="128"/>
        <scheme val="minor"/>
      </rPr>
      <t>字教育信息咨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</si>
  <si>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</t>
    </r>
  </si>
  <si>
    <t>BOONSAGE</t>
  </si>
  <si>
    <t>深圳羲谷科技有限公司</t>
  </si>
  <si>
    <r>
      <t>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薄荷酒;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白酒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</si>
  <si>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近源</t>
    </r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</si>
  <si>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近源科技有限公司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</si>
  <si>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</si>
  <si>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宫</t>
    </r>
    <r>
      <rPr>
        <sz val="11"/>
        <color theme="1"/>
        <rFont val="ＭＳ Ｐゴシック"/>
        <family val="3"/>
        <charset val="128"/>
        <scheme val="minor"/>
      </rPr>
      <t>廷明清花</t>
    </r>
  </si>
  <si>
    <r>
      <t>白酒; 梨酒;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伏特加酒; 黄酒; 葡萄酒; 汽酒</t>
    </r>
  </si>
  <si>
    <t>半酣果果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</si>
  <si>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州半酣酒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</si>
  <si>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白酒; 葡萄酒; 米酒; 青稞酒;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利口酒</t>
    </r>
  </si>
  <si>
    <t>西口田</t>
  </si>
  <si>
    <r>
      <t>张</t>
    </r>
    <r>
      <rPr>
        <sz val="11"/>
        <color theme="1"/>
        <rFont val="ＭＳ Ｐゴシック"/>
        <family val="3"/>
        <charset val="128"/>
        <scheme val="minor"/>
      </rPr>
      <t>吉祥</t>
    </r>
  </si>
  <si>
    <r>
      <t>烈酒;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葡萄酒; 露酒; 白酒; 高粱酒;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米酒</t>
    </r>
  </si>
  <si>
    <r>
      <t>迎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</si>
  <si>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州国禄迎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</si>
  <si>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汽酒; 白酒</t>
    </r>
  </si>
  <si>
    <r>
      <t>福</t>
    </r>
    <r>
      <rPr>
        <sz val="11"/>
        <color theme="1"/>
        <rFont val="ＭＳ Ｐゴシック"/>
        <family val="3"/>
        <charset val="134"/>
        <scheme val="minor"/>
      </rPr>
      <t>勋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</si>
  <si>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彭</t>
    </r>
    <r>
      <rPr>
        <sz val="11"/>
        <color theme="1"/>
        <rFont val="ＭＳ Ｐゴシック"/>
        <family val="3"/>
        <charset val="134"/>
        <scheme val="minor"/>
      </rPr>
      <t>丽华</t>
    </r>
  </si>
  <si>
    <r>
      <t xml:space="preserve">葡萄酒; 米酒; 果酒（含酒精）; 烈酒;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</si>
  <si>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坛</t>
    </r>
    <r>
      <rPr>
        <sz val="11"/>
        <color theme="1"/>
        <rFont val="ＭＳ Ｐゴシック"/>
        <family val="3"/>
        <charset val="128"/>
        <scheme val="minor"/>
      </rPr>
      <t>仙柔</t>
    </r>
  </si>
  <si>
    <t>宋健民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</si>
  <si>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高粱酒;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蒸煮提取物（利口酒和烈酒）; 食用酒精</t>
    </r>
  </si>
  <si>
    <r>
      <t>粤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同行</t>
    </r>
  </si>
  <si>
    <r>
      <t>广州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仁文化有限公司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</si>
  <si>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高粱酒; 葡萄酒; 白酒; 威士忌; 苹果酒; 米酒</t>
    </r>
  </si>
  <si>
    <t>脍活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</si>
  <si>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州七味坊酒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</si>
  <si>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开胃酒; 葡萄酒</t>
    </r>
  </si>
  <si>
    <t>免渡河林海</t>
  </si>
  <si>
    <r>
      <t>牙克石市老北方酒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</si>
  <si>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</t>
    </r>
  </si>
  <si>
    <t>黄河悟</t>
  </si>
  <si>
    <r>
      <t>贺</t>
    </r>
    <r>
      <rPr>
        <sz val="11"/>
        <color theme="1"/>
        <rFont val="ＭＳ Ｐゴシック"/>
        <family val="3"/>
        <charset val="128"/>
        <scheme val="minor"/>
      </rPr>
      <t>春山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</si>
  <si>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黄酒; 薄荷酒</t>
    </r>
  </si>
  <si>
    <t>UMEET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</si>
  <si>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州茅台（集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）生</t>
    </r>
    <r>
      <rPr>
        <sz val="11"/>
        <color theme="1"/>
        <rFont val="ＭＳ Ｐゴシック"/>
        <family val="3"/>
        <charset val="134"/>
        <scheme val="minor"/>
      </rPr>
      <t>态农业产业发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</si>
  <si>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利口酒; 米酒; 露酒;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威士忌; 苹果酒</t>
    </r>
  </si>
  <si>
    <r>
      <t>顺</t>
    </r>
    <r>
      <rPr>
        <sz val="11"/>
        <color theme="1"/>
        <rFont val="ＭＳ Ｐゴシック"/>
        <family val="3"/>
        <charset val="128"/>
        <scheme val="minor"/>
      </rPr>
      <t>酩侯</t>
    </r>
  </si>
  <si>
    <r>
      <t>吕</t>
    </r>
    <r>
      <rPr>
        <sz val="11"/>
        <color theme="1"/>
        <rFont val="ＭＳ Ｐゴシック"/>
        <family val="3"/>
        <charset val="128"/>
        <scheme val="minor"/>
      </rPr>
      <t>凡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</si>
  <si>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青稞酒; 黄酒; 蜂蜜酒;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</t>
    </r>
  </si>
  <si>
    <r>
      <t>有仙.白</t>
    </r>
    <r>
      <rPr>
        <sz val="11"/>
        <color theme="1"/>
        <rFont val="ＭＳ Ｐゴシック"/>
        <family val="3"/>
        <charset val="134"/>
        <scheme val="minor"/>
      </rPr>
      <t>鹭</t>
    </r>
    <r>
      <rPr>
        <sz val="11"/>
        <color theme="1"/>
        <rFont val="ＭＳ Ｐゴシック"/>
        <family val="3"/>
        <charset val="128"/>
        <scheme val="minor"/>
      </rPr>
      <t>里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</si>
  <si>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永容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</si>
  <si>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青稞酒;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白酒; 黄酒; 米酒; 烈酒</t>
    </r>
  </si>
  <si>
    <t>一有万气</t>
  </si>
  <si>
    <r>
      <t>有万气(内蒙古)文化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</si>
  <si>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米酒;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苹果酒</t>
    </r>
  </si>
  <si>
    <t>元初禾</t>
  </si>
  <si>
    <r>
      <t>海南九</t>
    </r>
    <r>
      <rPr>
        <sz val="11"/>
        <color theme="1"/>
        <rFont val="ＭＳ Ｐゴシック"/>
        <family val="3"/>
        <charset val="134"/>
        <scheme val="minor"/>
      </rPr>
      <t>鹏</t>
    </r>
    <r>
      <rPr>
        <sz val="11"/>
        <color theme="1"/>
        <rFont val="ＭＳ Ｐゴシック"/>
        <family val="3"/>
        <charset val="128"/>
        <scheme val="minor"/>
      </rPr>
      <t>初禾科技有限公司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</si>
  <si>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苹果酒;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苦味酒;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</si>
  <si>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洹水人家</t>
  </si>
  <si>
    <r>
      <t>崔建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</si>
  <si>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黄酒; 果酒（含酒精）;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</si>
  <si>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无</t>
    </r>
    <r>
      <rPr>
        <sz val="11"/>
        <color theme="1"/>
        <rFont val="ＭＳ Ｐゴシック"/>
        <family val="3"/>
        <charset val="129"/>
        <scheme val="minor"/>
      </rPr>
      <t>扰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</si>
  <si>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领</t>
    </r>
    <r>
      <rPr>
        <sz val="11"/>
        <color theme="1"/>
        <rFont val="ＭＳ Ｐゴシック"/>
        <family val="3"/>
        <charset val="128"/>
        <scheme val="minor"/>
      </rPr>
      <t>秀印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包装有限公司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</si>
  <si>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</t>
    </r>
  </si>
  <si>
    <r>
      <t>随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入梦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</si>
  <si>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蜂蜜酒</t>
    </r>
  </si>
  <si>
    <t>千裕晟祥</t>
  </si>
  <si>
    <r>
      <t>四川千裕晟祥酒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</si>
  <si>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清酒（日本米酒）; 白酒; 杜松子酒;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</si>
  <si>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增公老黄</t>
  </si>
  <si>
    <t>黄耀明</t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</si>
  <si>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开胃酒; 米酒; 黄酒; 青稞酒</t>
    </r>
  </si>
  <si>
    <t>逸芝康</t>
  </si>
  <si>
    <r>
      <t>云南裕</t>
    </r>
    <r>
      <rPr>
        <sz val="11"/>
        <color theme="1"/>
        <rFont val="ＭＳ Ｐゴシック"/>
        <family val="3"/>
        <charset val="134"/>
        <scheme val="minor"/>
      </rPr>
      <t>农农业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</si>
  <si>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酸酒（低等葡萄酒）; 米酒;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苦味酒;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</si>
  <si>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严宠</t>
    </r>
    <r>
      <rPr>
        <sz val="11"/>
        <color theme="1"/>
        <rFont val="ＭＳ Ｐゴシック"/>
        <family val="3"/>
        <charset val="128"/>
        <scheme val="minor"/>
      </rPr>
      <t>士</t>
    </r>
  </si>
  <si>
    <r>
      <t>杭州</t>
    </r>
    <r>
      <rPr>
        <sz val="11"/>
        <color theme="1"/>
        <rFont val="ＭＳ Ｐゴシック"/>
        <family val="3"/>
        <charset val="134"/>
        <scheme val="minor"/>
      </rPr>
      <t>严岁岁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</si>
  <si>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朗姆酒; 葡萄酒;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白酒</t>
    </r>
  </si>
  <si>
    <t>雄嘉智和</t>
  </si>
  <si>
    <t>熊家智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</si>
  <si>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果酒（含酒精）; 清酒; 烈酒; 威士忌; 白酒</t>
    </r>
  </si>
  <si>
    <t>豫膳胡</t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</si>
  <si>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富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云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</si>
  <si>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米酒; 高粱酒</t>
    </r>
  </si>
  <si>
    <t>遵仁台·臻品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</si>
  <si>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州遵仁台酒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</si>
  <si>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薄荷酒;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</si>
  <si>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梦之</t>
    </r>
    <r>
      <rPr>
        <sz val="11"/>
        <color theme="1"/>
        <rFont val="ＭＳ Ｐゴシック"/>
        <family val="3"/>
        <charset val="134"/>
        <scheme val="minor"/>
      </rPr>
      <t>畅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</si>
  <si>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开胃酒; 清酒（日本米酒）; 果酒（含酒精）</t>
    </r>
  </si>
  <si>
    <r>
      <t>雨</t>
    </r>
    <r>
      <rPr>
        <sz val="11"/>
        <color theme="1"/>
        <rFont val="ＭＳ Ｐゴシック"/>
        <family val="3"/>
        <charset val="134"/>
        <scheme val="minor"/>
      </rPr>
      <t>润鲜润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</si>
  <si>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雨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肉</t>
    </r>
    <r>
      <rPr>
        <sz val="11"/>
        <color theme="1"/>
        <rFont val="ＭＳ Ｐゴシック"/>
        <family val="3"/>
        <charset val="134"/>
        <scheme val="minor"/>
      </rPr>
      <t>类产业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</si>
  <si>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朗姆酒;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黄酒; 白酒; 威士忌</t>
    </r>
  </si>
  <si>
    <r>
      <t>缘</t>
    </r>
    <r>
      <rPr>
        <sz val="11"/>
        <color theme="1"/>
        <rFont val="ＭＳ Ｐゴシック"/>
        <family val="3"/>
        <charset val="128"/>
        <scheme val="minor"/>
      </rPr>
      <t>粮君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</si>
  <si>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茅商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</si>
  <si>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</t>
    </r>
  </si>
  <si>
    <t>免渡河雪原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</si>
  <si>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</si>
  <si>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至</t>
    </r>
    <r>
      <rPr>
        <sz val="11"/>
        <color theme="1"/>
        <rFont val="ＭＳ Ｐゴシック"/>
        <family val="3"/>
        <charset val="134"/>
        <scheme val="minor"/>
      </rPr>
      <t>简汉</t>
    </r>
    <r>
      <rPr>
        <sz val="11"/>
        <color theme="1"/>
        <rFont val="ＭＳ Ｐゴシック"/>
        <family val="3"/>
        <charset val="128"/>
        <scheme val="minor"/>
      </rPr>
      <t>富</t>
    </r>
  </si>
  <si>
    <r>
      <t>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星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</si>
  <si>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黄酒; 葡萄酒; 开胃酒</t>
    </r>
  </si>
  <si>
    <r>
      <t>绽</t>
    </r>
    <r>
      <rPr>
        <sz val="11"/>
        <color theme="1"/>
        <rFont val="ＭＳ Ｐゴシック"/>
        <family val="3"/>
        <charset val="128"/>
        <scheme val="minor"/>
      </rPr>
      <t>雪</t>
    </r>
  </si>
  <si>
    <r>
      <t>苹果酒; 果酒（含酒精）; 米酒; 白酒; 威士忌; 露酒;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</si>
  <si>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34"/>
        <scheme val="minor"/>
      </rPr>
      <t>蓝</t>
    </r>
  </si>
  <si>
    <r>
      <t>四川省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</si>
  <si>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白酒; 高粱酒; 烈性干酒; 五加皮酒（中国混合烈酒）;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</si>
  <si>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归</t>
    </r>
    <r>
      <rPr>
        <sz val="11"/>
        <color theme="1"/>
        <rFont val="ＭＳ Ｐゴシック"/>
        <family val="3"/>
        <charset val="128"/>
        <scheme val="minor"/>
      </rPr>
      <t>宜</t>
    </r>
  </si>
  <si>
    <t>杨陈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</si>
  <si>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伏特加酒; 蜂蜜酒;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</si>
  <si>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古幽台</t>
  </si>
  <si>
    <t>魏建敏</t>
  </si>
  <si>
    <r>
      <t>米酒; 白酒; 食用酒精; 果酒（含酒精）;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</si>
  <si>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古穆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</si>
  <si>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葡萄酒; 食用酒精;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</si>
  <si>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州樽鎏醇酒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</si>
  <si>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白干酒（中国白酒）;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五加皮酒（中国混合烈酒）; 米酒; 葡萄酒; 白酒</t>
    </r>
  </si>
  <si>
    <r>
      <t>长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之晶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</si>
  <si>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连兴辉凯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</si>
  <si>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蒸煮提取物（利口酒和烈酒）; 利口酒;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清酒; 果酒（含酒精）</t>
    </r>
  </si>
  <si>
    <r>
      <t>诗锦</t>
    </r>
    <r>
      <rPr>
        <sz val="11"/>
        <color theme="1"/>
        <rFont val="ＭＳ Ｐゴシック"/>
        <family val="3"/>
        <charset val="128"/>
        <scheme val="minor"/>
      </rPr>
      <t>醉</t>
    </r>
  </si>
  <si>
    <r>
      <t>伍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</si>
  <si>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果酒;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蒸煮提取物（利口酒和烈酒）; 高粱酒;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</si>
  <si>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北田共宏</t>
  </si>
  <si>
    <r>
      <t>邢台北田共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家庭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</si>
  <si>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>果酒; 葡萄酒; 开胃酒; 清酒;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</si>
  <si>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澳朗森</t>
  </si>
  <si>
    <r>
      <t>金</t>
    </r>
    <r>
      <rPr>
        <sz val="11"/>
        <color theme="1"/>
        <rFont val="ＭＳ Ｐゴシック"/>
        <family val="3"/>
        <charset val="134"/>
        <scheme val="minor"/>
      </rPr>
      <t>华华</t>
    </r>
    <r>
      <rPr>
        <sz val="11"/>
        <color theme="1"/>
        <rFont val="ＭＳ Ｐゴシック"/>
        <family val="3"/>
        <charset val="128"/>
        <scheme val="minor"/>
      </rPr>
      <t>仁企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</si>
  <si>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黄酒;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苦艾酒</t>
    </r>
  </si>
  <si>
    <t>铸见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</si>
  <si>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米酒;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</si>
  <si>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闻</t>
    </r>
    <r>
      <rPr>
        <sz val="11"/>
        <color theme="1"/>
        <rFont val="ＭＳ Ｐゴシック"/>
        <family val="3"/>
        <charset val="128"/>
        <scheme val="minor"/>
      </rPr>
      <t>江渡</t>
    </r>
  </si>
  <si>
    <t>姚菲</t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</si>
  <si>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</t>
    </r>
  </si>
  <si>
    <r>
      <t>牡蓉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</si>
  <si>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t>范静静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</si>
  <si>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餐后酒（利口酒和烈酒）</t>
    </r>
  </si>
  <si>
    <r>
      <t>果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河</t>
    </r>
  </si>
  <si>
    <t>郭保才</t>
  </si>
  <si>
    <r>
      <t>白酒; 黄酒; 果酒（含酒精）;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</si>
  <si>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名匠神</t>
  </si>
  <si>
    <r>
      <t>粮王匠（广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</si>
  <si>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</si>
  <si>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悬壶</t>
    </r>
    <r>
      <rPr>
        <sz val="11"/>
        <color theme="1"/>
        <rFont val="ＭＳ Ｐゴシック"/>
        <family val="3"/>
        <charset val="128"/>
        <scheme val="minor"/>
      </rPr>
      <t>易康</t>
    </r>
  </si>
  <si>
    <r>
      <t>好檬</t>
    </r>
    <r>
      <rPr>
        <sz val="11"/>
        <color theme="1"/>
        <rFont val="ＭＳ Ｐゴシック"/>
        <family val="3"/>
        <charset val="134"/>
        <scheme val="minor"/>
      </rPr>
      <t>柠</t>
    </r>
    <r>
      <rPr>
        <sz val="11"/>
        <color theme="1"/>
        <rFont val="ＭＳ Ｐゴシック"/>
        <family val="3"/>
        <charset val="128"/>
        <scheme val="minor"/>
      </rPr>
      <t>健康管理云南有限公司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</si>
  <si>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食用酒精; 米酒; 黄酒; 白酒; 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</si>
  <si>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杏万</t>
    </r>
    <r>
      <rPr>
        <sz val="11"/>
        <color theme="1"/>
        <rFont val="ＭＳ Ｐゴシック"/>
        <family val="3"/>
        <charset val="134"/>
        <scheme val="minor"/>
      </rPr>
      <t>岁</t>
    </r>
  </si>
  <si>
    <r>
      <t>山西杏花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</si>
  <si>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利口酒; 葡萄酒; 黄酒; 果酒（含酒精）; 白酒; 开胃酒</t>
    </r>
  </si>
  <si>
    <t>卿盛湘</t>
  </si>
  <si>
    <r>
      <t>车</t>
    </r>
    <r>
      <rPr>
        <sz val="11"/>
        <color theme="1"/>
        <rFont val="ＭＳ Ｐゴシック"/>
        <family val="3"/>
        <charset val="128"/>
        <scheme val="minor"/>
      </rPr>
      <t>惠</t>
    </r>
  </si>
  <si>
    <r>
      <t>果酒（含酒精）; 烈酒; 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白干酒（中国白酒）</t>
    </r>
  </si>
  <si>
    <t>半酣侠客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</si>
  <si>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利口酒; 青稞酒;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米酒; 果酒（含酒精）</t>
    </r>
  </si>
  <si>
    <r>
      <t>宫</t>
    </r>
    <r>
      <rPr>
        <sz val="11"/>
        <color theme="1"/>
        <rFont val="ＭＳ Ｐゴシック"/>
        <family val="3"/>
        <charset val="128"/>
        <scheme val="minor"/>
      </rPr>
      <t>方御</t>
    </r>
  </si>
  <si>
    <t>石俊峰</t>
  </si>
  <si>
    <r>
      <t>葡萄酒; 苹果酒;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</si>
  <si>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旌</t>
    </r>
    <r>
      <rPr>
        <sz val="11"/>
        <color theme="1"/>
        <rFont val="ＭＳ Ｐゴシック"/>
        <family val="3"/>
        <charset val="134"/>
        <scheme val="minor"/>
      </rPr>
      <t>岚</t>
    </r>
  </si>
  <si>
    <r>
      <t>安徽新康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</si>
  <si>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汽酒; 黄酒; 米酒; 葡萄酒; 清酒;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</si>
  <si>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蜀人神</t>
    </r>
    <r>
      <rPr>
        <sz val="11"/>
        <color theme="1"/>
        <rFont val="ＭＳ Ｐゴシック"/>
        <family val="3"/>
        <charset val="134"/>
        <scheme val="minor"/>
      </rPr>
      <t>话</t>
    </r>
  </si>
  <si>
    <r>
      <t>白酒; 葡萄酒;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蒸煮提取物（利口酒和烈酒）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</si>
  <si>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桂芳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</si>
  <si>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桂芳生物科技有限公司</t>
    </r>
  </si>
  <si>
    <r>
      <t>开胃酒;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烈酒; 白酒; 果酒（含酒精）; 黄酒</t>
    </r>
  </si>
  <si>
    <t>梁叔公</t>
  </si>
  <si>
    <t>梁少能</t>
  </si>
  <si>
    <r>
      <t>道之</t>
    </r>
    <r>
      <rPr>
        <sz val="11"/>
        <color theme="1"/>
        <rFont val="ＭＳ Ｐゴシック"/>
        <family val="3"/>
        <charset val="134"/>
        <scheme val="minor"/>
      </rPr>
      <t>谢</t>
    </r>
  </si>
  <si>
    <r>
      <t>艾孜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提艾力·喀迪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</si>
  <si>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米酒; 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蜂蜜酒;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苹果酒;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</si>
  <si>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鱼</t>
    </r>
    <r>
      <rPr>
        <sz val="11"/>
        <color theme="1"/>
        <rFont val="ＭＳ Ｐゴシック"/>
        <family val="3"/>
        <charset val="128"/>
        <scheme val="minor"/>
      </rPr>
      <t>米印象</t>
    </r>
  </si>
  <si>
    <r>
      <t>杨兴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</si>
  <si>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 xml:space="preserve">蜂蜜酒; 清酒（日本米酒）;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</t>
    </r>
  </si>
  <si>
    <t>渡河梦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</si>
  <si>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州渡河沙酒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</si>
  <si>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清酒（日本米酒）;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</si>
  <si>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满</t>
    </r>
    <r>
      <rPr>
        <sz val="11"/>
        <color theme="1"/>
        <rFont val="ＭＳ Ｐゴシック"/>
        <family val="3"/>
        <charset val="128"/>
        <scheme val="minor"/>
      </rPr>
      <t>疆酩</t>
    </r>
  </si>
  <si>
    <r>
      <t>蔡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</si>
  <si>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威士忌; 青稞酒; 黄酒;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</si>
  <si>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r>
      <t>宋韵.</t>
    </r>
    <r>
      <rPr>
        <sz val="11"/>
        <color theme="1"/>
        <rFont val="ＭＳ Ｐゴシック"/>
        <family val="3"/>
        <charset val="134"/>
        <scheme val="minor"/>
      </rPr>
      <t>须</t>
    </r>
    <r>
      <rPr>
        <sz val="11"/>
        <color theme="1"/>
        <rFont val="ＭＳ Ｐゴシック"/>
        <family val="3"/>
        <charset val="128"/>
        <scheme val="minor"/>
      </rPr>
      <t>尽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</si>
  <si>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温州</t>
    </r>
    <r>
      <rPr>
        <sz val="11"/>
        <color theme="1"/>
        <rFont val="ＭＳ Ｐゴシック"/>
        <family val="3"/>
        <charset val="134"/>
        <scheme val="minor"/>
      </rPr>
      <t>项</t>
    </r>
    <r>
      <rPr>
        <sz val="11"/>
        <color theme="1"/>
        <rFont val="ＭＳ Ｐゴシック"/>
        <family val="3"/>
        <charset val="128"/>
        <scheme val="minor"/>
      </rPr>
      <t>春和堂酒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</si>
  <si>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</t>
    </r>
  </si>
  <si>
    <t>勤韵</t>
  </si>
  <si>
    <r>
      <t>宁夏</t>
    </r>
    <r>
      <rPr>
        <sz val="11"/>
        <color theme="1"/>
        <rFont val="ＭＳ Ｐゴシック"/>
        <family val="3"/>
        <charset val="134"/>
        <scheme val="minor"/>
      </rPr>
      <t>贺兰</t>
    </r>
    <r>
      <rPr>
        <sz val="11"/>
        <color theme="1"/>
        <rFont val="ＭＳ Ｐゴシック"/>
        <family val="3"/>
        <charset val="128"/>
        <scheme val="minor"/>
      </rPr>
      <t>亭酒庄有限公司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</si>
  <si>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威士忌; 白干酒（中国白酒）; 果酒（含酒精）; 开胃酒</t>
    </r>
  </si>
  <si>
    <r>
      <t>荷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吟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</si>
  <si>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赛</t>
    </r>
    <r>
      <rPr>
        <sz val="11"/>
        <color theme="1"/>
        <rFont val="ＭＳ Ｐゴシック"/>
        <family val="3"/>
        <charset val="128"/>
        <scheme val="minor"/>
      </rPr>
      <t>虎</t>
    </r>
  </si>
  <si>
    <r>
      <t xml:space="preserve">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开胃酒; 白酒; 清酒（日本米酒）;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</si>
  <si>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t>京洪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</si>
  <si>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葡萄酒</t>
    </r>
  </si>
  <si>
    <r>
      <t>有</t>
    </r>
    <r>
      <rPr>
        <sz val="11"/>
        <color theme="1"/>
        <rFont val="ＭＳ Ｐゴシック"/>
        <family val="3"/>
        <charset val="134"/>
        <scheme val="minor"/>
      </rPr>
      <t>龄</t>
    </r>
  </si>
  <si>
    <r>
      <t>林志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</si>
  <si>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</si>
  <si>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无极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</si>
  <si>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</si>
  <si>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大渝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</si>
  <si>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 xml:space="preserve">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朗姆酒; 葡萄酒; 果酒（含酒精）</t>
    </r>
  </si>
  <si>
    <r>
      <t>镇</t>
    </r>
    <r>
      <rPr>
        <sz val="11"/>
        <color theme="1"/>
        <rFont val="ＭＳ Ｐゴシック"/>
        <family val="3"/>
        <charset val="128"/>
        <scheme val="minor"/>
      </rPr>
      <t>益沽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</si>
  <si>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州言台科技有限公司</t>
    </r>
  </si>
  <si>
    <r>
      <t>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</si>
  <si>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利粮</t>
  </si>
  <si>
    <r>
      <t>杨</t>
    </r>
    <r>
      <rPr>
        <sz val="11"/>
        <color theme="1"/>
        <rFont val="ＭＳ Ｐゴシック"/>
        <family val="3"/>
        <charset val="128"/>
        <scheme val="minor"/>
      </rPr>
      <t>何燕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</si>
  <si>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果酒; 葡萄酒; 食用酒精; 清酒</t>
    </r>
  </si>
  <si>
    <t>黄河廷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</si>
  <si>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威士忌; 白酒; 开胃酒; 薄荷酒; 黄酒</t>
    </r>
  </si>
  <si>
    <t>麓生魅</t>
  </si>
  <si>
    <r>
      <t>宁夏众益德商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</si>
  <si>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葡萄汽酒; 起泡白葡萄酒; 加香料的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葡萄酒; 不起泡葡萄酒; 加烈葡萄酒;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</t>
    </r>
  </si>
  <si>
    <r>
      <t>岭</t>
    </r>
    <r>
      <rPr>
        <sz val="11"/>
        <color theme="1"/>
        <rFont val="ＭＳ Ｐゴシック"/>
        <family val="3"/>
        <charset val="134"/>
        <scheme val="minor"/>
      </rPr>
      <t>巅</t>
    </r>
  </si>
  <si>
    <t>高磊</t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</si>
  <si>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</si>
  <si>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黄河昌</t>
  </si>
  <si>
    <r>
      <t>刘士</t>
    </r>
    <r>
      <rPr>
        <sz val="11"/>
        <color theme="1"/>
        <rFont val="ＭＳ Ｐゴシック"/>
        <family val="3"/>
        <charset val="134"/>
        <scheme val="minor"/>
      </rPr>
      <t>显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</si>
  <si>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薄荷酒;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果酒（含酒精）; 白酒; 黄酒;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</si>
  <si>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伏</t>
    </r>
    <r>
      <rPr>
        <sz val="11"/>
        <color theme="1"/>
        <rFont val="ＭＳ Ｐゴシック"/>
        <family val="3"/>
        <charset val="134"/>
        <scheme val="minor"/>
      </rPr>
      <t>击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</si>
  <si>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平度市白登春文化</t>
    </r>
    <r>
      <rPr>
        <sz val="11"/>
        <color theme="1"/>
        <rFont val="ＭＳ Ｐゴシック"/>
        <family val="3"/>
        <charset val="134"/>
        <scheme val="minor"/>
      </rPr>
      <t>艺术</t>
    </r>
    <r>
      <rPr>
        <sz val="11"/>
        <color theme="1"/>
        <rFont val="ＭＳ Ｐゴシック"/>
        <family val="3"/>
        <charset val="128"/>
        <scheme val="minor"/>
      </rPr>
      <t>交流工作室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</si>
  <si>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</si>
  <si>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杜甫福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楼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</si>
  <si>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果酒（含酒精）</t>
    </r>
  </si>
  <si>
    <t>甘江湖</t>
  </si>
  <si>
    <t>张龙</t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</si>
  <si>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蜂蜜酒; 威士忌; 白酒; 青稞酒;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</si>
  <si>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英雄崛起</t>
  </si>
  <si>
    <r>
      <t>广西南宁金</t>
    </r>
    <r>
      <rPr>
        <sz val="11"/>
        <color theme="1"/>
        <rFont val="ＭＳ Ｐゴシック"/>
        <family val="3"/>
        <charset val="134"/>
        <scheme val="minor"/>
      </rPr>
      <t>视顿</t>
    </r>
    <r>
      <rPr>
        <sz val="11"/>
        <color theme="1"/>
        <rFont val="ＭＳ Ｐゴシック"/>
        <family val="3"/>
        <charset val="128"/>
        <scheme val="minor"/>
      </rPr>
      <t>安防工程有限公司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</si>
  <si>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开胃酒;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天然汽酒;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</si>
  <si>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卞窖基</t>
  </si>
  <si>
    <t>卞少雍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</si>
  <si>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蜂蜜酒;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</si>
  <si>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果酒; 食用酒精; 蒸煮提取物（利口酒和烈酒）</t>
    </r>
  </si>
  <si>
    <t>磨坊主</t>
  </si>
  <si>
    <t>上海曼香生物科技有限公司</t>
  </si>
  <si>
    <r>
      <t xml:space="preserve">米酒; 清酒;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</si>
  <si>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天湖正韵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</si>
  <si>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</si>
  <si>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基叔臻酒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</si>
  <si>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州融河老窖酒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</si>
  <si>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烈酒; 露酒; 高粱酒; 果酒;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黄酒</t>
    </r>
  </si>
  <si>
    <t>万相 VAN VISION</t>
  </si>
  <si>
    <r>
      <t>上海万相酒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</si>
  <si>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清酒（日本米酒）; 食用酒精; 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</si>
  <si>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奥莓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</si>
  <si>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日照佳奥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</si>
  <si>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</si>
  <si>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神隆春</t>
  </si>
  <si>
    <r>
      <t>张</t>
    </r>
    <r>
      <rPr>
        <sz val="11"/>
        <color theme="1"/>
        <rFont val="ＭＳ Ｐゴシック"/>
        <family val="3"/>
        <charset val="128"/>
        <scheme val="minor"/>
      </rPr>
      <t>静</t>
    </r>
  </si>
  <si>
    <r>
      <t>果酒; 米酒; 黄酒; 白酒; 蝮蛇酒;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梅酒; 汽酒; 清酒; 葡萄酒</t>
    </r>
  </si>
  <si>
    <r>
      <t>匠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生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</si>
  <si>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清酒（日本米酒）; 米酒; 汽酒;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果酒（含酒精）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</si>
  <si>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御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承</t>
    </r>
    <r>
      <rPr>
        <sz val="11"/>
        <color theme="1"/>
        <rFont val="ＭＳ Ｐゴシック"/>
        <family val="3"/>
        <charset val="134"/>
        <scheme val="minor"/>
      </rPr>
      <t>贵坛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</si>
  <si>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市程</t>
    </r>
    <r>
      <rPr>
        <sz val="11"/>
        <color theme="1"/>
        <rFont val="ＭＳ Ｐゴシック"/>
        <family val="3"/>
        <charset val="134"/>
        <scheme val="minor"/>
      </rPr>
      <t>润陈</t>
    </r>
    <r>
      <rPr>
        <sz val="11"/>
        <color theme="1"/>
        <rFont val="ＭＳ Ｐゴシック"/>
        <family val="3"/>
        <charset val="128"/>
        <scheme val="minor"/>
      </rPr>
      <t>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</si>
  <si>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清酒（日本米酒）; 米酒; 利口酒; 白酒; 黄酒; 果酒（含酒精）</t>
    </r>
  </si>
  <si>
    <r>
      <t>见</t>
    </r>
    <r>
      <rPr>
        <sz val="11"/>
        <color theme="1"/>
        <rFont val="ＭＳ Ｐゴシック"/>
        <family val="3"/>
        <charset val="128"/>
        <scheme val="minor"/>
      </rPr>
      <t>韵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</si>
  <si>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白酒; 果酒（含酒精）; 苹果酒; 利口酒; 威士忌</t>
    </r>
  </si>
  <si>
    <t>德广黔行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</si>
  <si>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州德广黔行文化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</si>
  <si>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高粱酒;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</si>
  <si>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巴宝利</t>
    </r>
    <r>
      <rPr>
        <sz val="11"/>
        <color theme="1"/>
        <rFont val="ＭＳ Ｐゴシック"/>
        <family val="3"/>
        <charset val="134"/>
        <scheme val="minor"/>
      </rPr>
      <t>战马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</si>
  <si>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市醇金矛酒</t>
    </r>
    <r>
      <rPr>
        <sz val="11"/>
        <color theme="1"/>
        <rFont val="ＭＳ Ｐゴシック"/>
        <family val="3"/>
        <charset val="134"/>
        <scheme val="minor"/>
      </rPr>
      <t>类经营</t>
    </r>
    <r>
      <rPr>
        <sz val="11"/>
        <color theme="1"/>
        <rFont val="ＭＳ Ｐゴシック"/>
        <family val="3"/>
        <charset val="128"/>
        <scheme val="minor"/>
      </rPr>
      <t>部(个人独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</si>
  <si>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>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威士忌; 米酒; 清酒; 白酒; 葡萄酒</t>
    </r>
  </si>
  <si>
    <t>空山九帖</t>
  </si>
  <si>
    <r>
      <t>杭州二金蝶堂文化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意有限公司</t>
    </r>
  </si>
  <si>
    <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清酒; 伏特加酒; 汽酒</t>
    </r>
  </si>
  <si>
    <t>辰悟</t>
  </si>
  <si>
    <r>
      <t>薄荷酒;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</si>
  <si>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海策</t>
    </r>
  </si>
  <si>
    <r>
      <t>黄酒;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果酒（含酒精）; 威士忌;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</si>
  <si>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傅素琴</t>
  </si>
  <si>
    <r>
      <t>果酒（含酒精）; 黄酒; 白酒; 薄荷酒;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</si>
  <si>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t>晋半生</t>
  </si>
  <si>
    <t>常会民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</si>
  <si>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苹果酒; 食用酒精; 餐后酒（利口酒和烈酒）;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</t>
    </r>
  </si>
  <si>
    <t>半酣雅客</t>
  </si>
  <si>
    <r>
      <t xml:space="preserve">青稞酒;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黄酒; 葡萄酒; 威士忌;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</si>
  <si>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祺元春</t>
  </si>
  <si>
    <r>
      <t>葡萄酒; 白干酒（中国白酒）; 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</si>
  <si>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市山</t>
    </r>
    <r>
      <rPr>
        <sz val="11"/>
        <color theme="1"/>
        <rFont val="ＭＳ Ｐゴシック"/>
        <family val="3"/>
        <charset val="134"/>
        <scheme val="minor"/>
      </rPr>
      <t>诚</t>
    </r>
  </si>
  <si>
    <r>
      <t>永登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洲生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养殖家庭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</si>
  <si>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梨酒;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果酒（含酒精）; 蜂蜜酒;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</si>
  <si>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嗣同里</t>
  </si>
  <si>
    <r>
      <t>浏</t>
    </r>
    <r>
      <rPr>
        <sz val="11"/>
        <color theme="1"/>
        <rFont val="ＭＳ Ｐゴシック"/>
        <family val="3"/>
        <charset val="128"/>
        <scheme val="minor"/>
      </rPr>
      <t>阳市蒸</t>
    </r>
    <r>
      <rPr>
        <sz val="11"/>
        <color theme="1"/>
        <rFont val="ＭＳ Ｐゴシック"/>
        <family val="3"/>
        <charset val="134"/>
        <scheme val="minor"/>
      </rPr>
      <t>浏记</t>
    </r>
    <r>
      <rPr>
        <sz val="11"/>
        <color theme="1"/>
        <rFont val="ＭＳ Ｐゴシック"/>
        <family val="3"/>
        <charset val="128"/>
        <scheme val="minor"/>
      </rPr>
      <t>蒸菜文化有限公司</t>
    </r>
  </si>
  <si>
    <r>
      <t xml:space="preserve">甜酒; 白酒; 蜂蜜酒; 葡萄酒; 黄酒; 果酒; 梨酒;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青梅酒</t>
    </r>
  </si>
  <si>
    <r>
      <t>耀</t>
    </r>
    <r>
      <rPr>
        <sz val="11"/>
        <color theme="1"/>
        <rFont val="ＭＳ Ｐゴシック"/>
        <family val="3"/>
        <charset val="134"/>
        <scheme val="minor"/>
      </rPr>
      <t>东华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</si>
  <si>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耀</t>
    </r>
    <r>
      <rPr>
        <sz val="11"/>
        <color theme="1"/>
        <rFont val="ＭＳ Ｐゴシック"/>
        <family val="3"/>
        <charset val="134"/>
        <scheme val="minor"/>
      </rPr>
      <t>东华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</si>
  <si>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米酒; 白酒;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汽酒</t>
    </r>
  </si>
  <si>
    <t>威特灵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</si>
  <si>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蜂蜜酒;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米酒; 含酒精的气泡水;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</si>
  <si>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小宛有礼</t>
  </si>
  <si>
    <r>
      <t>南阳城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脑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</si>
  <si>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</si>
  <si>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r>
      <t>柔</t>
    </r>
    <r>
      <rPr>
        <sz val="11"/>
        <color theme="1"/>
        <rFont val="ＭＳ Ｐゴシック"/>
        <family val="3"/>
        <charset val="134"/>
        <scheme val="minor"/>
      </rPr>
      <t>畅</t>
    </r>
    <r>
      <rPr>
        <sz val="11"/>
        <color theme="1"/>
        <rFont val="ＭＳ Ｐゴシック"/>
        <family val="3"/>
        <charset val="128"/>
        <scheme val="minor"/>
      </rPr>
      <t>美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</si>
  <si>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开胃酒; 清酒（日本米酒）; 青稞酒;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</t>
    </r>
  </si>
  <si>
    <r>
      <t>润</t>
    </r>
    <r>
      <rPr>
        <sz val="11"/>
        <color theme="1"/>
        <rFont val="ＭＳ Ｐゴシック"/>
        <family val="3"/>
        <charset val="128"/>
        <scheme val="minor"/>
      </rPr>
      <t>楼</t>
    </r>
  </si>
  <si>
    <r>
      <t>果酒（含酒精）; 开胃酒; 威士忌; 苹果酒; 青稞酒;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</si>
  <si>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渡河佬</t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</si>
  <si>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米酒;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</si>
  <si>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福粮辰</t>
  </si>
  <si>
    <r>
      <t>威士忌; 青稞酒; 清酒（日本米酒）; 蜂蜜酒; 黄酒;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</si>
  <si>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福胖</t>
    </r>
    <r>
      <rPr>
        <sz val="11"/>
        <color theme="1"/>
        <rFont val="ＭＳ Ｐゴシック"/>
        <family val="3"/>
        <charset val="134"/>
        <scheme val="minor"/>
      </rPr>
      <t>鱼</t>
    </r>
    <r>
      <rPr>
        <sz val="11"/>
        <color theme="1"/>
        <rFont val="ＭＳ Ｐゴシック"/>
        <family val="3"/>
        <charset val="128"/>
        <scheme val="minor"/>
      </rPr>
      <t>儿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</si>
  <si>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站文化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</si>
  <si>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威士忌; 果酒（含酒精）; 葡萄酒; 白酒; 汽酒; 蒸煮提取物（利口酒和烈酒）;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</si>
  <si>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MT</t>
  </si>
  <si>
    <r>
      <t>陈</t>
    </r>
    <r>
      <rPr>
        <sz val="11"/>
        <color theme="1"/>
        <rFont val="ＭＳ Ｐゴシック"/>
        <family val="3"/>
        <charset val="128"/>
        <scheme val="minor"/>
      </rPr>
      <t>美娟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</si>
  <si>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葡萄酒; 威士忌; 白酒; 高粱酒;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</si>
  <si>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宋氿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</si>
  <si>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玉</t>
    </r>
    <r>
      <rPr>
        <sz val="11"/>
        <color theme="1"/>
        <rFont val="ＭＳ Ｐゴシック"/>
        <family val="3"/>
        <charset val="134"/>
        <scheme val="minor"/>
      </rPr>
      <t>鸿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</si>
  <si>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蜂蜜酒;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白酒;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</si>
  <si>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绽蓝</t>
  </si>
  <si>
    <r>
      <t>利口酒; 苹果酒; 白酒; 果酒（含酒精）;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露酒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</si>
  <si>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珍</t>
    </r>
  </si>
  <si>
    <r>
      <t>果酒（含酒精）; 葡萄酒; 白酒; 露酒;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苹果酒;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</t>
    </r>
  </si>
  <si>
    <r>
      <t>雕</t>
    </r>
    <r>
      <rPr>
        <sz val="11"/>
        <color theme="1"/>
        <rFont val="ＭＳ Ｐゴシック"/>
        <family val="3"/>
        <charset val="134"/>
        <scheme val="minor"/>
      </rPr>
      <t>马</t>
    </r>
  </si>
  <si>
    <r>
      <t>广州雕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快租科技有限公司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</si>
  <si>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薄荷酒;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蜂蜜酒;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</si>
  <si>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泰酉</t>
  </si>
  <si>
    <t>梁晨曦</t>
  </si>
  <si>
    <r>
      <t>开胃酒; 威士忌; 米酒; 清酒（日本米酒）;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</si>
  <si>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佳人入梦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</si>
  <si>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白酒; 威士忌;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</si>
  <si>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瓶中江湖</t>
  </si>
  <si>
    <r>
      <t>张</t>
    </r>
    <r>
      <rPr>
        <sz val="11"/>
        <color theme="1"/>
        <rFont val="ＭＳ Ｐゴシック"/>
        <family val="3"/>
        <charset val="128"/>
        <scheme val="minor"/>
      </rPr>
      <t>雪林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</si>
  <si>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开胃酒; 烈酒; 清酒（日本米酒）; 黄酒; 果酒（含酒精）; 白酒</t>
    </r>
  </si>
  <si>
    <t>靖年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</si>
  <si>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九恒私募基金管理有限公司</t>
    </r>
  </si>
  <si>
    <r>
      <t xml:space="preserve">米酒;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白酒; 烈酒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</si>
  <si>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御精品</t>
    </r>
    <r>
      <rPr>
        <sz val="11"/>
        <color theme="1"/>
        <rFont val="ＭＳ Ｐゴシック"/>
        <family val="3"/>
        <charset val="134"/>
        <scheme val="minor"/>
      </rPr>
      <t>贵坛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</si>
  <si>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利口酒; 葡萄酒; 清酒（日本米酒）; 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开胃酒; 果酒（含酒精）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</si>
  <si>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御珍品</t>
    </r>
    <r>
      <rPr>
        <sz val="11"/>
        <color theme="1"/>
        <rFont val="ＭＳ Ｐゴシック"/>
        <family val="3"/>
        <charset val="134"/>
        <scheme val="minor"/>
      </rPr>
      <t>贵坛</t>
    </r>
  </si>
  <si>
    <r>
      <t>果酒（含酒精）; 葡萄酒; 黄酒; 利口酒;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开胃酒; 白酒; 清酒（日本米酒）;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</si>
  <si>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京宙</t>
  </si>
  <si>
    <r>
      <t>陈骏</t>
    </r>
    <r>
      <rPr>
        <sz val="11"/>
        <color theme="1"/>
        <rFont val="ＭＳ Ｐゴシック"/>
        <family val="3"/>
        <charset val="128"/>
        <scheme val="minor"/>
      </rPr>
      <t>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</si>
  <si>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白酒;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</si>
  <si>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京声</t>
  </si>
  <si>
    <r>
      <t>陈</t>
    </r>
    <r>
      <rPr>
        <sz val="11"/>
        <color theme="1"/>
        <rFont val="ＭＳ Ｐゴシック"/>
        <family val="3"/>
        <charset val="128"/>
        <scheme val="minor"/>
      </rPr>
      <t>紫雯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</si>
  <si>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</si>
  <si>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昆</t>
    </r>
    <r>
      <rPr>
        <sz val="11"/>
        <color theme="1"/>
        <rFont val="ＭＳ Ｐゴシック"/>
        <family val="3"/>
        <charset val="134"/>
        <scheme val="minor"/>
      </rPr>
      <t>仑</t>
    </r>
    <r>
      <rPr>
        <sz val="11"/>
        <color theme="1"/>
        <rFont val="ＭＳ Ｐゴシック"/>
        <family val="3"/>
        <charset val="128"/>
        <scheme val="minor"/>
      </rPr>
      <t>黔福</t>
    </r>
  </si>
  <si>
    <r>
      <t>福泉中石油昆</t>
    </r>
    <r>
      <rPr>
        <sz val="11"/>
        <color theme="1"/>
        <rFont val="ＭＳ Ｐゴシック"/>
        <family val="3"/>
        <charset val="134"/>
        <scheme val="minor"/>
      </rPr>
      <t>仑</t>
    </r>
    <r>
      <rPr>
        <sz val="11"/>
        <color theme="1"/>
        <rFont val="ＭＳ Ｐゴシック"/>
        <family val="3"/>
        <charset val="128"/>
        <scheme val="minor"/>
      </rPr>
      <t>燃气有限公司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</si>
  <si>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</si>
  <si>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</si>
  <si>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彩虹湖</t>
  </si>
  <si>
    <r>
      <t>邹维</t>
    </r>
    <r>
      <rPr>
        <sz val="11"/>
        <color theme="1"/>
        <rFont val="ＭＳ Ｐゴシック"/>
        <family val="3"/>
        <charset val="128"/>
        <scheme val="minor"/>
      </rPr>
      <t>高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</si>
  <si>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米酒; 果酒（含酒精）</t>
    </r>
  </si>
  <si>
    <t>淮才子</t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</si>
  <si>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白酒; 威士忌; 青稞酒;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</si>
  <si>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景云里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</si>
  <si>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州商盟企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家俱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</si>
  <si>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葡萄酒; 果酒; 白酒; 白干酒（中国白酒）; 甜酒; 黄酒; 白葡萄酒;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</si>
  <si>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酩梦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</si>
  <si>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黄酒;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蜂蜜酒</t>
    </r>
  </si>
  <si>
    <r>
      <t>宛美遇</t>
    </r>
    <r>
      <rPr>
        <sz val="11"/>
        <color theme="1"/>
        <rFont val="ＭＳ Ｐゴシック"/>
        <family val="3"/>
        <charset val="134"/>
        <scheme val="minor"/>
      </rPr>
      <t>见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</si>
  <si>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食用酒精;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</si>
  <si>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望酩江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</si>
  <si>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蜂蜜酒; 白酒; 青稞酒;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</si>
  <si>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陛</t>
    </r>
    <r>
      <rPr>
        <sz val="11"/>
        <color theme="1"/>
        <rFont val="ＭＳ Ｐゴシック"/>
        <family val="3"/>
        <charset val="134"/>
        <scheme val="minor"/>
      </rPr>
      <t>顺</t>
    </r>
  </si>
  <si>
    <t>林家英</t>
  </si>
  <si>
    <r>
      <t>白酒; 黄酒;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蒸煮提取物（利口酒和烈酒）; 高粱酒;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</si>
  <si>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勇者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范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</si>
  <si>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淑莉</t>
    </r>
  </si>
  <si>
    <r>
      <t>蒸煮提取物（利口酒和烈酒）;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米酒</t>
    </r>
  </si>
  <si>
    <t>御草名芳</t>
  </si>
  <si>
    <t>文新平</t>
  </si>
  <si>
    <t>果酒; 汽酒; 清酒; 葡萄酒; 白酒; 黄酒; 开胃酒; 甜酒; 食用酒精; 米酒</t>
  </si>
  <si>
    <t>集凡</t>
  </si>
  <si>
    <r>
      <t>周</t>
    </r>
    <r>
      <rPr>
        <sz val="11"/>
        <color theme="1"/>
        <rFont val="ＭＳ Ｐゴシック"/>
        <family val="3"/>
        <charset val="134"/>
        <scheme val="minor"/>
      </rPr>
      <t>晓乐</t>
    </r>
  </si>
  <si>
    <r>
      <t xml:space="preserve">食用酒精;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蒸煮提取物（利口酒和烈酒）;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</si>
  <si>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握成</t>
  </si>
  <si>
    <r>
      <t xml:space="preserve">米酒; 白酒; 果酒（含酒精）; 葡萄酒; 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</si>
  <si>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介子丰</t>
  </si>
  <si>
    <r>
      <t>河南源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臻</t>
    </r>
    <r>
      <rPr>
        <sz val="11"/>
        <color theme="1"/>
        <rFont val="ＭＳ Ｐゴシック"/>
        <family val="3"/>
        <charset val="134"/>
        <scheme val="minor"/>
      </rPr>
      <t>浓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</si>
  <si>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</si>
  <si>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京</t>
    </r>
    <r>
      <rPr>
        <sz val="11"/>
        <color theme="1"/>
        <rFont val="ＭＳ Ｐゴシック"/>
        <family val="3"/>
        <charset val="134"/>
        <scheme val="minor"/>
      </rPr>
      <t>页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</si>
  <si>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</si>
  <si>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绽</t>
    </r>
    <r>
      <rPr>
        <sz val="11"/>
        <color theme="1"/>
        <rFont val="ＭＳ Ｐゴシック"/>
        <family val="3"/>
        <charset val="128"/>
        <scheme val="minor"/>
      </rPr>
      <t>悦</t>
    </r>
  </si>
  <si>
    <r>
      <t>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葡萄酒; 苹果酒; 米酒; 威士忌; 利口酒</t>
    </r>
  </si>
  <si>
    <r>
      <t>ANNKOSER 安</t>
    </r>
    <r>
      <rPr>
        <sz val="11"/>
        <color theme="1"/>
        <rFont val="ＭＳ Ｐゴシック"/>
        <family val="3"/>
        <charset val="129"/>
        <scheme val="minor"/>
      </rPr>
      <t>蔻</t>
    </r>
    <r>
      <rPr>
        <sz val="11"/>
        <color theme="1"/>
        <rFont val="ＭＳ Ｐゴシック"/>
        <family val="3"/>
        <charset val="128"/>
        <scheme val="minor"/>
      </rPr>
      <t>思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</si>
  <si>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仁达集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</si>
  <si>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甜酒</t>
    </r>
  </si>
  <si>
    <r>
      <t>果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代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</si>
  <si>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米酒;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</si>
  <si>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营选</t>
    </r>
    <r>
      <rPr>
        <sz val="11"/>
        <color theme="1"/>
        <rFont val="ＭＳ Ｐゴシック"/>
        <family val="3"/>
        <charset val="128"/>
        <scheme val="minor"/>
      </rPr>
      <t>甄品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</si>
  <si>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沙沟香油集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</si>
  <si>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开胃酒;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</si>
  <si>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含酒精的气泡水;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 xml:space="preserve">甜酒; 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</t>
    </r>
  </si>
  <si>
    <t>沂叙</t>
  </si>
  <si>
    <r>
      <t>青稞酒; 开胃酒; 清酒（日本米酒）; 蜂蜜酒;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</si>
  <si>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梦</t>
    </r>
    <r>
      <rPr>
        <sz val="11"/>
        <color theme="1"/>
        <rFont val="ＭＳ Ｐゴシック"/>
        <family val="3"/>
        <charset val="134"/>
        <scheme val="minor"/>
      </rPr>
      <t>赏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</si>
  <si>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开胃酒;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</si>
  <si>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五象甄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</si>
  <si>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广西五投国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</si>
  <si>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白酒; 清酒（日本米酒）; 葡萄酒; 黄酒;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</si>
  <si>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ARTHUR’S KNIGHT</t>
  </si>
  <si>
    <t>云禧品牌管理（深圳）有限公司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</si>
  <si>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麦芽威士忌; 混合威士忌酒; 杜松子酒; 朗姆酒; 伏特加酒;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</si>
  <si>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t>徽脉</t>
  </si>
  <si>
    <r>
      <t>安徽前店后坊酒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</si>
  <si>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利口酒; 开胃酒; 威士忌; 米酒; 葡萄酒; 黄酒</t>
    </r>
  </si>
  <si>
    <r>
      <t>醇</t>
    </r>
    <r>
      <rPr>
        <sz val="11"/>
        <color theme="1"/>
        <rFont val="ＭＳ Ｐゴシック"/>
        <family val="3"/>
        <charset val="129"/>
        <scheme val="minor"/>
      </rPr>
      <t>洺</t>
    </r>
    <r>
      <rPr>
        <sz val="11"/>
        <color theme="1"/>
        <rFont val="ＭＳ Ｐゴシック"/>
        <family val="3"/>
        <charset val="128"/>
        <scheme val="minor"/>
      </rPr>
      <t>香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</si>
  <si>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善正</t>
    </r>
  </si>
  <si>
    <r>
      <t>烈酒;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</t>
    </r>
  </si>
  <si>
    <r>
      <t>需尽</t>
    </r>
    <r>
      <rPr>
        <sz val="11"/>
        <color theme="1"/>
        <rFont val="ＭＳ Ｐゴシック"/>
        <family val="3"/>
        <charset val="134"/>
        <scheme val="minor"/>
      </rPr>
      <t>觞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</si>
  <si>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门标</t>
    </r>
    <r>
      <rPr>
        <sz val="11"/>
        <color theme="1"/>
        <rFont val="ＭＳ Ｐゴシック"/>
        <family val="3"/>
        <charset val="128"/>
        <scheme val="minor"/>
      </rPr>
      <t>元吉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阳分公司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</si>
  <si>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</si>
  <si>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t>BILLIONRICH</t>
  </si>
  <si>
    <r>
      <t>北京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程汽</t>
    </r>
    <r>
      <rPr>
        <sz val="11"/>
        <color theme="1"/>
        <rFont val="ＭＳ Ｐゴシック"/>
        <family val="3"/>
        <charset val="134"/>
        <scheme val="minor"/>
      </rPr>
      <t>车销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</si>
  <si>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</si>
  <si>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武帝福</t>
  </si>
  <si>
    <r>
      <t>白酒;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</t>
    </r>
  </si>
  <si>
    <r>
      <t>庆</t>
    </r>
    <r>
      <rPr>
        <sz val="11"/>
        <color theme="1"/>
        <rFont val="ＭＳ Ｐゴシック"/>
        <family val="3"/>
        <charset val="128"/>
        <scheme val="minor"/>
      </rPr>
      <t>繁荣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</si>
  <si>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米酒;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</si>
  <si>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浮秦道</t>
  </si>
  <si>
    <r>
      <t>秦皇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大肚文化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</si>
  <si>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含酒精的气泡水;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苹果酒;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果酒; 清酒; 白酒; 葡萄酒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</si>
  <si>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天然汽酒; 开胃酒; 汽酒; 果酒（含酒精）;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</si>
  <si>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DIDA</t>
  </si>
  <si>
    <t>樊建港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</si>
  <si>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</t>
    </r>
  </si>
  <si>
    <r>
      <t>皇家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君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</si>
  <si>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门蓝</t>
    </r>
    <r>
      <rPr>
        <sz val="11"/>
        <color theme="1"/>
        <rFont val="ＭＳ Ｐゴシック"/>
        <family val="3"/>
        <charset val="128"/>
        <scheme val="minor"/>
      </rPr>
      <t>穆国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</si>
  <si>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汽酒; 黄酒; 白酒; 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</si>
  <si>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韩</t>
    </r>
    <r>
      <rPr>
        <sz val="11"/>
        <color theme="1"/>
        <rFont val="ＭＳ Ｐゴシック"/>
        <family val="3"/>
        <charset val="128"/>
        <scheme val="minor"/>
      </rPr>
      <t>熹</t>
    </r>
    <r>
      <rPr>
        <sz val="11"/>
        <color theme="1"/>
        <rFont val="ＭＳ Ｐゴシック"/>
        <family val="3"/>
        <charset val="134"/>
        <scheme val="minor"/>
      </rPr>
      <t>阁</t>
    </r>
  </si>
  <si>
    <r>
      <t>延</t>
    </r>
    <r>
      <rPr>
        <sz val="11"/>
        <color theme="1"/>
        <rFont val="ＭＳ Ｐゴシック"/>
        <family val="3"/>
        <charset val="134"/>
        <scheme val="minor"/>
      </rPr>
      <t>边</t>
    </r>
    <r>
      <rPr>
        <sz val="11"/>
        <color theme="1"/>
        <rFont val="ＭＳ Ｐゴシック"/>
        <family val="3"/>
        <charset val="128"/>
        <scheme val="minor"/>
      </rPr>
      <t>稻尚民俗食品有限公司</t>
    </r>
  </si>
  <si>
    <r>
      <t>青梅酒; 白酒; 露酒;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果酒（含酒精）</t>
    </r>
  </si>
  <si>
    <r>
      <t>九酩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</si>
  <si>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 xml:space="preserve">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开胃酒; 黄酒;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</si>
  <si>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御帝九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</si>
  <si>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州天生喜酒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</si>
  <si>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利口酒; 白酒;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</si>
  <si>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特境</t>
  </si>
  <si>
    <r>
      <t>古丈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秘境源</t>
    </r>
    <r>
      <rPr>
        <sz val="11"/>
        <color theme="1"/>
        <rFont val="ＭＳ Ｐゴシック"/>
        <family val="3"/>
        <charset val="134"/>
        <scheme val="minor"/>
      </rPr>
      <t>农产</t>
    </r>
    <r>
      <rPr>
        <sz val="11"/>
        <color theme="1"/>
        <rFont val="ＭＳ Ｐゴシック"/>
        <family val="3"/>
        <charset val="128"/>
        <scheme val="minor"/>
      </rPr>
      <t>品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</si>
  <si>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食用酒精; 白酒;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五加皮酒（中国混合烈酒）;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</si>
  <si>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沂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春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</si>
  <si>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</si>
  <si>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青稞酒; 开胃酒;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</si>
  <si>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t>半酣好客</t>
  </si>
  <si>
    <r>
      <t xml:space="preserve">米酒; 青稞酒; 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利口酒; 白酒</t>
    </r>
  </si>
  <si>
    <t>半酣墨客</t>
  </si>
  <si>
    <r>
      <t xml:space="preserve">葡萄酒; 青稞酒;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利口酒; 米酒</t>
    </r>
  </si>
  <si>
    <r>
      <t>雨</t>
    </r>
    <r>
      <rPr>
        <sz val="11"/>
        <color theme="1"/>
        <rFont val="ＭＳ Ｐゴシック"/>
        <family val="3"/>
        <charset val="134"/>
        <scheme val="minor"/>
      </rPr>
      <t>润润</t>
    </r>
    <r>
      <rPr>
        <sz val="11"/>
        <color theme="1"/>
        <rFont val="ＭＳ Ｐゴシック"/>
        <family val="3"/>
        <charset val="128"/>
        <scheme val="minor"/>
      </rPr>
      <t>生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</si>
  <si>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白酒; 黄酒; 威士忌; 朗姆酒; 米酒</t>
    </r>
  </si>
  <si>
    <r>
      <t>三</t>
    </r>
    <r>
      <rPr>
        <sz val="11"/>
        <color theme="1"/>
        <rFont val="ＭＳ Ｐゴシック"/>
        <family val="3"/>
        <charset val="134"/>
        <scheme val="minor"/>
      </rPr>
      <t>驾马车</t>
    </r>
  </si>
  <si>
    <r>
      <t>故城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董学府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酒厂</t>
    </r>
  </si>
  <si>
    <r>
      <t xml:space="preserve">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</si>
  <si>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御琦</t>
  </si>
  <si>
    <r>
      <t>露酒; 威士忌; 利口酒;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苹果酒; 果酒（含酒精）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</si>
  <si>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红凤</t>
    </r>
  </si>
  <si>
    <t>李朝霞</t>
  </si>
  <si>
    <r>
      <t>黄酒; 果酒（含酒精）;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</si>
  <si>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心住人</t>
  </si>
  <si>
    <r>
      <t>威士忌; 米酒; 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</si>
  <si>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喜</t>
    </r>
    <r>
      <rPr>
        <sz val="11"/>
        <color theme="1"/>
        <rFont val="ＭＳ Ｐゴシック"/>
        <family val="3"/>
        <charset val="134"/>
        <scheme val="minor"/>
      </rPr>
      <t>记传</t>
    </r>
    <r>
      <rPr>
        <sz val="11"/>
        <color theme="1"/>
        <rFont val="ＭＳ Ｐゴシック"/>
        <family val="3"/>
        <charset val="128"/>
        <scheme val="minor"/>
      </rPr>
      <t>喜</t>
    </r>
  </si>
  <si>
    <r>
      <t>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喜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</si>
  <si>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</t>
    </r>
  </si>
  <si>
    <t>六技</t>
  </si>
  <si>
    <r>
      <t>宁光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</si>
  <si>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 xml:space="preserve">黄酒; 高粱酒;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</si>
  <si>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t>千馥吟</t>
  </si>
  <si>
    <r>
      <t xml:space="preserve">开胃酒; 清酒（日本米酒）; 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</si>
  <si>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穗榜</t>
  </si>
  <si>
    <r>
      <t xml:space="preserve">清酒（日本米酒）; 威士忌; 青稞酒;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蜂蜜酒; 开胃酒</t>
    </r>
  </si>
  <si>
    <t>九窖伯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</si>
  <si>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清酒（日本米酒）; 黄酒; 开胃酒; 威士忌; 白酒</t>
    </r>
  </si>
  <si>
    <t>望界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</si>
  <si>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葡萄酒; 果酒（含酒精）;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五加皮酒（中国混合烈酒）;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</si>
  <si>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鹭</t>
    </r>
    <r>
      <rPr>
        <sz val="11"/>
        <color theme="1"/>
        <rFont val="ＭＳ Ｐゴシック"/>
        <family val="3"/>
        <charset val="129"/>
        <scheme val="minor"/>
      </rPr>
      <t>洺</t>
    </r>
    <r>
      <rPr>
        <sz val="11"/>
        <color theme="1"/>
        <rFont val="ＭＳ Ｐゴシック"/>
        <family val="3"/>
        <charset val="128"/>
        <scheme val="minor"/>
      </rPr>
      <t>流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</si>
  <si>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白干酒（中国白酒）;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</si>
  <si>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滇源仙</t>
    </r>
    <r>
      <rPr>
        <sz val="11"/>
        <color theme="1"/>
        <rFont val="ＭＳ Ｐゴシック"/>
        <family val="3"/>
        <charset val="134"/>
        <scheme val="minor"/>
      </rPr>
      <t>玛</t>
    </r>
  </si>
  <si>
    <r>
      <t>云南雄邦食品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料有限公司</t>
    </r>
  </si>
  <si>
    <r>
      <t xml:space="preserve">果酒（含酒精）; 苦味酒; 食用酒精; 白酒; 米酒;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杜松子酒;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</si>
  <si>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古洼情</t>
  </si>
  <si>
    <r>
      <t>张</t>
    </r>
    <r>
      <rPr>
        <sz val="11"/>
        <color theme="1"/>
        <rFont val="ＭＳ Ｐゴシック"/>
        <family val="3"/>
        <charset val="128"/>
        <scheme val="minor"/>
      </rPr>
      <t>敏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</si>
  <si>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葡萄酒; 白酒; 果酒（含酒精）; 汽酒; 黄酒; 酸酒（低等葡萄酒）</t>
    </r>
  </si>
  <si>
    <t>厚决高</t>
  </si>
  <si>
    <r>
      <t>怀</t>
    </r>
    <r>
      <rPr>
        <sz val="11"/>
        <color theme="1"/>
        <rFont val="ＭＳ Ｐゴシック"/>
        <family val="3"/>
        <charset val="128"/>
        <scheme val="minor"/>
      </rPr>
      <t>化市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友商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</si>
  <si>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青稞酒;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利口酒;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</si>
  <si>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画非画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</si>
  <si>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州国之酒酒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</si>
  <si>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青稞酒; 清酒（日本米酒）; 高粱酒;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白酒; 白干酒（中国白酒）; 果酒（含酒精）</t>
    </r>
  </si>
  <si>
    <r>
      <t>曲</t>
    </r>
    <r>
      <rPr>
        <sz val="11"/>
        <color theme="1"/>
        <rFont val="ＭＳ Ｐゴシック"/>
        <family val="3"/>
        <charset val="134"/>
        <scheme val="minor"/>
      </rPr>
      <t>鸿师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</si>
  <si>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蜂蜜酒;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清酒（日本米酒）;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</si>
  <si>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斛吟春</t>
  </si>
  <si>
    <r>
      <t>开胃酒;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</si>
  <si>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谭</t>
    </r>
    <r>
      <rPr>
        <sz val="11"/>
        <color theme="1"/>
        <rFont val="ＭＳ Ｐゴシック"/>
        <family val="3"/>
        <charset val="128"/>
        <scheme val="minor"/>
      </rPr>
      <t>九伯</t>
    </r>
  </si>
  <si>
    <r>
      <t xml:space="preserve">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黄酒;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</si>
  <si>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众吟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</si>
  <si>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 xml:space="preserve">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青稞酒;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黄酒</t>
    </r>
  </si>
  <si>
    <t>云台雅</t>
  </si>
  <si>
    <r>
      <t>河北邯</t>
    </r>
    <r>
      <rPr>
        <sz val="11"/>
        <color theme="1"/>
        <rFont val="ＭＳ Ｐゴシック"/>
        <family val="3"/>
        <charset val="134"/>
        <scheme val="minor"/>
      </rPr>
      <t>郸丛</t>
    </r>
    <r>
      <rPr>
        <sz val="11"/>
        <color theme="1"/>
        <rFont val="ＭＳ Ｐゴシック"/>
        <family val="3"/>
        <charset val="128"/>
        <scheme val="minor"/>
      </rPr>
      <t>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</si>
  <si>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开胃酒; 梨酒;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</si>
  <si>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安徽省普</t>
    </r>
    <r>
      <rPr>
        <sz val="11"/>
        <color theme="1"/>
        <rFont val="ＭＳ Ｐゴシック"/>
        <family val="3"/>
        <charset val="134"/>
        <scheme val="minor"/>
      </rPr>
      <t>济</t>
    </r>
    <r>
      <rPr>
        <sz val="11"/>
        <color theme="1"/>
        <rFont val="ＭＳ Ｐゴシック"/>
        <family val="3"/>
        <charset val="128"/>
        <scheme val="minor"/>
      </rPr>
      <t>圩</t>
    </r>
    <r>
      <rPr>
        <sz val="11"/>
        <color theme="1"/>
        <rFont val="ＭＳ Ｐゴシック"/>
        <family val="3"/>
        <charset val="134"/>
        <scheme val="minor"/>
      </rPr>
      <t>现</t>
    </r>
    <r>
      <rPr>
        <sz val="11"/>
        <color theme="1"/>
        <rFont val="ＭＳ Ｐゴシック"/>
        <family val="3"/>
        <charset val="128"/>
        <scheme val="minor"/>
      </rPr>
      <t>代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</si>
  <si>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佐餐酒;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白酒; 黄酒</t>
    </r>
  </si>
  <si>
    <t>FORTOK</t>
  </si>
  <si>
    <r>
      <t xml:space="preserve">威士忌; 果酒（含酒精）; 烈酒;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清酒（日本米酒）; 葡萄酒; 米酒</t>
    </r>
  </si>
  <si>
    <r>
      <t xml:space="preserve">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果酒（含酒精）; 白酒; 葡萄酒; 蜂蜜酒;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</si>
  <si>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疆唯美</t>
  </si>
  <si>
    <r>
      <t>新疆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音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尚文化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</si>
  <si>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开胃酒;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</si>
  <si>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鑫博青溪九里</t>
  </si>
  <si>
    <r>
      <t>江西省鑫博文化旅游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</si>
  <si>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蜂蜜酒</t>
    </r>
  </si>
  <si>
    <r>
      <t>桦树</t>
    </r>
    <r>
      <rPr>
        <sz val="11"/>
        <color theme="1"/>
        <rFont val="ＭＳ Ｐゴシック"/>
        <family val="3"/>
        <charset val="128"/>
        <scheme val="minor"/>
      </rPr>
      <t>先生 HUASHUMR.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</si>
  <si>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岛鲁红</t>
    </r>
    <r>
      <rPr>
        <sz val="11"/>
        <color theme="1"/>
        <rFont val="ＭＳ Ｐゴシック"/>
        <family val="3"/>
        <charset val="128"/>
        <scheme val="minor"/>
      </rPr>
      <t>博益生物科技有限公司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</si>
  <si>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白酒; 米酒;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</si>
  <si>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同蒲堂</t>
  </si>
  <si>
    <r>
      <t>北京万竣恒</t>
    </r>
    <r>
      <rPr>
        <sz val="11"/>
        <color theme="1"/>
        <rFont val="ＭＳ Ｐゴシック"/>
        <family val="3"/>
        <charset val="134"/>
        <scheme val="minor"/>
      </rPr>
      <t>资产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</si>
  <si>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果酒（含酒精）; 米酒</t>
    </r>
  </si>
  <si>
    <t>黄河吉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</si>
  <si>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薄荷酒;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</t>
    </r>
  </si>
  <si>
    <t>OFAN SPRING</t>
  </si>
  <si>
    <r>
      <t>宁波泓</t>
    </r>
    <r>
      <rPr>
        <sz val="11"/>
        <color theme="1"/>
        <rFont val="ＭＳ Ｐゴシック"/>
        <family val="3"/>
        <charset val="134"/>
        <scheme val="minor"/>
      </rPr>
      <t>澜贸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</si>
  <si>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</si>
  <si>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墨文公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</si>
  <si>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威士忌;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薄荷酒; 葡萄酒; 果酒（含酒精）</t>
    </r>
  </si>
  <si>
    <r>
      <t>中廊</t>
    </r>
    <r>
      <rPr>
        <sz val="11"/>
        <color theme="1"/>
        <rFont val="ＭＳ Ｐゴシック"/>
        <family val="3"/>
        <charset val="134"/>
        <scheme val="minor"/>
      </rPr>
      <t>桥</t>
    </r>
  </si>
  <si>
    <r>
      <t>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薄荷酒; 开胃酒;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</si>
  <si>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万帮星星</t>
  </si>
  <si>
    <t>万帮数字能源股份有限公司</t>
  </si>
  <si>
    <r>
      <t>蒸煮提取物（利口酒和烈酒）; 汽酒;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黄酒; 果酒</t>
    </r>
  </si>
  <si>
    <t>坛浔</t>
  </si>
  <si>
    <r>
      <t xml:space="preserve">蒸煮提取物（利口酒和烈酒）;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食用酒精; 高粱酒;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</si>
  <si>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陛得</t>
  </si>
  <si>
    <r>
      <t xml:space="preserve">果酒（含酒精）;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高粱酒; 白干酒（中国白酒）;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</si>
  <si>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大医至禧</t>
  </si>
  <si>
    <r>
      <t>湖北悠然文化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</si>
  <si>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黄酒;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开胃酒;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果酒</t>
    </r>
  </si>
  <si>
    <t>周有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</si>
  <si>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威士忌; 高粱酒; 烈酒; 果酒（含酒精）;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</si>
  <si>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贡岁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</si>
  <si>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 xml:space="preserve">威士忌; 清酒（日本米酒）; 米酒; 白酒; 黄酒;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</si>
  <si>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上上湘</t>
  </si>
  <si>
    <t>孟娟妮</t>
  </si>
  <si>
    <t>清酒; 甜酒; 白酒; 葡萄酒; 黄酒; 果酒; 食用酒精; 汽酒; 米酒; 开胃酒</t>
  </si>
  <si>
    <r>
      <t>玉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沙梦</t>
    </r>
  </si>
  <si>
    <r>
      <t>赣</t>
    </r>
    <r>
      <rPr>
        <sz val="11"/>
        <color theme="1"/>
        <rFont val="ＭＳ Ｐゴシック"/>
        <family val="3"/>
        <charset val="128"/>
        <scheme val="minor"/>
      </rPr>
      <t>州蓉江新区潭</t>
    </r>
    <r>
      <rPr>
        <sz val="11"/>
        <color theme="1"/>
        <rFont val="ＭＳ Ｐゴシック"/>
        <family val="3"/>
        <charset val="134"/>
        <scheme val="minor"/>
      </rPr>
      <t>东镇</t>
    </r>
    <r>
      <rPr>
        <sz val="11"/>
        <color theme="1"/>
        <rFont val="ＭＳ Ｐゴシック"/>
        <family val="3"/>
        <charset val="128"/>
        <scheme val="minor"/>
      </rPr>
      <t>大公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酒庄</t>
    </r>
    <r>
      <rPr>
        <sz val="11"/>
        <color theme="1"/>
        <rFont val="ＭＳ Ｐゴシック"/>
        <family val="3"/>
        <charset val="134"/>
        <scheme val="minor"/>
      </rPr>
      <t>营业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</si>
  <si>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薄荷酒; 朗姆酒; 白酒; 米酒; 果酒（含酒精）; 威士忌;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</si>
  <si>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GABRIEL FEATHER</t>
  </si>
  <si>
    <r>
      <t>友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（青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）食品科技有限公司</t>
    </r>
  </si>
  <si>
    <r>
      <t xml:space="preserve">果酒（含酒精）; 汽酒; 威士忌; 混合威士忌酒; 利口酒; 餐后酒（利口酒和烈酒）; 开胃酒;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梅酒; 果酒</t>
    </r>
  </si>
  <si>
    <t>巡沂</t>
  </si>
  <si>
    <r>
      <t xml:space="preserve">开胃酒; 清酒（日本米酒）; 威士忌; 青稞酒;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蜂蜜酒</t>
    </r>
  </si>
  <si>
    <r>
      <t>梅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季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</si>
  <si>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食用酒精; 米酒; 果酒（含酒精）; 白酒</t>
    </r>
  </si>
  <si>
    <t>遵仁台·精品</t>
  </si>
  <si>
    <r>
      <t>威士忌; 开胃酒;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薄荷酒;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</si>
  <si>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河天夏酒</t>
  </si>
  <si>
    <t>司政倡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</si>
  <si>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杜松子酒; 黄酒; 白酒;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</si>
  <si>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王家小河沿</t>
  </si>
  <si>
    <t>王冠恒</t>
  </si>
  <si>
    <r>
      <t>果酒（含酒精）;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</si>
  <si>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知心永</t>
  </si>
  <si>
    <r>
      <t>永城市卧</t>
    </r>
    <r>
      <rPr>
        <sz val="11"/>
        <color theme="1"/>
        <rFont val="ＭＳ Ｐゴシック"/>
        <family val="3"/>
        <charset val="134"/>
        <scheme val="minor"/>
      </rPr>
      <t>龙镇</t>
    </r>
    <r>
      <rPr>
        <sz val="11"/>
        <color theme="1"/>
        <rFont val="ＭＳ Ｐゴシック"/>
        <family val="3"/>
        <charset val="128"/>
        <scheme val="minor"/>
      </rPr>
      <t>效金</t>
    </r>
    <r>
      <rPr>
        <sz val="11"/>
        <color theme="1"/>
        <rFont val="ＭＳ Ｐゴシック"/>
        <family val="3"/>
        <charset val="134"/>
        <scheme val="minor"/>
      </rPr>
      <t>纯</t>
    </r>
    <r>
      <rPr>
        <sz val="11"/>
        <color theme="1"/>
        <rFont val="ＭＳ Ｐゴシック"/>
        <family val="3"/>
        <charset val="128"/>
        <scheme val="minor"/>
      </rPr>
      <t>粮酒作坊</t>
    </r>
  </si>
  <si>
    <r>
      <t>白酒; 黄酒; 葡萄酒; 青稞酒; 露酒;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</si>
  <si>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上海麒麒隆文化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</si>
  <si>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</si>
  <si>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达康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</si>
  <si>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达康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</si>
  <si>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伏特加酒</t>
    </r>
  </si>
  <si>
    <t>桂九伯</t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</si>
  <si>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清酒（日本米酒）; 威士忌; 蜂蜜酒; 青稞酒</t>
    </r>
  </si>
  <si>
    <r>
      <t>傅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威</t>
    </r>
  </si>
  <si>
    <r>
      <t>葡萄酒;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果酒; 米酒; 威士忌; 黄酒</t>
    </r>
  </si>
  <si>
    <r>
      <t>梅小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</si>
  <si>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川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</si>
  <si>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米酒; 威士忌; 清酒（日本米酒）; 葡萄酒; 白酒</t>
    </r>
  </si>
  <si>
    <t>黄河决</t>
  </si>
  <si>
    <r>
      <t>白酒; 开胃酒; 威士忌; 葡萄酒; 薄荷酒;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</si>
  <si>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春南晋</t>
  </si>
  <si>
    <r>
      <t>广西壳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置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</si>
  <si>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清酒（日本米酒）; 葡萄酒; 果酒（含酒精）; 食用酒精; 开胃酒; 薄荷酒</t>
    </r>
  </si>
  <si>
    <r>
      <t>啸风</t>
    </r>
    <r>
      <rPr>
        <sz val="11"/>
        <color theme="1"/>
        <rFont val="ＭＳ Ｐゴシック"/>
        <family val="3"/>
        <charset val="128"/>
        <scheme val="minor"/>
      </rPr>
      <t>堂</t>
    </r>
  </si>
  <si>
    <r>
      <t>偶得文化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</si>
  <si>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烈酒; 果酒; 清酒; 朗姆酒;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</si>
  <si>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澳柏</t>
    </r>
    <r>
      <rPr>
        <sz val="11"/>
        <color theme="1"/>
        <rFont val="ＭＳ Ｐゴシック"/>
        <family val="3"/>
        <charset val="134"/>
        <scheme val="minor"/>
      </rPr>
      <t>仑</t>
    </r>
  </si>
  <si>
    <r>
      <t>青稞酒; 蜂蜜酒;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清酒（日本米酒）; 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</si>
  <si>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嗨</t>
    </r>
    <r>
      <rPr>
        <sz val="11"/>
        <color theme="1"/>
        <rFont val="ＭＳ Ｐゴシック"/>
        <family val="3"/>
        <charset val="134"/>
        <scheme val="minor"/>
      </rPr>
      <t>尔丝</t>
    </r>
    <r>
      <rPr>
        <sz val="11"/>
        <color theme="1"/>
        <rFont val="ＭＳ Ｐゴシック"/>
        <family val="3"/>
        <charset val="128"/>
        <scheme val="minor"/>
      </rPr>
      <t>麦</t>
    </r>
  </si>
  <si>
    <t>西安尚林生物科技有限公司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</si>
  <si>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利口酒; 果酒（含酒精）; 葡萄酒; 威士忌; 白酒</t>
    </r>
  </si>
  <si>
    <r>
      <t>芝罘区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斌日用百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店（个体工商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</si>
  <si>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露酒; 葡萄酒; 苹果酒;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餐后酒（利口酒和烈酒）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</si>
  <si>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秦同</t>
    </r>
  </si>
  <si>
    <r>
      <t>谭</t>
    </r>
    <r>
      <rPr>
        <sz val="11"/>
        <color theme="1"/>
        <rFont val="ＭＳ Ｐゴシック"/>
        <family val="3"/>
        <charset val="128"/>
        <scheme val="minor"/>
      </rPr>
      <t>英</t>
    </r>
    <r>
      <rPr>
        <sz val="11"/>
        <color theme="1"/>
        <rFont val="ＭＳ Ｐゴシック"/>
        <family val="3"/>
        <charset val="134"/>
        <scheme val="minor"/>
      </rPr>
      <t>远</t>
    </r>
  </si>
  <si>
    <r>
      <t>米酒; 黄酒;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</t>
    </r>
  </si>
  <si>
    <r>
      <t>乔</t>
    </r>
    <r>
      <rPr>
        <sz val="11"/>
        <color theme="1"/>
        <rFont val="ＭＳ Ｐゴシック"/>
        <family val="3"/>
        <charset val="128"/>
        <scheme val="minor"/>
      </rPr>
      <t>院廿四</t>
    </r>
  </si>
  <si>
    <r>
      <t>山西</t>
    </r>
    <r>
      <rPr>
        <sz val="11"/>
        <color theme="1"/>
        <rFont val="ＭＳ Ｐゴシック"/>
        <family val="3"/>
        <charset val="134"/>
        <scheme val="minor"/>
      </rPr>
      <t>乔</t>
    </r>
    <r>
      <rPr>
        <sz val="11"/>
        <color theme="1"/>
        <rFont val="ＭＳ Ｐゴシック"/>
        <family val="3"/>
        <charset val="128"/>
        <scheme val="minor"/>
      </rPr>
      <t>家大院旅游股份有限公司</t>
    </r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</si>
  <si>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黄酒</t>
    </r>
  </si>
  <si>
    <t>母光焱</t>
  </si>
  <si>
    <r>
      <t>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</si>
  <si>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沈</t>
    </r>
    <r>
      <rPr>
        <sz val="11"/>
        <color theme="1"/>
        <rFont val="ＭＳ Ｐゴシック"/>
        <family val="3"/>
        <charset val="134"/>
        <scheme val="minor"/>
      </rPr>
      <t>炜</t>
    </r>
  </si>
  <si>
    <r>
      <t xml:space="preserve">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餐后酒（利口酒和烈酒）;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</si>
  <si>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彰谷</t>
    </r>
  </si>
  <si>
    <r>
      <t>江西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彰谷生物科技有限公司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</si>
  <si>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果酒; 黄酒; 威士忌;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</si>
  <si>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酌万粮</t>
  </si>
  <si>
    <r>
      <t>宁夏任意</t>
    </r>
    <r>
      <rPr>
        <sz val="11"/>
        <color theme="1"/>
        <rFont val="ＭＳ Ｐゴシック"/>
        <family val="3"/>
        <charset val="134"/>
        <scheme val="minor"/>
      </rPr>
      <t>购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</si>
  <si>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黄酒; 威士忌; 果酒（含酒精）; 薄荷酒;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</si>
  <si>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丕雅滋</t>
  </si>
  <si>
    <r>
      <t>济</t>
    </r>
    <r>
      <rPr>
        <sz val="11"/>
        <color theme="1"/>
        <rFont val="ＭＳ Ｐゴシック"/>
        <family val="3"/>
        <charset val="128"/>
        <scheme val="minor"/>
      </rPr>
      <t>南儒</t>
    </r>
    <r>
      <rPr>
        <sz val="11"/>
        <color theme="1"/>
        <rFont val="ＭＳ Ｐゴシック"/>
        <family val="3"/>
        <charset val="134"/>
        <scheme val="minor"/>
      </rPr>
      <t>鸣经贸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</si>
  <si>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梨酒;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酸酒（低等葡萄酒）;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</si>
  <si>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康黔草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</si>
  <si>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州山黔草康健有限公司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</si>
  <si>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</t>
    </r>
  </si>
  <si>
    <r>
      <t>许</t>
    </r>
    <r>
      <rPr>
        <sz val="11"/>
        <color theme="1"/>
        <rFont val="ＭＳ Ｐゴシック"/>
        <family val="3"/>
        <charset val="128"/>
        <scheme val="minor"/>
      </rPr>
      <t>氏苗夫子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</si>
  <si>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州苗岭云山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</si>
  <si>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梅酒;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果酒; 米酒</t>
    </r>
  </si>
  <si>
    <t>生庭玉液</t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</si>
  <si>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</t>
    </r>
    <r>
      <rPr>
        <sz val="11"/>
        <color theme="1"/>
        <rFont val="ＭＳ Ｐゴシック"/>
        <family val="3"/>
        <charset val="128"/>
        <scheme val="minor"/>
      </rPr>
      <t>量盾科技有限公司</t>
    </r>
  </si>
  <si>
    <r>
      <t xml:space="preserve">清酒（日本米酒）; 汽酒; 黄酒; 烈酒;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白酒; 刺五加酒;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</si>
  <si>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吉昌酒坊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</si>
  <si>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</si>
  <si>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俏芬</t>
    </r>
    <r>
      <rPr>
        <sz val="11"/>
        <color theme="1"/>
        <rFont val="ＭＳ Ｐゴシック"/>
        <family val="3"/>
        <charset val="134"/>
        <scheme val="minor"/>
      </rPr>
      <t>哒</t>
    </r>
  </si>
  <si>
    <r>
      <t>王翠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</si>
  <si>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蜂蜜酒; 清酒（日本米酒）</t>
    </r>
  </si>
  <si>
    <r>
      <t>仲流</t>
    </r>
    <r>
      <rPr>
        <sz val="11"/>
        <color theme="1"/>
        <rFont val="ＭＳ Ｐゴシック"/>
        <family val="3"/>
        <charset val="134"/>
        <scheme val="minor"/>
      </rPr>
      <t>觞</t>
    </r>
  </si>
  <si>
    <r>
      <t>叶</t>
    </r>
    <r>
      <rPr>
        <sz val="11"/>
        <color theme="1"/>
        <rFont val="ＭＳ Ｐゴシック"/>
        <family val="3"/>
        <charset val="134"/>
        <scheme val="minor"/>
      </rPr>
      <t>畅</t>
    </r>
  </si>
  <si>
    <r>
      <t>含酒精的潘趣酒;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伏特加酒;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</si>
  <si>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r>
      <t>读</t>
    </r>
    <r>
      <rPr>
        <sz val="11"/>
        <color theme="1"/>
        <rFont val="ＭＳ Ｐゴシック"/>
        <family val="3"/>
        <charset val="128"/>
        <scheme val="minor"/>
      </rPr>
      <t>者文摘</t>
    </r>
  </si>
  <si>
    <r>
      <t>上海酉米酒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</si>
  <si>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朗姆酒; 伏特加酒;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</t>
    </r>
  </si>
  <si>
    <r>
      <t>蔻</t>
    </r>
    <r>
      <rPr>
        <sz val="11"/>
        <color theme="1"/>
        <rFont val="ＭＳ Ｐゴシック"/>
        <family val="3"/>
        <charset val="128"/>
        <scheme val="minor"/>
      </rPr>
      <t>韵</t>
    </r>
  </si>
  <si>
    <r>
      <t>魏</t>
    </r>
    <r>
      <rPr>
        <sz val="11"/>
        <color theme="1"/>
        <rFont val="ＭＳ Ｐゴシック"/>
        <family val="3"/>
        <charset val="134"/>
        <scheme val="minor"/>
      </rPr>
      <t>庆</t>
    </r>
  </si>
  <si>
    <r>
      <t xml:space="preserve">蜂蜜酒;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</si>
  <si>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BY DRE AND SNOOP</t>
  </si>
  <si>
    <r>
      <t>挑</t>
    </r>
    <r>
      <rPr>
        <sz val="11"/>
        <color theme="1"/>
        <rFont val="ＭＳ Ｐゴシック"/>
        <family val="3"/>
        <charset val="134"/>
        <scheme val="minor"/>
      </rPr>
      <t>战</t>
    </r>
    <r>
      <rPr>
        <sz val="11"/>
        <color theme="1"/>
        <rFont val="ＭＳ Ｐゴシック"/>
        <family val="3"/>
        <charset val="128"/>
        <scheme val="minor"/>
      </rPr>
      <t>者有限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</si>
  <si>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杜松子酒;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</si>
  <si>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倚仙谷</t>
  </si>
  <si>
    <r>
      <t>求知行（广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</si>
  <si>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米酒</t>
    </r>
  </si>
  <si>
    <r>
      <t>谷井</t>
    </r>
    <r>
      <rPr>
        <sz val="11"/>
        <color theme="1"/>
        <rFont val="ＭＳ Ｐゴシック"/>
        <family val="3"/>
        <charset val="134"/>
        <scheme val="minor"/>
      </rPr>
      <t>汣</t>
    </r>
  </si>
  <si>
    <t>李宁博</t>
  </si>
  <si>
    <r>
      <t>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</si>
  <si>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研富士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</si>
  <si>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州市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研富士新材料有限公司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</si>
  <si>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薄荷酒;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</si>
  <si>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探克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</si>
  <si>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东赋</t>
    </r>
    <r>
      <rPr>
        <sz val="11"/>
        <color theme="1"/>
        <rFont val="ＭＳ Ｐゴシック"/>
        <family val="3"/>
        <charset val="128"/>
        <scheme val="minor"/>
      </rPr>
      <t>能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</si>
  <si>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白干酒（中国白酒）;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高粱酒</t>
    </r>
  </si>
  <si>
    <r>
      <t>杜</t>
    </r>
    <r>
      <rPr>
        <sz val="11"/>
        <color theme="1"/>
        <rFont val="ＭＳ Ｐゴシック"/>
        <family val="3"/>
        <charset val="134"/>
        <scheme val="minor"/>
      </rPr>
      <t>涧</t>
    </r>
  </si>
  <si>
    <t>朱永芳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</si>
  <si>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露酒;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清酒; 高粱酒;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葡萄酒</t>
    </r>
  </si>
  <si>
    <t>浸雅</t>
  </si>
  <si>
    <r>
      <t>卿建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</si>
  <si>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果酒（含酒精）; 威士忌; 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</si>
  <si>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韵在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</si>
  <si>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</si>
  <si>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民伙伴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</si>
  <si>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莞市伙伴商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</si>
  <si>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米酒; 青稞酒;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</si>
  <si>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楼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果源</t>
    </r>
  </si>
  <si>
    <r>
      <t>吐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番楼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酒庄股份有限公司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</si>
  <si>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</si>
  <si>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双玉福</t>
  </si>
  <si>
    <t>姜学芬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</si>
  <si>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果酒（含酒精）; 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白酒</t>
    </r>
  </si>
  <si>
    <r>
      <t>千</t>
    </r>
    <r>
      <rPr>
        <sz val="11"/>
        <color theme="1"/>
        <rFont val="ＭＳ Ｐゴシック"/>
        <family val="3"/>
        <charset val="134"/>
        <scheme val="minor"/>
      </rPr>
      <t>载</t>
    </r>
    <r>
      <rPr>
        <sz val="11"/>
        <color theme="1"/>
        <rFont val="ＭＳ Ｐゴシック"/>
        <family val="3"/>
        <charset val="128"/>
        <scheme val="minor"/>
      </rPr>
      <t>德</t>
    </r>
  </si>
  <si>
    <t>张剑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</si>
  <si>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食用酒精; 葡萄酒; 朗姆酒;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威士忌</t>
    </r>
  </si>
  <si>
    <r>
      <t>不</t>
    </r>
    <r>
      <rPr>
        <sz val="11"/>
        <color theme="1"/>
        <rFont val="ＭＳ Ｐゴシック"/>
        <family val="3"/>
        <charset val="134"/>
        <scheme val="minor"/>
      </rPr>
      <t>忧</t>
    </r>
    <r>
      <rPr>
        <sz val="11"/>
        <color theme="1"/>
        <rFont val="ＭＳ Ｐゴシック"/>
        <family val="3"/>
        <charset val="128"/>
        <scheme val="minor"/>
      </rPr>
      <t>仙</t>
    </r>
  </si>
  <si>
    <t>王林敏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</si>
  <si>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葡萄酒; 清酒; 果酒（含酒精）; 黄酒;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</si>
  <si>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t>御廷魔方</t>
  </si>
  <si>
    <r>
      <t>无患之家（广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）日用品有限公司</t>
    </r>
  </si>
  <si>
    <r>
      <t xml:space="preserve">高粱酒; 果酒;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清酒（日本米酒）; 白干酒（中国白酒）; 米酒; 开胃酒; 黄酒</t>
    </r>
  </si>
  <si>
    <t>七宝鹿</t>
  </si>
  <si>
    <t>刘春香</t>
  </si>
  <si>
    <r>
      <t xml:space="preserve">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葡萄酒; 果酒（含酒精）;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</si>
  <si>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呵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宝</t>
    </r>
  </si>
  <si>
    <t>湖南生生科技有限公司</t>
  </si>
  <si>
    <r>
      <t>薄荷酒; 葡萄酒; 米酒; 开胃酒; 白酒; 威士忌; 果酒（含酒精）;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</si>
  <si>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章</t>
    </r>
  </si>
  <si>
    <r>
      <t>济</t>
    </r>
    <r>
      <rPr>
        <sz val="11"/>
        <color theme="1"/>
        <rFont val="ＭＳ Ｐゴシック"/>
        <family val="3"/>
        <charset val="128"/>
        <scheme val="minor"/>
      </rPr>
      <t>南酒湎商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</si>
  <si>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高粱酒; 米酒; 黄酒; 葡萄酒; 白酒</t>
    </r>
  </si>
  <si>
    <r>
      <t>元世名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煌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</si>
  <si>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州博安酒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</si>
  <si>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餐后酒（利口酒和烈酒）;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苹果酒</t>
    </r>
  </si>
  <si>
    <r>
      <t>权</t>
    </r>
    <r>
      <rPr>
        <sz val="11"/>
        <color theme="1"/>
        <rFont val="ＭＳ Ｐゴシック"/>
        <family val="3"/>
        <charset val="128"/>
        <scheme val="minor"/>
      </rPr>
      <t>界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</si>
  <si>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权</t>
    </r>
    <r>
      <rPr>
        <sz val="11"/>
        <color theme="1"/>
        <rFont val="ＭＳ Ｐゴシック"/>
        <family val="3"/>
        <charset val="128"/>
        <scheme val="minor"/>
      </rPr>
      <t>界信息技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</si>
  <si>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葡萄酒; 高粱酒</t>
    </r>
  </si>
  <si>
    <r>
      <t>牛魔</t>
    </r>
    <r>
      <rPr>
        <sz val="11"/>
        <color theme="1"/>
        <rFont val="ＭＳ Ｐゴシック"/>
        <family val="3"/>
        <charset val="134"/>
        <scheme val="minor"/>
      </rPr>
      <t>荟</t>
    </r>
  </si>
  <si>
    <t>刘晶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</si>
  <si>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含酒精的气泡水; 蜂蜜酒;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</t>
    </r>
  </si>
  <si>
    <t>云起山海</t>
  </si>
  <si>
    <r>
      <t>威士忌;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</si>
  <si>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客天下娘</t>
  </si>
  <si>
    <t>彭保金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</si>
  <si>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威士忌;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</si>
  <si>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馥娘子</t>
  </si>
  <si>
    <r>
      <t>张</t>
    </r>
    <r>
      <rPr>
        <sz val="11"/>
        <color theme="1"/>
        <rFont val="ＭＳ Ｐゴシック"/>
        <family val="3"/>
        <charset val="128"/>
        <scheme val="minor"/>
      </rPr>
      <t>朝阳</t>
    </r>
  </si>
  <si>
    <r>
      <t>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青稞酒; 蜂蜜酒;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</si>
  <si>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t>HDXL</t>
  </si>
  <si>
    <r>
      <t>曹雪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</si>
  <si>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黄酒; 米酒; 食用酒精; 果酒（含酒精）</t>
    </r>
  </si>
  <si>
    <r>
      <t>淮安市吴鞠通医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健康科技有限公司</t>
    </r>
  </si>
  <si>
    <r>
      <t>白酒; 威士忌; 果酒;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</si>
  <si>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馥</t>
    </r>
    <r>
      <rPr>
        <sz val="11"/>
        <color theme="1"/>
        <rFont val="ＭＳ Ｐゴシック"/>
        <family val="3"/>
        <charset val="134"/>
        <scheme val="minor"/>
      </rPr>
      <t>玺兰</t>
    </r>
  </si>
  <si>
    <r>
      <t>宁夏俱名国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</si>
  <si>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起泡白葡萄酒; 烈酒; 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加烈葡萄酒</t>
    </r>
  </si>
  <si>
    <r>
      <t>帝樽</t>
    </r>
    <r>
      <rPr>
        <sz val="11"/>
        <color theme="1"/>
        <rFont val="ＭＳ Ｐゴシック"/>
        <family val="3"/>
        <charset val="134"/>
        <scheme val="minor"/>
      </rPr>
      <t>庆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</si>
  <si>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果酒（含酒精）;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</si>
  <si>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樽巍</t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</si>
  <si>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食用酒精; 白酒; 伏特加酒</t>
    </r>
  </si>
  <si>
    <r>
      <t>泰安市岱岳区丰草苑中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材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</si>
  <si>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白酒;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</si>
  <si>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清</t>
    </r>
    <r>
      <rPr>
        <sz val="11"/>
        <color theme="1"/>
        <rFont val="ＭＳ Ｐゴシック"/>
        <family val="3"/>
        <charset val="134"/>
        <scheme val="minor"/>
      </rPr>
      <t>风乐</t>
    </r>
  </si>
  <si>
    <r>
      <t>池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娟</t>
    </r>
  </si>
  <si>
    <r>
      <t xml:space="preserve">清酒（日本米酒）; 白酒; 开胃酒;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烈酒; 威士忌</t>
    </r>
  </si>
  <si>
    <t>予林季</t>
  </si>
  <si>
    <r>
      <t>广元市朝天区沙河</t>
    </r>
    <r>
      <rPr>
        <sz val="11"/>
        <color theme="1"/>
        <rFont val="ＭＳ Ｐゴシック"/>
        <family val="3"/>
        <charset val="134"/>
        <scheme val="minor"/>
      </rPr>
      <t>镇鱼鳞</t>
    </r>
    <r>
      <rPr>
        <sz val="11"/>
        <color theme="1"/>
        <rFont val="ＭＳ Ｐゴシック"/>
        <family val="3"/>
        <charset val="128"/>
        <scheme val="minor"/>
      </rPr>
      <t>村股份</t>
    </r>
    <r>
      <rPr>
        <sz val="11"/>
        <color theme="1"/>
        <rFont val="ＭＳ Ｐゴシック"/>
        <family val="3"/>
        <charset val="134"/>
        <scheme val="minor"/>
      </rPr>
      <t>经济</t>
    </r>
    <r>
      <rPr>
        <sz val="11"/>
        <color theme="1"/>
        <rFont val="ＭＳ Ｐゴシック"/>
        <family val="3"/>
        <charset val="128"/>
        <scheme val="minor"/>
      </rPr>
      <t>合作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合社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</si>
  <si>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黄酒; 果酒; 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果酒（含酒精）; 清酒</t>
    </r>
  </si>
  <si>
    <t>喜事里</t>
  </si>
  <si>
    <r>
      <t>云南省工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大麻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</si>
  <si>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白干酒（中国白酒）;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混合威士忌酒;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</si>
  <si>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万酒之上</t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</si>
  <si>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</si>
  <si>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t>镌烨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</si>
  <si>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镌烨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</si>
  <si>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米酒; 苦味酒;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</si>
  <si>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厚吟春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</si>
  <si>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青稞酒;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蜂蜜酒;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</si>
  <si>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冠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樽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</si>
  <si>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增</t>
    </r>
  </si>
  <si>
    <r>
      <t xml:space="preserve">米酒; 白酒; 食用酒精; 葡萄酒; 清酒; 黄酒;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</si>
  <si>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江山</t>
    </r>
  </si>
  <si>
    <r>
      <t>合肥李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天下食品科技有限公司</t>
    </r>
  </si>
  <si>
    <r>
      <t>高粱酒; 米酒; 果酒（含酒精）;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</si>
  <si>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素迎</t>
  </si>
  <si>
    <r>
      <t>宁波市素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香餐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</si>
  <si>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葡萄酒;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白酒;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</si>
  <si>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吾</t>
    </r>
    <r>
      <rPr>
        <sz val="11"/>
        <color theme="1"/>
        <rFont val="ＭＳ Ｐゴシック"/>
        <family val="3"/>
        <charset val="134"/>
        <scheme val="minor"/>
      </rPr>
      <t>惯</t>
    </r>
  </si>
  <si>
    <r>
      <t xml:space="preserve">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果酒（含酒精）</t>
    </r>
  </si>
  <si>
    <r>
      <t>润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满</t>
    </r>
  </si>
  <si>
    <r>
      <t>广西仁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康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</si>
  <si>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葡萄酒;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苹果酒</t>
    </r>
  </si>
  <si>
    <t>穗浪山</t>
  </si>
  <si>
    <r>
      <t>陶俊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</si>
  <si>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 xml:space="preserve">果酒; 黄酒; 烈酒; 白酒; 食用酒精; 含酒精的气泡水;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葡萄酒</t>
    </r>
  </si>
  <si>
    <t>供掌柜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</si>
  <si>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供粮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</si>
  <si>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</si>
  <si>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君</t>
    </r>
    <r>
      <rPr>
        <sz val="11"/>
        <color theme="1"/>
        <rFont val="ＭＳ Ｐゴシック"/>
        <family val="3"/>
        <charset val="134"/>
        <scheme val="minor"/>
      </rPr>
      <t>寻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</si>
  <si>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烈酒;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</si>
  <si>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广台.</t>
    </r>
    <r>
      <rPr>
        <sz val="11"/>
        <color theme="1"/>
        <rFont val="ＭＳ Ｐゴシック"/>
        <family val="3"/>
        <charset val="134"/>
        <scheme val="minor"/>
      </rPr>
      <t>钧鉴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</si>
  <si>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州醉里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</si>
  <si>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蒸煮提取物（利口酒和烈酒）; 米酒</t>
    </r>
  </si>
  <si>
    <t>冠芝言</t>
  </si>
  <si>
    <r>
      <t>济</t>
    </r>
    <r>
      <rPr>
        <sz val="11"/>
        <color theme="1"/>
        <rFont val="ＭＳ Ｐゴシック"/>
        <family val="3"/>
        <charset val="128"/>
        <scheme val="minor"/>
      </rPr>
      <t>南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丰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味品有限公司</t>
    </r>
  </si>
  <si>
    <r>
      <t xml:space="preserve">开胃酒; 威士忌;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葡萄酒; 白酒</t>
    </r>
  </si>
  <si>
    <r>
      <t>江口醇·盛世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尊</t>
    </r>
  </si>
  <si>
    <r>
      <t>四川江口醇隆鼎酒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</si>
  <si>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葡萄酒; 白酒; 清酒（日本米酒）;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</si>
  <si>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天云尊</t>
  </si>
  <si>
    <r>
      <t xml:space="preserve">白酒; 果酒（含酒精）;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</t>
    </r>
  </si>
  <si>
    <t>琢器</t>
  </si>
  <si>
    <r>
      <t>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</si>
  <si>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虎</t>
    </r>
    <r>
      <rPr>
        <sz val="11"/>
        <color theme="1"/>
        <rFont val="ＭＳ Ｐゴシック"/>
        <family val="3"/>
        <charset val="134"/>
        <scheme val="minor"/>
      </rPr>
      <t>诺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</si>
  <si>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利口酒; 黄酒;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</si>
  <si>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垦</t>
    </r>
    <r>
      <rPr>
        <sz val="11"/>
        <color theme="1"/>
        <rFont val="ＭＳ Ｐゴシック"/>
        <family val="3"/>
        <charset val="128"/>
        <scheme val="minor"/>
      </rPr>
      <t>生活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</si>
  <si>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苏垦</t>
    </r>
    <r>
      <rPr>
        <sz val="11"/>
        <color theme="1"/>
        <rFont val="ＭＳ Ｐゴシック"/>
        <family val="3"/>
        <charset val="128"/>
        <scheme val="minor"/>
      </rPr>
      <t>小族科技信息有限公司</t>
    </r>
  </si>
  <si>
    <r>
      <t>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白酒; 加烈葡萄酒; 甜果酒; 加香料的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</si>
  <si>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t>酣殿</t>
  </si>
  <si>
    <r>
      <t>胡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泉</t>
    </r>
  </si>
  <si>
    <r>
      <t xml:space="preserve">米酒;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</si>
  <si>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朱妮妮</t>
  </si>
  <si>
    <r>
      <t>果酒（含酒精）; 伏特加酒; 含酒精的气泡水; 白酒; 米酒; 威士忌; 清酒;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餐后酒（利口酒和烈酒）</t>
    </r>
  </si>
  <si>
    <r>
      <t>书</t>
    </r>
    <r>
      <rPr>
        <sz val="11"/>
        <color theme="1"/>
        <rFont val="ＭＳ Ｐゴシック"/>
        <family val="3"/>
        <charset val="128"/>
        <scheme val="minor"/>
      </rPr>
      <t>卷人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</si>
  <si>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餐后酒（利口酒和烈酒）; 苹果酒; 葡萄酒; 米酒</t>
    </r>
  </si>
  <si>
    <r>
      <t>绿</t>
    </r>
    <r>
      <rPr>
        <sz val="11"/>
        <color theme="1"/>
        <rFont val="ＭＳ Ｐゴシック"/>
        <family val="3"/>
        <charset val="128"/>
        <scheme val="minor"/>
      </rPr>
      <t>佳</t>
    </r>
    <r>
      <rPr>
        <sz val="11"/>
        <color theme="1"/>
        <rFont val="ＭＳ Ｐゴシック"/>
        <family val="3"/>
        <charset val="129"/>
        <scheme val="minor"/>
      </rPr>
      <t>燊</t>
    </r>
  </si>
  <si>
    <r>
      <t>普洱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佳食品有限公司</t>
    </r>
  </si>
  <si>
    <r>
      <t xml:space="preserve">果酒（含酒精）; 杜松子酒;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青稞酒; 葡萄酒</t>
    </r>
  </si>
  <si>
    <t>壹佰胡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</si>
  <si>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酱红</t>
    </r>
    <r>
      <rPr>
        <sz val="11"/>
        <color theme="1"/>
        <rFont val="ＭＳ Ｐゴシック"/>
        <family val="3"/>
        <charset val="128"/>
        <scheme val="minor"/>
      </rPr>
      <t>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</si>
  <si>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果酒（含酒精）; 葡萄酒; 蒸煮提取物（利口酒和烈酒）</t>
    </r>
  </si>
  <si>
    <r>
      <t>江口醇·</t>
    </r>
    <r>
      <rPr>
        <sz val="11"/>
        <color theme="1"/>
        <rFont val="ＭＳ Ｐゴシック"/>
        <family val="3"/>
        <charset val="134"/>
        <scheme val="minor"/>
      </rPr>
      <t>银钻</t>
    </r>
    <r>
      <rPr>
        <sz val="11"/>
        <color theme="1"/>
        <rFont val="ＭＳ Ｐゴシック"/>
        <family val="3"/>
        <charset val="128"/>
        <scheme val="minor"/>
      </rPr>
      <t>酒尊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</si>
  <si>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利口酒;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清酒（日本米酒）;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</si>
  <si>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尚游</t>
  </si>
  <si>
    <r>
      <t>河北尚游</t>
    </r>
    <r>
      <rPr>
        <sz val="11"/>
        <color theme="1"/>
        <rFont val="ＭＳ Ｐゴシック"/>
        <family val="3"/>
        <charset val="134"/>
        <scheme val="minor"/>
      </rPr>
      <t>渔业发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</si>
  <si>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柑香酒; 餐后酒（利口酒和烈酒）; 利口酒</t>
    </r>
  </si>
  <si>
    <r>
      <t>SANS·NG 三</t>
    </r>
    <r>
      <rPr>
        <sz val="11"/>
        <color theme="1"/>
        <rFont val="ＭＳ Ｐゴシック"/>
        <family val="3"/>
        <charset val="134"/>
        <scheme val="minor"/>
      </rPr>
      <t>颂</t>
    </r>
  </si>
  <si>
    <r>
      <t>广西凭祥三</t>
    </r>
    <r>
      <rPr>
        <sz val="11"/>
        <color theme="1"/>
        <rFont val="ＭＳ Ｐゴシック"/>
        <family val="3"/>
        <charset val="134"/>
        <scheme val="minor"/>
      </rPr>
      <t>颂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物流有限公司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</si>
  <si>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白酒; 草本型利口酒; 黑覆盆子酒;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</si>
  <si>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DALI BLUE</t>
  </si>
  <si>
    <r>
      <t>张</t>
    </r>
    <r>
      <rPr>
        <sz val="11"/>
        <color theme="1"/>
        <rFont val="ＭＳ Ｐゴシック"/>
        <family val="3"/>
        <charset val="128"/>
        <scheme val="minor"/>
      </rPr>
      <t>翰敏</t>
    </r>
  </si>
  <si>
    <r>
      <t xml:space="preserve">开胃酒; 苹果酒; 威士忌;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利口酒; 伏特加酒</t>
    </r>
  </si>
  <si>
    <t>弛意</t>
  </si>
  <si>
    <t>魏林</t>
  </si>
  <si>
    <r>
      <t xml:space="preserve">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白酒; 葡萄酒</t>
    </r>
  </si>
  <si>
    <r>
      <t>九酩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</si>
  <si>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蜂蜜酒; 开胃酒;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</si>
  <si>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高凰</t>
  </si>
  <si>
    <t>新疆金八达生物科技有限公司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</si>
  <si>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</si>
  <si>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甄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味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</si>
  <si>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海勤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</si>
  <si>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黄酒</t>
    </r>
  </si>
  <si>
    <r>
      <t>无</t>
    </r>
    <r>
      <rPr>
        <sz val="11"/>
        <color theme="1"/>
        <rFont val="ＭＳ Ｐゴシック"/>
        <family val="3"/>
        <charset val="134"/>
        <scheme val="minor"/>
      </rPr>
      <t>铭</t>
    </r>
    <r>
      <rPr>
        <sz val="11"/>
        <color theme="1"/>
        <rFont val="ＭＳ Ｐゴシック"/>
        <family val="3"/>
        <charset val="128"/>
        <scheme val="minor"/>
      </rPr>
      <t>中醇</t>
    </r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</si>
  <si>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市无</t>
    </r>
    <r>
      <rPr>
        <sz val="11"/>
        <color theme="1"/>
        <rFont val="ＭＳ Ｐゴシック"/>
        <family val="3"/>
        <charset val="134"/>
        <scheme val="minor"/>
      </rPr>
      <t>铭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</si>
  <si>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</si>
  <si>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秦</t>
    </r>
    <r>
      <rPr>
        <sz val="11"/>
        <color theme="1"/>
        <rFont val="ＭＳ Ｐゴシック"/>
        <family val="3"/>
        <charset val="134"/>
        <scheme val="minor"/>
      </rPr>
      <t>东庐</t>
    </r>
  </si>
  <si>
    <t>王梅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</si>
  <si>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葡萄酒; 黄酒; 烈酒;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</si>
  <si>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沂河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</si>
  <si>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白酒; 高粱酒; 黄酒; 杜松子酒;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</si>
  <si>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NMT</t>
  </si>
  <si>
    <r>
      <t>吐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番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牧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(集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)有限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</si>
  <si>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葡萄酒;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餐后酒（利口酒和烈酒）; 白酒;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混合威士忌酒;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</si>
  <si>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t>映旭星耀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</si>
  <si>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恒旭食品有限公司</t>
    </r>
  </si>
  <si>
    <r>
      <t>黄酒; 开胃酒;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汽酒; 果酒（含酒精）;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</si>
  <si>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食</t>
    </r>
    <r>
      <rPr>
        <sz val="11"/>
        <color theme="1"/>
        <rFont val="ＭＳ Ｐゴシック"/>
        <family val="3"/>
        <charset val="134"/>
        <scheme val="minor"/>
      </rPr>
      <t>劲</t>
    </r>
    <r>
      <rPr>
        <sz val="11"/>
        <color theme="1"/>
        <rFont val="ＭＳ Ｐゴシック"/>
        <family val="3"/>
        <charset val="128"/>
        <scheme val="minor"/>
      </rPr>
      <t>造</t>
    </r>
  </si>
  <si>
    <r>
      <t>合肥食</t>
    </r>
    <r>
      <rPr>
        <sz val="11"/>
        <color theme="1"/>
        <rFont val="ＭＳ Ｐゴシック"/>
        <family val="3"/>
        <charset val="134"/>
        <scheme val="minor"/>
      </rPr>
      <t>劲</t>
    </r>
    <r>
      <rPr>
        <sz val="11"/>
        <color theme="1"/>
        <rFont val="ＭＳ Ｐゴシック"/>
        <family val="3"/>
        <charset val="128"/>
        <scheme val="minor"/>
      </rPr>
      <t>造食品供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</si>
  <si>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烈酒;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清酒（日本米酒）</t>
    </r>
  </si>
  <si>
    <r>
      <t>水雕</t>
    </r>
    <r>
      <rPr>
        <sz val="11"/>
        <color theme="1"/>
        <rFont val="ＭＳ Ｐゴシック"/>
        <family val="3"/>
        <charset val="134"/>
        <scheme val="minor"/>
      </rPr>
      <t>侣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</si>
  <si>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浓</t>
    </r>
    <r>
      <rPr>
        <sz val="11"/>
        <color theme="1"/>
        <rFont val="ＭＳ Ｐゴシック"/>
        <family val="3"/>
        <charset val="128"/>
        <scheme val="minor"/>
      </rPr>
      <t>墨文化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</si>
  <si>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开胃酒; 柑香酒;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水果汽酒; 露酒;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甜果酒; 甜酒</t>
    </r>
  </si>
  <si>
    <r>
      <t>宸</t>
    </r>
    <r>
      <rPr>
        <sz val="11"/>
        <color theme="1"/>
        <rFont val="ＭＳ Ｐゴシック"/>
        <family val="3"/>
        <charset val="134"/>
        <scheme val="minor"/>
      </rPr>
      <t>赑</t>
    </r>
  </si>
  <si>
    <r>
      <t>吴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容******************</t>
    </r>
  </si>
  <si>
    <r>
      <t xml:space="preserve">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</si>
  <si>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草黔康</t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</si>
  <si>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果酒（含酒精）;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</si>
  <si>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黔草康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</si>
  <si>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</si>
  <si>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森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佳</t>
    </r>
  </si>
  <si>
    <r>
      <t xml:space="preserve">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白酒; 葡萄酒; 杜松子酒</t>
    </r>
  </si>
  <si>
    <r>
      <t>墨</t>
    </r>
    <r>
      <rPr>
        <sz val="11"/>
        <color theme="1"/>
        <rFont val="ＭＳ Ｐゴシック"/>
        <family val="3"/>
        <charset val="134"/>
        <scheme val="minor"/>
      </rPr>
      <t>兹</t>
    </r>
    <r>
      <rPr>
        <sz val="11"/>
        <color theme="1"/>
        <rFont val="ＭＳ Ｐゴシック"/>
        <family val="3"/>
        <charset val="128"/>
        <scheme val="minor"/>
      </rPr>
      <t>卡</t>
    </r>
  </si>
  <si>
    <r>
      <t>广州卓葡酒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</si>
  <si>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</t>
    </r>
  </si>
  <si>
    <t>九寸光阴</t>
  </si>
  <si>
    <t>永昌盛珠寳有限公司</t>
  </si>
  <si>
    <r>
      <t>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食用酒精; 米酒; 果酒（含酒精）; 葡萄酒; 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</si>
  <si>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景心源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</si>
  <si>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之景科技有限公司</t>
    </r>
  </si>
  <si>
    <r>
      <t>清酒（日本米酒）; 黄酒; 白酒;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葡萄酒; 米酒;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</si>
  <si>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蘩小品</t>
  </si>
  <si>
    <r>
      <t>深圳市蘩小品餐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</si>
  <si>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薄荷酒; 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</si>
  <si>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阅</t>
    </r>
    <r>
      <rPr>
        <sz val="11"/>
        <color theme="1"/>
        <rFont val="ＭＳ Ｐゴシック"/>
        <family val="3"/>
        <charset val="128"/>
        <scheme val="minor"/>
      </rPr>
      <t>星秀</t>
    </r>
  </si>
  <si>
    <r>
      <t>深圳中好粮食品供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</si>
  <si>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威士忌; 朗姆酒; 青梅酒;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梨酒; 汽酒;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</t>
    </r>
  </si>
  <si>
    <t>努努嘴</t>
  </si>
  <si>
    <r>
      <t>朱</t>
    </r>
    <r>
      <rPr>
        <sz val="11"/>
        <color theme="1"/>
        <rFont val="ＭＳ Ｐゴシック"/>
        <family val="3"/>
        <charset val="134"/>
        <scheme val="minor"/>
      </rPr>
      <t>华兴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</si>
  <si>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 xml:space="preserve">米酒; 食用酒精; 甜酒;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</si>
  <si>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朱奇泉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</si>
  <si>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</t>
    </r>
  </si>
  <si>
    <r>
      <t>云南褚酒商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</si>
  <si>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白酒; 露酒; 高粱酒;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</si>
  <si>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吴林养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</si>
  <si>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汽酒; 白酒; 葡萄酒; 米酒</t>
    </r>
  </si>
  <si>
    <t>文佳</t>
  </si>
  <si>
    <r>
      <t xml:space="preserve">烈酒; 米酒; 青稞酒; 食用酒精; 露酒; 白酒; 清酒;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</si>
  <si>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誉仟味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</si>
  <si>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市誉</t>
    </r>
    <r>
      <rPr>
        <sz val="11"/>
        <color theme="1"/>
        <rFont val="ＭＳ Ｐゴシック"/>
        <family val="3"/>
        <charset val="134"/>
        <scheme val="minor"/>
      </rPr>
      <t>见电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</si>
  <si>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</si>
  <si>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每口旺</t>
  </si>
  <si>
    <t>郑树领</t>
  </si>
  <si>
    <t>甜酒; 果酒; 白酒; 米酒; 黄酒; 食用酒精; 开胃酒; 葡萄酒; 汽酒; 清酒</t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</si>
  <si>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尔滨创</t>
    </r>
    <r>
      <rPr>
        <sz val="11"/>
        <color theme="1"/>
        <rFont val="ＭＳ Ｐゴシック"/>
        <family val="3"/>
        <charset val="128"/>
        <scheme val="minor"/>
      </rPr>
      <t>意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中心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</si>
  <si>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</si>
  <si>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裕立</t>
    </r>
    <r>
      <rPr>
        <sz val="11"/>
        <color theme="1"/>
        <rFont val="ＭＳ Ｐゴシック"/>
        <family val="3"/>
        <charset val="134"/>
        <scheme val="minor"/>
      </rPr>
      <t>农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</si>
  <si>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港立全</t>
    </r>
    <r>
      <rPr>
        <sz val="11"/>
        <color theme="1"/>
        <rFont val="ＭＳ Ｐゴシック"/>
        <family val="3"/>
        <charset val="134"/>
        <scheme val="minor"/>
      </rPr>
      <t>农产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</si>
  <si>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</si>
  <si>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郭佰福</t>
  </si>
  <si>
    <t>安徽郭佰福食品有限公司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</si>
  <si>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朗姆酒; 苹果酒; 白酒; 葡萄酒</t>
    </r>
  </si>
  <si>
    <t>虔先森</t>
  </si>
  <si>
    <r>
      <t>廖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盛</t>
    </r>
  </si>
  <si>
    <r>
      <t>黄酒; 白酒;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汽酒; 开胃酒; 果酒（含酒精）; 米酒;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</si>
  <si>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悠池</t>
  </si>
  <si>
    <r>
      <t>唐志</t>
    </r>
    <r>
      <rPr>
        <sz val="11"/>
        <color theme="1"/>
        <rFont val="ＭＳ Ｐゴシック"/>
        <family val="3"/>
        <charset val="134"/>
        <scheme val="minor"/>
      </rPr>
      <t>鸿</t>
    </r>
  </si>
  <si>
    <r>
      <t>威士忌;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</t>
    </r>
  </si>
  <si>
    <r>
      <t>婵</t>
    </r>
    <r>
      <rPr>
        <sz val="11"/>
        <color theme="1"/>
        <rFont val="ＭＳ Ｐゴシック"/>
        <family val="3"/>
        <charset val="128"/>
        <scheme val="minor"/>
      </rPr>
      <t>礼</t>
    </r>
  </si>
  <si>
    <r>
      <t>中国</t>
    </r>
    <r>
      <rPr>
        <sz val="11"/>
        <color theme="1"/>
        <rFont val="ＭＳ Ｐゴシック"/>
        <family val="3"/>
        <charset val="134"/>
        <scheme val="minor"/>
      </rPr>
      <t>婵</t>
    </r>
    <r>
      <rPr>
        <sz val="11"/>
        <color theme="1"/>
        <rFont val="ＭＳ Ｐゴシック"/>
        <family val="3"/>
        <charset val="128"/>
        <scheme val="minor"/>
      </rPr>
      <t>礼酒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控股有限公司</t>
    </r>
  </si>
  <si>
    <r>
      <t xml:space="preserve">白酒;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</si>
  <si>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凉泉彝号</t>
  </si>
  <si>
    <t>阳淋戌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</si>
  <si>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</si>
  <si>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章·珍品壹号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</si>
  <si>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果酒; 黄酒; 高粱酒;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米酒</t>
    </r>
  </si>
  <si>
    <t>开愁</t>
  </si>
  <si>
    <t>林倩伶</t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</si>
  <si>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蜂蜜酒;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</si>
  <si>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美河</t>
    </r>
    <r>
      <rPr>
        <sz val="11"/>
        <color theme="1"/>
        <rFont val="ＭＳ Ｐゴシック"/>
        <family val="3"/>
        <charset val="134"/>
        <scheme val="minor"/>
      </rPr>
      <t>锦绣</t>
    </r>
  </si>
  <si>
    <r>
      <t>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白酒; 苹果酒; 葡萄酒; 露酒</t>
    </r>
  </si>
  <si>
    <r>
      <t>酒</t>
    </r>
    <r>
      <rPr>
        <sz val="11"/>
        <color theme="1"/>
        <rFont val="ＭＳ Ｐゴシック"/>
        <family val="3"/>
        <charset val="134"/>
        <scheme val="minor"/>
      </rPr>
      <t>鳄</t>
    </r>
    <r>
      <rPr>
        <sz val="11"/>
        <color theme="1"/>
        <rFont val="ＭＳ Ｐゴシック"/>
        <family val="3"/>
        <charset val="128"/>
        <scheme val="minor"/>
      </rPr>
      <t>网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</si>
  <si>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生</t>
    </r>
    <r>
      <rPr>
        <sz val="11"/>
        <color theme="1"/>
        <rFont val="ＭＳ Ｐゴシック"/>
        <family val="3"/>
        <charset val="134"/>
        <scheme val="minor"/>
      </rPr>
      <t>钦</t>
    </r>
  </si>
  <si>
    <r>
      <t>黄酒; 白酒;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</si>
  <si>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t>周小翠</t>
  </si>
  <si>
    <r>
      <t>南通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派食品有限公司</t>
    </r>
  </si>
  <si>
    <r>
      <t>薄荷酒; 果酒（含酒精）; 葡萄酒; 汽酒; 开胃酒;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</t>
    </r>
  </si>
  <si>
    <r>
      <t>帝留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</si>
  <si>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吕红</t>
    </r>
    <r>
      <rPr>
        <sz val="11"/>
        <color theme="1"/>
        <rFont val="ＭＳ Ｐゴシック"/>
        <family val="3"/>
        <charset val="128"/>
        <scheme val="minor"/>
      </rPr>
      <t>登</t>
    </r>
  </si>
  <si>
    <t>蜂蜜酒; 酸酒（低等葡萄酒）; 清酒（日本米酒）; 黄酒; 米酒</t>
  </si>
  <si>
    <t>康廉醉</t>
  </si>
  <si>
    <r>
      <t>达州市水金液商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</si>
  <si>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葡萄酒;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</si>
  <si>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MOMI</t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</si>
  <si>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开胃酒;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</si>
  <si>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云之梦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</si>
  <si>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白干酒（中国白酒）;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</t>
    </r>
  </si>
  <si>
    <r>
      <t>白酒; 果酒（含酒精）; 露酒;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</t>
    </r>
  </si>
  <si>
    <t>寿如仙</t>
  </si>
  <si>
    <t>李荣忠</t>
  </si>
  <si>
    <r>
      <t xml:space="preserve">白酒;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汽酒; 食用酒精</t>
    </r>
  </si>
  <si>
    <r>
      <t>时</t>
    </r>
    <r>
      <rPr>
        <sz val="11"/>
        <color theme="1"/>
        <rFont val="ＭＳ Ｐゴシック"/>
        <family val="3"/>
        <charset val="128"/>
        <scheme val="minor"/>
      </rPr>
      <t>代蓉城</t>
    </r>
  </si>
  <si>
    <r>
      <t>成都酒运恒通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</si>
  <si>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</si>
  <si>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肇</t>
    </r>
    <r>
      <rPr>
        <sz val="11"/>
        <color theme="1"/>
        <rFont val="ＭＳ Ｐゴシック"/>
        <family val="3"/>
        <charset val="134"/>
        <scheme val="minor"/>
      </rPr>
      <t>财</t>
    </r>
  </si>
  <si>
    <r>
      <t>肇州</t>
    </r>
    <r>
      <rPr>
        <sz val="11"/>
        <color theme="1"/>
        <rFont val="ＭＳ Ｐゴシック"/>
        <family val="3"/>
        <charset val="134"/>
        <scheme val="minor"/>
      </rPr>
      <t>县领</t>
    </r>
    <r>
      <rPr>
        <sz val="11"/>
        <color theme="1"/>
        <rFont val="ＭＳ Ｐゴシック"/>
        <family val="3"/>
        <charset val="128"/>
        <scheme val="minor"/>
      </rPr>
      <t>富技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推广服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</si>
  <si>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刺五加酒; 白酒</t>
    </r>
  </si>
  <si>
    <t>泉放心礼</t>
  </si>
  <si>
    <r>
      <t>傅文</t>
    </r>
    <r>
      <rPr>
        <sz val="11"/>
        <color theme="1"/>
        <rFont val="ＭＳ Ｐゴシック"/>
        <family val="3"/>
        <charset val="134"/>
        <scheme val="minor"/>
      </rPr>
      <t>焕</t>
    </r>
  </si>
  <si>
    <r>
      <t>葡萄酒;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</si>
  <si>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愁空</t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</si>
  <si>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</si>
  <si>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梅小酷</t>
  </si>
  <si>
    <r>
      <t>刘喜</t>
    </r>
    <r>
      <rPr>
        <sz val="11"/>
        <color theme="1"/>
        <rFont val="ＭＳ Ｐゴシック"/>
        <family val="3"/>
        <charset val="134"/>
        <scheme val="minor"/>
      </rPr>
      <t>莲</t>
    </r>
  </si>
  <si>
    <r>
      <t xml:space="preserve">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米酒;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蜂蜜酒; 果酒（含酒精）</t>
    </r>
  </si>
  <si>
    <t>禧晟味</t>
  </si>
  <si>
    <t>广州禧晟味食品有限公司</t>
  </si>
  <si>
    <r>
      <t>米酒; 伏特加酒;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</si>
  <si>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份君</t>
  </si>
  <si>
    <r>
      <t>王</t>
    </r>
    <r>
      <rPr>
        <sz val="11"/>
        <color theme="1"/>
        <rFont val="ＭＳ Ｐゴシック"/>
        <family val="3"/>
        <charset val="134"/>
        <scheme val="minor"/>
      </rPr>
      <t>晓伟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</si>
  <si>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果酒（含酒精）;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汽酒</t>
    </r>
  </si>
  <si>
    <t>元世名珍品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</si>
  <si>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果酒（含酒精）; 苹果酒; 米酒; 露酒;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</si>
  <si>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晋昇上</t>
  </si>
  <si>
    <r>
      <t>武晋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</si>
  <si>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 xml:space="preserve">白酒; 葡萄酒; 餐后酒（利口酒和烈酒）;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</si>
  <si>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逸彦堂</t>
  </si>
  <si>
    <r>
      <t>廊坊市醇品商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</si>
  <si>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甜果酒;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开胃酒; 葡萄酒;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</si>
  <si>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岚</t>
    </r>
  </si>
  <si>
    <r>
      <t>永嘉</t>
    </r>
    <r>
      <rPr>
        <sz val="11"/>
        <color theme="1"/>
        <rFont val="ＭＳ Ｐゴシック"/>
        <family val="3"/>
        <charset val="134"/>
        <scheme val="minor"/>
      </rPr>
      <t>县雏鹰</t>
    </r>
    <r>
      <rPr>
        <sz val="11"/>
        <color theme="1"/>
        <rFont val="ＭＳ Ｐゴシック"/>
        <family val="3"/>
        <charset val="128"/>
        <scheme val="minor"/>
      </rPr>
      <t>游</t>
    </r>
    <r>
      <rPr>
        <sz val="11"/>
        <color theme="1"/>
        <rFont val="ＭＳ Ｐゴシック"/>
        <family val="3"/>
        <charset val="134"/>
        <scheme val="minor"/>
      </rPr>
      <t>乐设备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</si>
  <si>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清酒;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</si>
  <si>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JKQY</t>
  </si>
  <si>
    <r>
      <t>君康芪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（固阳）科技有限公司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</si>
  <si>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</si>
  <si>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匠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大唐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</si>
  <si>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露酒; 餐后酒（利口酒和烈酒）; 果酒（含酒精）; 葡萄酒; 白酒; 米酒; 苹果酒;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</si>
  <si>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窖拾古</t>
  </si>
  <si>
    <r>
      <t>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葡萄酒; 苹果酒;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</t>
    </r>
  </si>
  <si>
    <r>
      <t>两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蜀都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</si>
  <si>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</t>
    </r>
  </si>
  <si>
    <t>族宗荣耀</t>
  </si>
  <si>
    <r>
      <t>李炅</t>
    </r>
    <r>
      <rPr>
        <sz val="11"/>
        <color theme="1"/>
        <rFont val="ＭＳ Ｐゴシック"/>
        <family val="3"/>
        <charset val="134"/>
        <scheme val="minor"/>
      </rPr>
      <t>泽</t>
    </r>
  </si>
  <si>
    <r>
      <t>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苦味酒; 白酒; 开胃酒;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</si>
  <si>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漓嫂</t>
  </si>
  <si>
    <t>茶叔生物科技（南京）有限公司</t>
  </si>
  <si>
    <r>
      <t xml:space="preserve">果酒; 黄酒;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白酒; 米酒</t>
    </r>
  </si>
  <si>
    <r>
      <t>巅</t>
    </r>
    <r>
      <rPr>
        <sz val="11"/>
        <color theme="1"/>
        <rFont val="ＭＳ Ｐゴシック"/>
        <family val="3"/>
        <charset val="128"/>
        <scheme val="minor"/>
      </rPr>
      <t>秘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</si>
  <si>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威士忌;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</si>
  <si>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爽鑫</t>
  </si>
  <si>
    <r>
      <t>仝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娜</t>
    </r>
  </si>
  <si>
    <r>
      <t xml:space="preserve">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白酒; 起泡白葡萄酒; 甜酒; 米酒; 高粱酒</t>
    </r>
  </si>
  <si>
    <t>皇室苗苗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</si>
  <si>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奇</t>
    </r>
    <r>
      <rPr>
        <sz val="11"/>
        <color theme="1"/>
        <rFont val="ＭＳ Ｐゴシック"/>
        <family val="3"/>
        <charset val="134"/>
        <scheme val="minor"/>
      </rPr>
      <t>乐卫</t>
    </r>
    <r>
      <rPr>
        <sz val="11"/>
        <color theme="1"/>
        <rFont val="ＭＳ Ｐゴシック"/>
        <family val="3"/>
        <charset val="128"/>
        <scheme val="minor"/>
      </rPr>
      <t>生用品有限公司</t>
    </r>
  </si>
  <si>
    <r>
      <t xml:space="preserve">白酒; 黄酒; 葡萄酒; 果酒(含酒精);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料(啤酒除外); 米酒; 烈酒(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料)</t>
    </r>
  </si>
  <si>
    <t>安海斯-布希英博有限公司</t>
  </si>
  <si>
    <r>
      <t>利口酒;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</si>
  <si>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壹品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江美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</si>
  <si>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台重阳酒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</si>
  <si>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青稞酒</t>
    </r>
  </si>
  <si>
    <t>舞悟</t>
  </si>
  <si>
    <r>
      <t>杭州舞悟文化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意有限公司</t>
    </r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</si>
  <si>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</si>
  <si>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鹿元臣</t>
  </si>
  <si>
    <t>李安彧</t>
  </si>
  <si>
    <r>
      <t xml:space="preserve">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葡萄酒; 米酒;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</si>
  <si>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香港中英医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</si>
  <si>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白酒; 清酒（日本米酒）</t>
    </r>
  </si>
  <si>
    <t>曹董老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</si>
  <si>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州匠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</si>
  <si>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高粱酒;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露酒; 米酒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</si>
  <si>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</si>
  <si>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逐花</t>
  </si>
  <si>
    <r>
      <t>成都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趣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</si>
  <si>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高粱酒;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</si>
  <si>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海征</t>
    </r>
    <r>
      <rPr>
        <sz val="11"/>
        <color theme="1"/>
        <rFont val="ＭＳ Ｐゴシック"/>
        <family val="3"/>
        <charset val="134"/>
        <scheme val="minor"/>
      </rPr>
      <t>诚</t>
    </r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</si>
  <si>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市江夏区聚凰台百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</si>
  <si>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>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食用酒精; 白酒; 果酒（含酒精）; 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</si>
  <si>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金百富</t>
  </si>
  <si>
    <t>李旭</t>
  </si>
  <si>
    <r>
      <t>白酒; 佐餐酒; 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不起泡葡萄酒; 黄酒; 米酒; 松叶酒; 烈性干酒; 开胃酒</t>
    </r>
  </si>
  <si>
    <t>巅术</t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</si>
  <si>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白酒; 葡萄酒;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威士忌</t>
    </r>
  </si>
  <si>
    <t>葵丘梦</t>
  </si>
  <si>
    <r>
      <t xml:space="preserve">利口酒; 葡萄酒; 果酒（含酒精）; 白酒;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蜂蜜酒; 米酒; 黄酒</t>
    </r>
  </si>
  <si>
    <t>馥九伯</t>
  </si>
  <si>
    <r>
      <t xml:space="preserve">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黄酒; 青稞酒; 清酒（日本米酒）;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</si>
  <si>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清</t>
    </r>
    <r>
      <rPr>
        <sz val="11"/>
        <color theme="1"/>
        <rFont val="ＭＳ Ｐゴシック"/>
        <family val="3"/>
        <charset val="134"/>
        <scheme val="minor"/>
      </rPr>
      <t>风岁</t>
    </r>
    <r>
      <rPr>
        <sz val="11"/>
        <color theme="1"/>
        <rFont val="ＭＳ Ｐゴシック"/>
        <family val="3"/>
        <charset val="128"/>
        <scheme val="minor"/>
      </rPr>
      <t>悦</t>
    </r>
  </si>
  <si>
    <t>李芷晴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</si>
  <si>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开胃酒; 葡萄酒; 黄酒</t>
    </r>
  </si>
  <si>
    <r>
      <t>恬</t>
    </r>
    <r>
      <rPr>
        <sz val="11"/>
        <color theme="1"/>
        <rFont val="ＭＳ Ｐゴシック"/>
        <family val="3"/>
        <charset val="134"/>
        <scheme val="minor"/>
      </rPr>
      <t>涧</t>
    </r>
  </si>
  <si>
    <r>
      <t>贾</t>
    </r>
    <r>
      <rPr>
        <sz val="11"/>
        <color theme="1"/>
        <rFont val="ＭＳ Ｐゴシック"/>
        <family val="3"/>
        <charset val="128"/>
        <scheme val="minor"/>
      </rPr>
      <t>宝河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</si>
  <si>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</si>
  <si>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老</t>
    </r>
    <r>
      <rPr>
        <sz val="11"/>
        <color theme="1"/>
        <rFont val="ＭＳ Ｐゴシック"/>
        <family val="3"/>
        <charset val="134"/>
        <scheme val="minor"/>
      </rPr>
      <t>汉</t>
    </r>
  </si>
  <si>
    <r>
      <t xml:space="preserve">葡萄酒; 米酒;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食用酒精</t>
    </r>
  </si>
  <si>
    <t>元世名盛世</t>
  </si>
  <si>
    <r>
      <t>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米酒;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</si>
  <si>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绝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壶</t>
    </r>
  </si>
  <si>
    <t>杨绍凯</t>
  </si>
  <si>
    <r>
      <t>开胃酒; 黄酒; 白酒; 果酒（含酒精）;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</si>
  <si>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纤</t>
    </r>
    <r>
      <rPr>
        <sz val="11"/>
        <color theme="1"/>
        <rFont val="ＭＳ Ｐゴシック"/>
        <family val="3"/>
        <charset val="128"/>
        <scheme val="minor"/>
      </rPr>
      <t>果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</si>
  <si>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 xml:space="preserve">青稞酒; 开胃酒;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</si>
  <si>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t>馥曲星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</si>
  <si>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青稞酒; 黄酒; 蜂蜜酒;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</si>
  <si>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尖</t>
    </r>
  </si>
  <si>
    <r>
      <t>果酒（含酒精）; 黄酒;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</si>
  <si>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华驹</t>
  </si>
  <si>
    <r>
      <t xml:space="preserve">白酒; 露酒; 青稞酒; 烈酒; 食用酒精; 黄酒; 清酒;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</si>
  <si>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穆点</t>
  </si>
  <si>
    <r>
      <t xml:space="preserve">清酒（日本米酒）; 果酒（含酒精）; 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</si>
  <si>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生甜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</si>
  <si>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巧珍******************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</si>
  <si>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甜酒</t>
    </r>
  </si>
  <si>
    <r>
      <t>科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可汗</t>
    </r>
  </si>
  <si>
    <r>
      <t>内蒙古蒙能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力有限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</si>
  <si>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高粱酒; 黄酒;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</t>
    </r>
  </si>
  <si>
    <r>
      <t>五洲</t>
    </r>
    <r>
      <rPr>
        <sz val="11"/>
        <color theme="1"/>
        <rFont val="ＭＳ Ｐゴシック"/>
        <family val="3"/>
        <charset val="134"/>
        <scheme val="minor"/>
      </rPr>
      <t>骄</t>
    </r>
    <r>
      <rPr>
        <sz val="11"/>
        <color theme="1"/>
        <rFont val="ＭＳ Ｐゴシック"/>
        <family val="3"/>
        <charset val="128"/>
        <scheme val="minor"/>
      </rPr>
      <t>子</t>
    </r>
  </si>
  <si>
    <t>王明晴</t>
  </si>
  <si>
    <r>
      <t>青梅酒;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含酒精的气泡水; 蝮蛇酒;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</si>
  <si>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岚</t>
    </r>
    <r>
      <rPr>
        <sz val="11"/>
        <color theme="1"/>
        <rFont val="ＭＳ Ｐゴシック"/>
        <family val="3"/>
        <charset val="128"/>
        <scheme val="minor"/>
      </rPr>
      <t>花町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</si>
  <si>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清酒（日本米酒）; 蜂蜜酒; 开胃酒; 青稞酒</t>
    </r>
  </si>
  <si>
    <r>
      <t>祥瑞</t>
    </r>
    <r>
      <rPr>
        <sz val="11"/>
        <color theme="1"/>
        <rFont val="ＭＳ Ｐゴシック"/>
        <family val="3"/>
        <charset val="134"/>
        <scheme val="minor"/>
      </rPr>
      <t>泸</t>
    </r>
  </si>
  <si>
    <t>吴棣明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</si>
  <si>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果酒; 白酒; 葡萄酒; 白干酒（中国白酒）; 米酒; 汽酒; 含酒精的气泡水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</si>
  <si>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皇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相</t>
    </r>
  </si>
  <si>
    <r>
      <t>梁金</t>
    </r>
    <r>
      <rPr>
        <sz val="11"/>
        <color theme="1"/>
        <rFont val="ＭＳ Ｐゴシック"/>
        <family val="3"/>
        <charset val="134"/>
        <scheme val="minor"/>
      </rPr>
      <t>琼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</si>
  <si>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葡萄酒; 威士忌</t>
    </r>
  </si>
  <si>
    <t>美其能</t>
  </si>
  <si>
    <t>刘翠玲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</si>
  <si>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米酒; 汽酒; 葡萄酒; 威士忌;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</si>
  <si>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无弘</t>
  </si>
  <si>
    <r>
      <t>平山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月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</si>
  <si>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白酒;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</t>
    </r>
  </si>
  <si>
    <t>SISA</t>
  </si>
  <si>
    <r>
      <t>贾</t>
    </r>
    <r>
      <rPr>
        <sz val="11"/>
        <color theme="1"/>
        <rFont val="ＭＳ Ｐゴシック"/>
        <family val="3"/>
        <charset val="128"/>
        <scheme val="minor"/>
      </rPr>
      <t>葱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</si>
  <si>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薄荷酒;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威士忌;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青稞酒</t>
    </r>
  </si>
  <si>
    <r>
      <t>荆</t>
    </r>
    <r>
      <rPr>
        <sz val="11"/>
        <color theme="1"/>
        <rFont val="ＭＳ Ｐゴシック"/>
        <family val="3"/>
        <charset val="128"/>
        <scheme val="minor"/>
      </rPr>
      <t>谷</t>
    </r>
  </si>
  <si>
    <r>
      <t>深圳市平凡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</si>
  <si>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朗姆酒; 汽酒; 白酒; 葡萄酒</t>
    </r>
  </si>
  <si>
    <r>
      <t>上海大象</t>
    </r>
    <r>
      <rPr>
        <sz val="11"/>
        <color theme="1"/>
        <rFont val="ＭＳ Ｐゴシック"/>
        <family val="3"/>
        <charset val="134"/>
        <scheme val="minor"/>
      </rPr>
      <t>贺</t>
    </r>
    <r>
      <rPr>
        <sz val="11"/>
        <color theme="1"/>
        <rFont val="ＭＳ Ｐゴシック"/>
        <family val="3"/>
        <charset val="128"/>
        <scheme val="minor"/>
      </rPr>
      <t>牛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</si>
  <si>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威士忌; 起泡白葡萄酒; 朗姆酒;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伏特加酒; 白酒; 白葡萄酒;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</si>
  <si>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恬三三</t>
  </si>
  <si>
    <r>
      <t>北京恬三三文化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</si>
  <si>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青稞酒; 青梅酒;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</t>
    </r>
  </si>
  <si>
    <r>
      <t>酱</t>
    </r>
    <r>
      <rPr>
        <sz val="11"/>
        <color theme="1"/>
        <rFont val="ＭＳ Ｐゴシック"/>
        <family val="3"/>
        <charset val="128"/>
        <scheme val="minor"/>
      </rPr>
      <t>酒云（深圳）数字科技有限公司</t>
    </r>
  </si>
  <si>
    <r>
      <t>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白干酒（中国白酒）; 开胃酒;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清酒</t>
    </r>
  </si>
  <si>
    <r>
      <t>美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昌</t>
    </r>
  </si>
  <si>
    <r>
      <t>海南美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昌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</si>
  <si>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威士忌; 麦芽威士忌;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起泡白葡萄酒; 白葡萄酒; 酸酒（低等葡萄酒）;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草莓酒; 白干酒（中国白酒）</t>
    </r>
  </si>
  <si>
    <r>
      <t>赛伦</t>
    </r>
    <r>
      <rPr>
        <sz val="11"/>
        <color theme="1"/>
        <rFont val="ＭＳ Ｐゴシック"/>
        <family val="3"/>
        <charset val="128"/>
        <scheme val="minor"/>
      </rPr>
      <t>娜</t>
    </r>
  </si>
  <si>
    <r>
      <t>何敏</t>
    </r>
    <r>
      <rPr>
        <sz val="11"/>
        <color theme="1"/>
        <rFont val="ＭＳ Ｐゴシック"/>
        <family val="3"/>
        <charset val="134"/>
        <scheme val="minor"/>
      </rPr>
      <t>仪</t>
    </r>
  </si>
  <si>
    <r>
      <t>葡萄酒; 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汽酒; 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</t>
    </r>
  </si>
  <si>
    <t>三寅公</t>
  </si>
  <si>
    <r>
      <t>毓秀天成（广州）信息咨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</si>
  <si>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黄酒; 白酒; 威士忌</t>
    </r>
  </si>
  <si>
    <t>获财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</si>
  <si>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市福客来酒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</si>
  <si>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甜果酒;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果酒（含酒精）; 威士忌</t>
    </r>
  </si>
  <si>
    <r>
      <t>亚</t>
    </r>
    <r>
      <rPr>
        <sz val="11"/>
        <color theme="1"/>
        <rFont val="ＭＳ Ｐゴシック"/>
        <family val="3"/>
        <charset val="128"/>
        <scheme val="minor"/>
      </rPr>
      <t>甘英雄</t>
    </r>
  </si>
  <si>
    <r>
      <t>甘振</t>
    </r>
    <r>
      <rPr>
        <sz val="11"/>
        <color theme="1"/>
        <rFont val="ＭＳ Ｐゴシック"/>
        <family val="3"/>
        <charset val="134"/>
        <scheme val="minor"/>
      </rPr>
      <t>钊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</si>
  <si>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米酒; 果酒（含酒精）</t>
    </r>
  </si>
  <si>
    <t>乡对论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</si>
  <si>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雅酒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</si>
  <si>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果酒; 葡萄酒; 露酒; 甜酒; 梅酒; 黄酒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</si>
  <si>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潮客</t>
    </r>
  </si>
  <si>
    <r>
      <t>七彩天空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</si>
  <si>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食用酒精; 果酒（含酒精）; 米酒</t>
    </r>
  </si>
  <si>
    <r>
      <t>鹤</t>
    </r>
    <r>
      <rPr>
        <sz val="11"/>
        <color theme="1"/>
        <rFont val="ＭＳ Ｐゴシック"/>
        <family val="3"/>
        <charset val="128"/>
        <scheme val="minor"/>
      </rPr>
      <t>桃仙</t>
    </r>
  </si>
  <si>
    <t>上海万疆源食品科技有限公司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</si>
  <si>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</t>
    </r>
  </si>
  <si>
    <t>梧花源</t>
  </si>
  <si>
    <t>广西梧花源健康科技有限公司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</si>
  <si>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</si>
  <si>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中广寒</t>
  </si>
  <si>
    <r>
      <t>中酒投企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管理（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州）有限公司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</si>
  <si>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</si>
  <si>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御医客</t>
  </si>
  <si>
    <r>
      <t>陈</t>
    </r>
    <r>
      <rPr>
        <sz val="11"/>
        <color theme="1"/>
        <rFont val="ＭＳ Ｐゴシック"/>
        <family val="3"/>
        <charset val="128"/>
        <scheme val="minor"/>
      </rPr>
      <t>小燕</t>
    </r>
  </si>
  <si>
    <r>
      <t xml:space="preserve">米酒; 葡萄酒;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蜂蜜酒;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</si>
  <si>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富兄豪弟酒</t>
  </si>
  <si>
    <r>
      <t>青稞酒;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白酒</t>
    </r>
  </si>
  <si>
    <t>中福采</t>
  </si>
  <si>
    <r>
      <t>漯河中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</si>
  <si>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</si>
  <si>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r>
      <t>财</t>
    </r>
    <r>
      <rPr>
        <sz val="11"/>
        <color theme="1"/>
        <rFont val="ＭＳ Ｐゴシック"/>
        <family val="3"/>
        <charset val="128"/>
        <scheme val="minor"/>
      </rPr>
      <t>邑</t>
    </r>
  </si>
  <si>
    <r>
      <t>成都德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跨境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</si>
  <si>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苹果酒; 白酒; 葡萄酒; 果酒（含酒精）;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黄酒</t>
    </r>
  </si>
  <si>
    <t>首方号</t>
  </si>
  <si>
    <r>
      <t>福建首芳茶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</si>
  <si>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</si>
  <si>
    <t>酷爽麦潮</t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</si>
  <si>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果酒（含酒精）; 白酒;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</si>
  <si>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酒小恋</t>
  </si>
  <si>
    <t>廖文兵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</si>
  <si>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料(啤酒除外); 黄酒; 威士忌; 果酒(含酒精);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清酒(日本米酒);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</si>
  <si>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r>
      <t>庞</t>
    </r>
    <r>
      <rPr>
        <sz val="11"/>
        <color theme="1"/>
        <rFont val="ＭＳ Ｐゴシック"/>
        <family val="3"/>
        <charset val="128"/>
        <scheme val="minor"/>
      </rPr>
      <t>泉无</t>
    </r>
    <r>
      <rPr>
        <sz val="11"/>
        <color theme="1"/>
        <rFont val="ＭＳ Ｐゴシック"/>
        <family val="3"/>
        <charset val="134"/>
        <scheme val="minor"/>
      </rPr>
      <t>忧</t>
    </r>
  </si>
  <si>
    <r>
      <t>山西</t>
    </r>
    <r>
      <rPr>
        <sz val="11"/>
        <color theme="1"/>
        <rFont val="ＭＳ Ｐゴシック"/>
        <family val="3"/>
        <charset val="134"/>
        <scheme val="minor"/>
      </rPr>
      <t>庞</t>
    </r>
    <r>
      <rPr>
        <sz val="11"/>
        <color theme="1"/>
        <rFont val="ＭＳ Ｐゴシック"/>
        <family val="3"/>
        <charset val="128"/>
        <scheme val="minor"/>
      </rPr>
      <t>泉酒庄有限公司</t>
    </r>
  </si>
  <si>
    <r>
      <t>葡萄酒; 食用酒精; 黄酒; 高粱酒;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白干酒（中国白酒）;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</si>
  <si>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觅酝</t>
  </si>
  <si>
    <r>
      <t>广西</t>
    </r>
    <r>
      <rPr>
        <sz val="11"/>
        <color theme="1"/>
        <rFont val="ＭＳ Ｐゴシック"/>
        <family val="3"/>
        <charset val="134"/>
        <scheme val="minor"/>
      </rPr>
      <t>归</t>
    </r>
    <r>
      <rPr>
        <sz val="11"/>
        <color theme="1"/>
        <rFont val="ＭＳ Ｐゴシック"/>
        <family val="3"/>
        <charset val="128"/>
        <scheme val="minor"/>
      </rPr>
      <t>壹酒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</si>
  <si>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威士忌; 露酒; 果酒（含酒精）; 梅酒; 白酒; 葡萄酒; 利口酒;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</si>
  <si>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CAPEA</t>
  </si>
  <si>
    <r>
      <t>白葡萄酒;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起泡白葡萄酒;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朗姆酒;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</si>
  <si>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DALILILILI</t>
  </si>
  <si>
    <r>
      <t>王志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</si>
  <si>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</t>
    </r>
  </si>
  <si>
    <r>
      <t>健如</t>
    </r>
    <r>
      <rPr>
        <sz val="11"/>
        <color theme="1"/>
        <rFont val="ＭＳ Ｐゴシック"/>
        <family val="3"/>
        <charset val="134"/>
        <scheme val="minor"/>
      </rPr>
      <t>贾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</si>
  <si>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山弘域智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</si>
  <si>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米酒;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</si>
  <si>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殷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酒坊</t>
    </r>
  </si>
  <si>
    <t>石朝林</t>
  </si>
  <si>
    <r>
      <t>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烈酒; 威士忌; 开胃酒</t>
    </r>
  </si>
  <si>
    <t>WOBENLLEY</t>
  </si>
  <si>
    <r>
      <t>李</t>
    </r>
    <r>
      <rPr>
        <sz val="11"/>
        <color theme="1"/>
        <rFont val="ＭＳ Ｐゴシック"/>
        <family val="3"/>
        <charset val="134"/>
        <scheme val="minor"/>
      </rPr>
      <t>坚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</si>
  <si>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葡萄酒; 白酒;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</si>
  <si>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赤</t>
    </r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</si>
  <si>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黄酒</t>
    </r>
  </si>
  <si>
    <r>
      <t>杜</t>
    </r>
    <r>
      <rPr>
        <sz val="11"/>
        <color theme="1"/>
        <rFont val="ＭＳ Ｐゴシック"/>
        <family val="3"/>
        <charset val="134"/>
        <scheme val="minor"/>
      </rPr>
      <t>颂</t>
    </r>
  </si>
  <si>
    <t>施晨琰</t>
  </si>
  <si>
    <r>
      <t>开胃酒;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</si>
  <si>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遵</t>
    </r>
    <r>
      <rPr>
        <sz val="11"/>
        <color theme="1"/>
        <rFont val="ＭＳ Ｐゴシック"/>
        <family val="3"/>
        <charset val="134"/>
        <scheme val="minor"/>
      </rPr>
      <t>鹤</t>
    </r>
  </si>
  <si>
    <r>
      <t xml:space="preserve">开胃酒; 米酒; 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利口酒</t>
    </r>
  </si>
  <si>
    <r>
      <t xml:space="preserve">FLEIMALEO </t>
    </r>
    <r>
      <rPr>
        <sz val="11"/>
        <color theme="1"/>
        <rFont val="ＭＳ Ｐゴシック"/>
        <family val="3"/>
        <charset val="134"/>
        <scheme val="minor"/>
      </rPr>
      <t>费</t>
    </r>
    <r>
      <rPr>
        <sz val="11"/>
        <color theme="1"/>
        <rFont val="ＭＳ Ｐゴシック"/>
        <family val="3"/>
        <charset val="128"/>
        <scheme val="minor"/>
      </rPr>
      <t>曼</t>
    </r>
  </si>
  <si>
    <r>
      <t>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米酒; 果酒; 开胃酒;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</si>
  <si>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与定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</si>
  <si>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与定（北京）科技有限公司</t>
    </r>
  </si>
  <si>
    <r>
      <t xml:space="preserve">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青稞酒;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果酒（含酒精）; 苹果酒</t>
    </r>
  </si>
  <si>
    <r>
      <t>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白干酒（中国白酒）</t>
    </r>
  </si>
  <si>
    <r>
      <t>遵之</t>
    </r>
    <r>
      <rPr>
        <sz val="11"/>
        <color theme="1"/>
        <rFont val="ＭＳ Ｐゴシック"/>
        <family val="3"/>
        <charset val="134"/>
        <scheme val="minor"/>
      </rPr>
      <t>贵</t>
    </r>
  </si>
  <si>
    <t>彭清玉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</si>
  <si>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青稞酒; 威士忌;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</si>
  <si>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t>匡王荷花金</t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</si>
  <si>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黄酒; 葡萄酒; 米酒</t>
    </r>
  </si>
  <si>
    <r>
      <t>昌隆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品</t>
    </r>
  </si>
  <si>
    <r>
      <t>王正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</si>
  <si>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梨酒; 薄荷酒; 白酒; 开胃酒;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苹果酒; 米酒</t>
    </r>
  </si>
  <si>
    <t>墨氏菓道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</si>
  <si>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凤图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</si>
  <si>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混合威士忌酒; 伏特加酒;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烈性干酒; 水果汽酒;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</si>
  <si>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钰</t>
    </r>
    <r>
      <rPr>
        <sz val="11"/>
        <color theme="1"/>
        <rFont val="ＭＳ Ｐゴシック"/>
        <family val="3"/>
        <charset val="128"/>
        <scheme val="minor"/>
      </rPr>
      <t>邑</t>
    </r>
  </si>
  <si>
    <t>廖勇志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</si>
  <si>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威士忌; 伏特加酒</t>
    </r>
  </si>
  <si>
    <t>ZEZO</t>
  </si>
  <si>
    <r>
      <t>朱</t>
    </r>
    <r>
      <rPr>
        <sz val="11"/>
        <color theme="1"/>
        <rFont val="ＭＳ Ｐゴシック"/>
        <family val="3"/>
        <charset val="134"/>
        <scheme val="minor"/>
      </rPr>
      <t>腾</t>
    </r>
    <r>
      <rPr>
        <sz val="11"/>
        <color theme="1"/>
        <rFont val="ＭＳ Ｐゴシック"/>
        <family val="3"/>
        <charset val="128"/>
        <scheme val="minor"/>
      </rPr>
      <t>更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</si>
  <si>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果酒（含酒精）;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</si>
  <si>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r>
      <t>众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焱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</si>
  <si>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州知本寰宇酒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</si>
  <si>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高粱酒; 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蜂蜜酒</t>
    </r>
  </si>
  <si>
    <r>
      <t>石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</si>
  <si>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曾宏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</si>
  <si>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清酒; 米酒; 甜果酒;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</si>
  <si>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黄山丹基食品科技有限公司</t>
  </si>
  <si>
    <r>
      <t xml:space="preserve">米酒; 清酒; 黄酒; 烈酒; 葡萄酒;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食用酒精</t>
    </r>
  </si>
  <si>
    <r>
      <t>双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潭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</si>
  <si>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家口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潭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</si>
  <si>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葡萄酒; 食用酒精;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</si>
  <si>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岁龙</t>
    </r>
    <r>
      <rPr>
        <sz val="11"/>
        <color theme="1"/>
        <rFont val="ＭＳ Ｐゴシック"/>
        <family val="3"/>
        <charset val="128"/>
        <scheme val="minor"/>
      </rPr>
      <t>春</t>
    </r>
  </si>
  <si>
    <t>王春博</t>
  </si>
  <si>
    <r>
      <t>白酒;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</si>
  <si>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纵</t>
    </r>
    <r>
      <rPr>
        <sz val="11"/>
        <color theme="1"/>
        <rFont val="ＭＳ Ｐゴシック"/>
        <family val="3"/>
        <charset val="128"/>
        <scheme val="minor"/>
      </rPr>
      <t>横四海餐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</si>
  <si>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白干酒（中国白酒）; 果酒（含酒精）;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</si>
  <si>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康途智</t>
    </r>
    <r>
      <rPr>
        <sz val="11"/>
        <color theme="1"/>
        <rFont val="ＭＳ Ｐゴシック"/>
        <family val="3"/>
        <charset val="134"/>
        <scheme val="minor"/>
      </rPr>
      <t>汇</t>
    </r>
  </si>
  <si>
    <t>四川悦知茗健康管理有限公司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</si>
  <si>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青稞酒; 果酒（含酒精）; 黄酒; 葡萄酒; 米酒</t>
    </r>
  </si>
  <si>
    <r>
      <t>寻</t>
    </r>
    <r>
      <rPr>
        <sz val="11"/>
        <color theme="1"/>
        <rFont val="ＭＳ Ｐゴシック"/>
        <family val="3"/>
        <charset val="128"/>
        <scheme val="minor"/>
      </rPr>
      <t>味卓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</si>
  <si>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州迎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君酒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</si>
  <si>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清酒; 米酒; 汽酒; 甜酒; 果酒; 食用酒精; 黄酒; 白酒; 葡萄酒; 开胃酒</t>
  </si>
  <si>
    <r>
      <t>五粮辛</t>
    </r>
    <r>
      <rPr>
        <sz val="11"/>
        <color theme="1"/>
        <rFont val="ＭＳ Ｐゴシック"/>
        <family val="3"/>
        <charset val="134"/>
        <scheme val="minor"/>
      </rPr>
      <t>农</t>
    </r>
  </si>
  <si>
    <r>
      <t>五常市苗尊商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</si>
  <si>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蜂蜜酒; 葡萄酒; 白酒; 高粱酒;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</si>
  <si>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医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雅</t>
    </r>
  </si>
  <si>
    <r>
      <t>四川生命阳光健康投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</si>
  <si>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伏特加酒;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黄酒; 米酒; 果酒; 青稞酒</t>
    </r>
  </si>
  <si>
    <r>
      <t>浔</t>
    </r>
    <r>
      <rPr>
        <sz val="11"/>
        <color theme="1"/>
        <rFont val="ＭＳ Ｐゴシック"/>
        <family val="3"/>
        <charset val="128"/>
        <scheme val="minor"/>
      </rPr>
      <t>里</t>
    </r>
  </si>
  <si>
    <r>
      <t>唐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珍</t>
    </r>
  </si>
  <si>
    <r>
      <t xml:space="preserve">烈酒;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威士忌; 清酒（日本米酒）; 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</si>
  <si>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洁</t>
    </r>
    <r>
      <rPr>
        <sz val="11"/>
        <color theme="1"/>
        <rFont val="ＭＳ Ｐゴシック"/>
        <family val="3"/>
        <charset val="128"/>
        <scheme val="minor"/>
      </rPr>
      <t>思影</t>
    </r>
  </si>
  <si>
    <r>
      <t>张飞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</si>
  <si>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 xml:space="preserve">米酒; 青稞酒; 薄荷酒; 白酒;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黄酒; 果酒（含酒精）; 威士忌</t>
    </r>
  </si>
  <si>
    <r>
      <t>本目方</t>
    </r>
    <r>
      <rPr>
        <sz val="11"/>
        <color theme="1"/>
        <rFont val="ＭＳ Ｐゴシック"/>
        <family val="3"/>
        <charset val="134"/>
        <scheme val="minor"/>
      </rPr>
      <t>圆</t>
    </r>
  </si>
  <si>
    <t>李振</t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</si>
  <si>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</t>
    </r>
  </si>
  <si>
    <r>
      <t>冠</t>
    </r>
    <r>
      <rPr>
        <sz val="11"/>
        <color theme="1"/>
        <rFont val="ＭＳ Ｐゴシック"/>
        <family val="3"/>
        <charset val="134"/>
        <scheme val="minor"/>
      </rPr>
      <t>纪</t>
    </r>
  </si>
  <si>
    <t>张炜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</si>
  <si>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食用酒精; 米酒;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</si>
  <si>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龙贵</t>
    </r>
    <r>
      <rPr>
        <sz val="11"/>
        <color theme="1"/>
        <rFont val="ＭＳ Ｐゴシック"/>
        <family val="3"/>
        <charset val="128"/>
        <scheme val="minor"/>
      </rPr>
      <t>妃</t>
    </r>
  </si>
  <si>
    <r>
      <t xml:space="preserve">利口酒; 白酒; 开胃酒;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</si>
  <si>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t>商本</t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</si>
  <si>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米酒; 葡萄酒; 黄酒; 果酒;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</si>
  <si>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麦卡索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</si>
  <si>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汽酒; 蒸煮提取物（利口酒和烈酒）; 黄酒; 白酒; 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</si>
  <si>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姜</t>
    </r>
    <r>
      <rPr>
        <sz val="11"/>
        <color theme="1"/>
        <rFont val="ＭＳ Ｐゴシック"/>
        <family val="3"/>
        <charset val="134"/>
        <scheme val="minor"/>
      </rPr>
      <t>护龙</t>
    </r>
  </si>
  <si>
    <r>
      <t>石楼姜</t>
    </r>
    <r>
      <rPr>
        <sz val="11"/>
        <color theme="1"/>
        <rFont val="ＭＳ Ｐゴシック"/>
        <family val="3"/>
        <charset val="134"/>
        <scheme val="minor"/>
      </rPr>
      <t>护龙</t>
    </r>
    <r>
      <rPr>
        <sz val="11"/>
        <color theme="1"/>
        <rFont val="ＭＳ Ｐゴシック"/>
        <family val="3"/>
        <charset val="128"/>
        <scheme val="minor"/>
      </rPr>
      <t>文化旅游开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</si>
  <si>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</si>
  <si>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月靠近</t>
  </si>
  <si>
    <r>
      <t>韩</t>
    </r>
    <r>
      <rPr>
        <sz val="11"/>
        <color theme="1"/>
        <rFont val="ＭＳ Ｐゴシック"/>
        <family val="3"/>
        <charset val="128"/>
        <scheme val="minor"/>
      </rPr>
      <t>新社</t>
    </r>
  </si>
  <si>
    <r>
      <t xml:space="preserve">果酒（含酒精）; 清酒（日本米酒）; 白酒; 薄荷酒; 烈酒;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水果汽酒; 青稞酒; 白葡萄酒; 黄酒</t>
    </r>
  </si>
  <si>
    <r>
      <t>晋萃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海点食</t>
    </r>
    <r>
      <rPr>
        <sz val="11"/>
        <color theme="1"/>
        <rFont val="ＭＳ Ｐゴシック"/>
        <family val="3"/>
        <charset val="134"/>
        <scheme val="minor"/>
      </rPr>
      <t>铺</t>
    </r>
  </si>
  <si>
    <t>平遥冀氏老宅文化旅游有限公司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</si>
  <si>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苹果酒; 葡萄酒; 清酒;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汽酒; 青稞酒</t>
    </r>
  </si>
  <si>
    <t>襄知</t>
  </si>
  <si>
    <t>戎彦平</t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</si>
  <si>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葡萄酒;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含酒精的气泡水;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</si>
  <si>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亿</t>
    </r>
    <r>
      <rPr>
        <sz val="11"/>
        <color theme="1"/>
        <rFont val="ＭＳ Ｐゴシック"/>
        <family val="3"/>
        <charset val="128"/>
        <scheme val="minor"/>
      </rPr>
      <t>美馨</t>
    </r>
  </si>
  <si>
    <r>
      <t>广西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美馨食品科技有限公司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</si>
  <si>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果酒（含酒精）; 蜂蜜酒; 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</si>
  <si>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欣生力源堂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</si>
  <si>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白酒; 米酒;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</t>
    </r>
  </si>
  <si>
    <r>
      <t>湘窖天</t>
    </r>
    <r>
      <rPr>
        <sz val="11"/>
        <color theme="1"/>
        <rFont val="ＭＳ Ｐゴシック"/>
        <family val="3"/>
        <charset val="134"/>
        <scheme val="minor"/>
      </rPr>
      <t>蕴</t>
    </r>
  </si>
  <si>
    <r>
      <t>湖南湘窖酒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</si>
  <si>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米酒;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</si>
  <si>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t>箐庭悦</t>
  </si>
  <si>
    <r>
      <t>王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璟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</si>
  <si>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清酒（日本米酒）;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果酒（含酒精）;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高粱酒;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</si>
  <si>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潮</t>
    </r>
    <r>
      <rPr>
        <sz val="11"/>
        <color theme="1"/>
        <rFont val="ＭＳ Ｐゴシック"/>
        <family val="3"/>
        <charset val="134"/>
        <scheme val="minor"/>
      </rPr>
      <t>汣</t>
    </r>
  </si>
  <si>
    <r>
      <t>白酒;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</t>
    </r>
  </si>
  <si>
    <r>
      <t>闯</t>
    </r>
    <r>
      <rPr>
        <sz val="11"/>
        <color theme="1"/>
        <rFont val="ＭＳ Ｐゴシック"/>
        <family val="3"/>
        <charset val="128"/>
        <scheme val="minor"/>
      </rPr>
      <t>逍遥</t>
    </r>
  </si>
  <si>
    <r>
      <t>李声</t>
    </r>
    <r>
      <rPr>
        <sz val="11"/>
        <color theme="1"/>
        <rFont val="ＭＳ Ｐゴシック"/>
        <family val="3"/>
        <charset val="134"/>
        <scheme val="minor"/>
      </rPr>
      <t>银</t>
    </r>
  </si>
  <si>
    <r>
      <t>果酒; 利口酒; 白酒; 清酒（日本米酒）; 梅酒;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</t>
    </r>
  </si>
  <si>
    <t>蜜几</t>
  </si>
  <si>
    <r>
      <t>甘</t>
    </r>
    <r>
      <rPr>
        <sz val="11"/>
        <color theme="1"/>
        <rFont val="ＭＳ Ｐゴシック"/>
        <family val="3"/>
        <charset val="134"/>
        <scheme val="minor"/>
      </rPr>
      <t>肃</t>
    </r>
    <r>
      <rPr>
        <sz val="11"/>
        <color theme="1"/>
        <rFont val="ＭＳ Ｐゴシック"/>
        <family val="3"/>
        <charset val="128"/>
        <scheme val="minor"/>
      </rPr>
      <t>蜂</t>
    </r>
    <r>
      <rPr>
        <sz val="11"/>
        <color theme="1"/>
        <rFont val="ＭＳ Ｐゴシック"/>
        <family val="3"/>
        <charset val="129"/>
        <scheme val="minor"/>
      </rPr>
      <t>嗡嗡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酵酒有限公司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</si>
  <si>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汽酒; 苹果酒; 蜂蜜酒; 果酒（含酒精）; 米酒</t>
    </r>
  </si>
  <si>
    <r>
      <t>顺</t>
    </r>
    <r>
      <rPr>
        <sz val="11"/>
        <color theme="1"/>
        <rFont val="ＭＳ Ｐゴシック"/>
        <family val="3"/>
        <charset val="128"/>
        <scheme val="minor"/>
      </rPr>
      <t>心佳禾</t>
    </r>
  </si>
  <si>
    <r>
      <t>建德市大洋惠兵家庭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</si>
  <si>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</si>
  <si>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膏</t>
    </r>
    <r>
      <rPr>
        <sz val="11"/>
        <color theme="1"/>
        <rFont val="ＭＳ Ｐゴシック"/>
        <family val="3"/>
        <charset val="134"/>
        <scheme val="minor"/>
      </rPr>
      <t>泽</t>
    </r>
  </si>
  <si>
    <t>梁波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</si>
  <si>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</si>
  <si>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殷</t>
    </r>
    <r>
      <rPr>
        <sz val="11"/>
        <color theme="1"/>
        <rFont val="ＭＳ Ｐゴシック"/>
        <family val="3"/>
        <charset val="134"/>
        <scheme val="minor"/>
      </rPr>
      <t>罗烧</t>
    </r>
    <r>
      <rPr>
        <sz val="11"/>
        <color theme="1"/>
        <rFont val="ＭＳ Ｐゴシック"/>
        <family val="3"/>
        <charset val="128"/>
        <scheme val="minor"/>
      </rPr>
      <t>坊酒谷</t>
    </r>
  </si>
  <si>
    <r>
      <t xml:space="preserve">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烈酒; 米酒;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</si>
  <si>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福泉泉酒</t>
  </si>
  <si>
    <r>
      <t>朱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珊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</si>
  <si>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黄酒; 朗姆酒; 葡萄酒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</si>
  <si>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白干酒（中国白酒）; 果酒（含酒精）</t>
    </r>
  </si>
  <si>
    <t>湛川</t>
  </si>
  <si>
    <r>
      <t>湛江市岭先酒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</si>
  <si>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高粱酒; 白干酒（中国白酒）;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米酒; 烈酒; 清酒（日本米酒）; 白酒; 露酒</t>
    </r>
  </si>
  <si>
    <t>禾大侠</t>
  </si>
  <si>
    <r>
      <t>露酒;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果酒; 白酒; 米酒; 烈酒; 果酒（含酒精）; 清酒（日本米酒）</t>
    </r>
  </si>
  <si>
    <t>孔令君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</si>
  <si>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州毛韵芙蓉王酒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</si>
  <si>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开胃酒</t>
    </r>
  </si>
  <si>
    <t>茶仙化馝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</si>
  <si>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焘</t>
    </r>
    <r>
      <rPr>
        <sz val="11"/>
        <color theme="1"/>
        <rFont val="ＭＳ Ｐゴシック"/>
        <family val="3"/>
        <charset val="128"/>
        <scheme val="minor"/>
      </rPr>
      <t>澍餐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</si>
  <si>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黄酒; 葡萄酒; 果酒;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青稞酒; 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</si>
  <si>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波普麦浪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</si>
  <si>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汽酒;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黄酒; 果酒（含酒精）; 葡萄酒</t>
    </r>
  </si>
  <si>
    <r>
      <t>虚</t>
    </r>
    <r>
      <rPr>
        <sz val="11"/>
        <color theme="1"/>
        <rFont val="ＭＳ Ｐゴシック"/>
        <family val="3"/>
        <charset val="134"/>
        <scheme val="minor"/>
      </rPr>
      <t>实</t>
    </r>
    <r>
      <rPr>
        <sz val="11"/>
        <color theme="1"/>
        <rFont val="ＭＳ Ｐゴシック"/>
        <family val="3"/>
        <charset val="128"/>
        <scheme val="minor"/>
      </rPr>
      <t>耕</t>
    </r>
  </si>
  <si>
    <t>安吉世楷粮食种植有限公司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</si>
  <si>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葡萄酒;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汽酒; 白酒</t>
    </r>
  </si>
  <si>
    <r>
      <t>庞</t>
    </r>
    <r>
      <rPr>
        <sz val="11"/>
        <color theme="1"/>
        <rFont val="ＭＳ Ｐゴシック"/>
        <family val="3"/>
        <charset val="128"/>
        <scheme val="minor"/>
      </rPr>
      <t>泉化无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</si>
  <si>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蒸煮提取物（利口酒和烈酒）; 食用酒精; 白酒;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葡萄酒; 黄酒;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</si>
  <si>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诺</t>
    </r>
    <r>
      <rPr>
        <sz val="11"/>
        <color theme="1"/>
        <rFont val="ＭＳ Ｐゴシック"/>
        <family val="3"/>
        <charset val="128"/>
        <scheme val="minor"/>
      </rPr>
      <t>邑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</si>
  <si>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伏特加酒;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</si>
  <si>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柔在心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</si>
  <si>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承乾启厚品牌管理有限公司</t>
    </r>
  </si>
  <si>
    <r>
      <t>清酒（日本米酒）;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白酒;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</t>
    </r>
  </si>
  <si>
    <t>裕棠禧</t>
  </si>
  <si>
    <t>肖兆勇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</si>
  <si>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黄酒; 白酒; 果酒（含酒精）; 葡萄酒</t>
    </r>
  </si>
  <si>
    <r>
      <t>咖</t>
    </r>
    <r>
      <rPr>
        <sz val="11"/>
        <color theme="1"/>
        <rFont val="ＭＳ Ｐゴシック"/>
        <family val="3"/>
        <charset val="134"/>
        <scheme val="minor"/>
      </rPr>
      <t>粸</t>
    </r>
    <r>
      <rPr>
        <sz val="11"/>
        <color theme="1"/>
        <rFont val="ＭＳ Ｐゴシック"/>
        <family val="3"/>
        <charset val="128"/>
        <scheme val="minor"/>
      </rPr>
      <t>牧</t>
    </r>
  </si>
  <si>
    <t>王安定</t>
  </si>
  <si>
    <r>
      <t>伏特加酒; 汽酒; 黄酒; 白酒; 威士忌; 果酒（含酒精）; 餐后酒（利口酒和烈酒）;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</si>
  <si>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水云巷</t>
  </si>
  <si>
    <r>
      <t>广州市冠森</t>
    </r>
    <r>
      <rPr>
        <sz val="11"/>
        <color theme="1"/>
        <rFont val="ＭＳ Ｐゴシック"/>
        <family val="3"/>
        <charset val="134"/>
        <scheme val="minor"/>
      </rPr>
      <t>资产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</si>
  <si>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杜松子酒;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</si>
  <si>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尧</t>
    </r>
    <r>
      <rPr>
        <sz val="11"/>
        <color theme="1"/>
        <rFont val="ＭＳ Ｐゴシック"/>
        <family val="3"/>
        <charset val="128"/>
        <scheme val="minor"/>
      </rPr>
      <t>珈</t>
    </r>
  </si>
  <si>
    <t>浙江种草咖啡有限公司</t>
  </si>
  <si>
    <r>
      <t>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开胃酒; 薄荷酒;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</si>
  <si>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州南国估台酒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</si>
  <si>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伏特加酒;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米酒;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</si>
  <si>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杭州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歌网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</si>
  <si>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果酒（含酒精）; 威士忌;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</si>
  <si>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麦悠蒂</t>
  </si>
  <si>
    <r>
      <t>蒸煮提取物（利口酒和烈酒）; 白酒; 果酒（含酒精）; 葡萄酒;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米酒</t>
    </r>
  </si>
  <si>
    <t>定裕芳</t>
  </si>
  <si>
    <r>
      <t>洛阳市西工区永芳养生保健</t>
    </r>
    <r>
      <rPr>
        <sz val="11"/>
        <color theme="1"/>
        <rFont val="ＭＳ Ｐゴシック"/>
        <family val="3"/>
        <charset val="134"/>
        <scheme val="minor"/>
      </rPr>
      <t>馆</t>
    </r>
    <r>
      <rPr>
        <sz val="11"/>
        <color theme="1"/>
        <rFont val="ＭＳ Ｐゴシック"/>
        <family val="3"/>
        <charset val="128"/>
        <scheme val="minor"/>
      </rPr>
      <t>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</si>
  <si>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</si>
  <si>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亚</t>
    </r>
    <r>
      <rPr>
        <sz val="11"/>
        <color theme="1"/>
        <rFont val="ＭＳ Ｐゴシック"/>
        <family val="3"/>
        <charset val="128"/>
        <scheme val="minor"/>
      </rPr>
      <t>甘神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</si>
  <si>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</si>
  <si>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芒荷</t>
  </si>
  <si>
    <r>
      <t>北京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康德科技咨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</si>
  <si>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</si>
  <si>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拙造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</si>
  <si>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米酒; 果酒（含酒精）; 伏特加酒; 餐后酒（利口酒和烈酒）; 含酒精的气泡水; 清酒; 威士忌; 葡萄酒</t>
    </r>
  </si>
  <si>
    <r>
      <t>升</t>
    </r>
    <r>
      <rPr>
        <sz val="11"/>
        <color theme="1"/>
        <rFont val="ＭＳ Ｐゴシック"/>
        <family val="3"/>
        <charset val="134"/>
        <scheme val="minor"/>
      </rPr>
      <t>荫</t>
    </r>
    <r>
      <rPr>
        <sz val="11"/>
        <color theme="1"/>
        <rFont val="ＭＳ Ｐゴシック"/>
        <family val="3"/>
        <charset val="128"/>
        <scheme val="minor"/>
      </rPr>
      <t>台</t>
    </r>
  </si>
  <si>
    <t>秦素珍</t>
  </si>
  <si>
    <r>
      <t>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白酒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</si>
  <si>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之</t>
    </r>
    <r>
      <rPr>
        <sz val="11"/>
        <color theme="1"/>
        <rFont val="ＭＳ Ｐゴシック"/>
        <family val="3"/>
        <charset val="134"/>
        <scheme val="minor"/>
      </rPr>
      <t>颂</t>
    </r>
  </si>
  <si>
    <r>
      <t xml:space="preserve">清酒（日本米酒）; 开胃酒;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薄荷酒;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</si>
  <si>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芳初</t>
    </r>
  </si>
  <si>
    <t>王淑婉</t>
  </si>
  <si>
    <t>甜酒; 黄酒; 开胃酒; 葡萄酒; 食用酒精; 白酒; 果酒; 清酒; 米酒; 汽酒</t>
  </si>
  <si>
    <t>徐洲</t>
  </si>
  <si>
    <r>
      <t xml:space="preserve">甜酒; 果酒; 清酒; 白酒; 苹果酒; 青梅酒; 葡萄酒;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梅酒</t>
    </r>
  </si>
  <si>
    <r>
      <t>臻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天祥</t>
    </r>
  </si>
  <si>
    <r>
      <t>宜</t>
    </r>
    <r>
      <rPr>
        <sz val="11"/>
        <color theme="1"/>
        <rFont val="ＭＳ Ｐゴシック"/>
        <family val="3"/>
        <charset val="134"/>
        <scheme val="minor"/>
      </rPr>
      <t>宾酿艺</t>
    </r>
    <r>
      <rPr>
        <sz val="11"/>
        <color theme="1"/>
        <rFont val="ＭＳ Ｐゴシック"/>
        <family val="3"/>
        <charset val="128"/>
        <scheme val="minor"/>
      </rPr>
      <t>堂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</si>
  <si>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黄酒; 葡萄酒; 食用酒精;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清酒（日本米酒）</t>
    </r>
  </si>
  <si>
    <r>
      <t>玺</t>
    </r>
    <r>
      <rPr>
        <sz val="11"/>
        <color theme="1"/>
        <rFont val="ＭＳ Ｐゴシック"/>
        <family val="3"/>
        <charset val="128"/>
        <scheme val="minor"/>
      </rPr>
      <t>芝林</t>
    </r>
  </si>
  <si>
    <t>新余明坤科技有限公司</t>
  </si>
  <si>
    <r>
      <t>黄酒; 高粱酒; 葡萄酒; 青稞酒; 白酒; 清酒（日本米酒）;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威士忌; 果酒（含酒精）</t>
    </r>
  </si>
  <si>
    <r>
      <t>浙江江心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味食品有限公司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</si>
  <si>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</t>
    </r>
  </si>
  <si>
    <r>
      <t>吾比</t>
    </r>
    <r>
      <rPr>
        <sz val="11"/>
        <color theme="1"/>
        <rFont val="ＭＳ Ｐゴシック"/>
        <family val="3"/>
        <charset val="134"/>
        <scheme val="minor"/>
      </rPr>
      <t>欢</t>
    </r>
  </si>
  <si>
    <t>凌宝春</t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</si>
  <si>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葡萄酒; 威士忌; 果酒（含酒精）; 烈酒;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</si>
  <si>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唛</t>
    </r>
    <r>
      <rPr>
        <sz val="11"/>
        <color theme="1"/>
        <rFont val="ＭＳ Ｐゴシック"/>
        <family val="3"/>
        <charset val="128"/>
        <scheme val="minor"/>
      </rPr>
      <t>雅公爵</t>
    </r>
  </si>
  <si>
    <r>
      <t>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</si>
  <si>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慰人心</t>
  </si>
  <si>
    <t>黄志恩</t>
  </si>
  <si>
    <r>
      <t xml:space="preserve">威士忌;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食用酒精; 米酒; 白酒</t>
    </r>
  </si>
  <si>
    <r>
      <t>每家</t>
    </r>
    <r>
      <rPr>
        <sz val="11"/>
        <color theme="1"/>
        <rFont val="ＭＳ Ｐゴシック"/>
        <family val="3"/>
        <charset val="129"/>
        <scheme val="minor"/>
      </rPr>
      <t>优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</si>
  <si>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龙</t>
    </r>
  </si>
  <si>
    <t>甜酒; 葡萄酒; 食用酒精; 黄酒; 清酒; 白酒; 开胃酒; 果酒; 米酒; 汽酒</t>
  </si>
  <si>
    <t>桃儿湾</t>
  </si>
  <si>
    <r>
      <t>固阳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巴特蒙郭勒家庭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牧</t>
    </r>
    <r>
      <rPr>
        <sz val="11"/>
        <color theme="1"/>
        <rFont val="ＭＳ Ｐゴシック"/>
        <family val="3"/>
        <charset val="134"/>
        <scheme val="minor"/>
      </rPr>
      <t>场</t>
    </r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</si>
  <si>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</si>
  <si>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众</t>
    </r>
    <r>
      <rPr>
        <sz val="11"/>
        <color theme="1"/>
        <rFont val="ＭＳ Ｐゴシック"/>
        <family val="3"/>
        <charset val="134"/>
        <scheme val="minor"/>
      </rPr>
      <t>辉桦</t>
    </r>
    <r>
      <rPr>
        <sz val="11"/>
        <color theme="1"/>
        <rFont val="ＭＳ Ｐゴシック"/>
        <family val="3"/>
        <charset val="128"/>
        <scheme val="minor"/>
      </rPr>
      <t>康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</si>
  <si>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蜂蜜酒; 米酒;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</si>
  <si>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嘉莱利</t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</si>
  <si>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葡萄酒;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</si>
  <si>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启排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</si>
  <si>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花好月</t>
    </r>
    <r>
      <rPr>
        <sz val="11"/>
        <color theme="1"/>
        <rFont val="ＭＳ Ｐゴシック"/>
        <family val="3"/>
        <charset val="134"/>
        <scheme val="minor"/>
      </rPr>
      <t>圆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</si>
  <si>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清酒（日本米酒）;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果酒; 开胃酒</t>
    </r>
  </si>
  <si>
    <r>
      <t>庞</t>
    </r>
    <r>
      <rPr>
        <sz val="11"/>
        <color theme="1"/>
        <rFont val="ＭＳ Ｐゴシック"/>
        <family val="3"/>
        <charset val="128"/>
        <scheme val="minor"/>
      </rPr>
      <t>泉久夏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</si>
  <si>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蒸煮提取物（利口酒和烈酒）; 葡萄酒; 白酒; 黄酒; 白干酒（中国白酒）;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</si>
  <si>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梁丹丹******************</t>
  </si>
  <si>
    <r>
      <t>白酒;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高粱酒; 烈酒; 果酒; 黄酒</t>
    </r>
  </si>
  <si>
    <r>
      <t>雅之</t>
    </r>
    <r>
      <rPr>
        <sz val="11"/>
        <color theme="1"/>
        <rFont val="ＭＳ Ｐゴシック"/>
        <family val="3"/>
        <charset val="134"/>
        <scheme val="minor"/>
      </rPr>
      <t>酿</t>
    </r>
  </si>
  <si>
    <t>李静</t>
  </si>
  <si>
    <r>
      <t>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白酒; 清酒; 果酒; 米酒; 烈酒</t>
    </r>
  </si>
  <si>
    <r>
      <t>美寓</t>
    </r>
    <r>
      <rPr>
        <sz val="11"/>
        <color theme="1"/>
        <rFont val="ＭＳ Ｐゴシック"/>
        <family val="3"/>
        <charset val="134"/>
        <scheme val="minor"/>
      </rPr>
      <t>诗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</si>
  <si>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州城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索克科技服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</si>
  <si>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威士忌</t>
    </r>
  </si>
  <si>
    <r>
      <t>湖南湘温企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</si>
  <si>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黄酒;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白干酒（中国白酒）; 高粱酒; 露酒; 葡萄酒; 白酒</t>
    </r>
  </si>
  <si>
    <t>梦回舌尖</t>
  </si>
  <si>
    <t>四川珍宇食品有限公司</t>
  </si>
  <si>
    <r>
      <t>蒸煮提取物（利口酒和烈酒）; 烈酒;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白干酒（中国白酒）; 白酒; 葡萄酒;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</si>
  <si>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漫草荣</t>
  </si>
  <si>
    <t>佟佳倪</t>
  </si>
  <si>
    <r>
      <t>果酒（含酒精）; 苹果酒;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食用酒精;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</t>
    </r>
  </si>
  <si>
    <t>俊珅麦阳</t>
  </si>
  <si>
    <r>
      <t>广西靖西麦阳啤酒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造有限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</si>
  <si>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青稞酒;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</t>
    </r>
  </si>
  <si>
    <t>LE TAUREAU GALOPANT</t>
  </si>
  <si>
    <r>
      <t>吴弗里西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梅</t>
    </r>
  </si>
  <si>
    <r>
      <t xml:space="preserve">葡萄酒; 葡萄汽酒;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</si>
  <si>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榛苓</t>
  </si>
  <si>
    <r>
      <t>长</t>
    </r>
    <r>
      <rPr>
        <sz val="11"/>
        <color theme="1"/>
        <rFont val="ＭＳ Ｐゴシック"/>
        <family val="3"/>
        <charset val="128"/>
        <scheme val="minor"/>
      </rPr>
      <t>春市宝茶商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</si>
  <si>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葡萄酒; 米酒; 果酒（含酒精）; 白酒; 清酒</t>
    </r>
  </si>
  <si>
    <t>八御</t>
  </si>
  <si>
    <t>刘益松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</si>
  <si>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烈酒; 威士忌;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</si>
  <si>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r>
      <t>德</t>
    </r>
    <r>
      <rPr>
        <sz val="11"/>
        <color theme="1"/>
        <rFont val="ＭＳ Ｐゴシック"/>
        <family val="3"/>
        <charset val="134"/>
        <scheme val="minor"/>
      </rPr>
      <t>说</t>
    </r>
  </si>
  <si>
    <r>
      <t>食用酒精;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黄酒;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</si>
  <si>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豫原</t>
    </r>
  </si>
  <si>
    <r>
      <t>王振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</si>
  <si>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</si>
  <si>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殷</t>
    </r>
    <r>
      <rPr>
        <sz val="11"/>
        <color theme="1"/>
        <rFont val="ＭＳ Ｐゴシック"/>
        <family val="3"/>
        <charset val="134"/>
        <scheme val="minor"/>
      </rPr>
      <t>罗烧</t>
    </r>
    <r>
      <rPr>
        <sz val="11"/>
        <color theme="1"/>
        <rFont val="ＭＳ Ｐゴシック"/>
        <family val="3"/>
        <charset val="128"/>
        <scheme val="minor"/>
      </rPr>
      <t>坊庄园</t>
    </r>
  </si>
  <si>
    <r>
      <t xml:space="preserve">烈酒;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</si>
  <si>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r>
      <t>财满</t>
    </r>
    <r>
      <rPr>
        <sz val="11"/>
        <color theme="1"/>
        <rFont val="ＭＳ Ｐゴシック"/>
        <family val="3"/>
        <charset val="128"/>
        <scheme val="minor"/>
      </rPr>
      <t>樽</t>
    </r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</si>
  <si>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米酒; 葡萄酒; 果酒;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</si>
  <si>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老山山河</t>
  </si>
  <si>
    <r>
      <t>果酒（含酒精）; 白酒;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葡萄酒</t>
    </r>
  </si>
  <si>
    <r>
      <t>智勇圣</t>
    </r>
    <r>
      <rPr>
        <sz val="11"/>
        <color theme="1"/>
        <rFont val="ＭＳ Ｐゴシック"/>
        <family val="3"/>
        <charset val="134"/>
        <scheme val="minor"/>
      </rPr>
      <t>贤</t>
    </r>
  </si>
  <si>
    <r>
      <t>宋俊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</si>
  <si>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露酒; 葡萄酒; 米酒</t>
    </r>
  </si>
  <si>
    <r>
      <t>芯好月</t>
    </r>
    <r>
      <rPr>
        <sz val="11"/>
        <color theme="1"/>
        <rFont val="ＭＳ Ｐゴシック"/>
        <family val="3"/>
        <charset val="134"/>
        <scheme val="minor"/>
      </rPr>
      <t>圆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</si>
  <si>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开胃酒; 白酒</t>
    </r>
  </si>
  <si>
    <r>
      <t>宗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世</t>
    </r>
  </si>
  <si>
    <r>
      <t>王少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</si>
  <si>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威士忌; 烈酒; 葡萄酒; 清酒（日本米酒）; 黄酒; 白酒</t>
    </r>
  </si>
  <si>
    <t>漱藤阿</t>
  </si>
  <si>
    <r>
      <t>杭州</t>
    </r>
    <r>
      <rPr>
        <sz val="11"/>
        <color theme="1"/>
        <rFont val="ＭＳ Ｐゴシック"/>
        <family val="3"/>
        <charset val="134"/>
        <scheme val="minor"/>
      </rPr>
      <t>艺镜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艺术</t>
    </r>
    <r>
      <rPr>
        <sz val="11"/>
        <color theme="1"/>
        <rFont val="ＭＳ Ｐゴシック"/>
        <family val="3"/>
        <charset val="128"/>
        <scheme val="minor"/>
      </rPr>
      <t>策划有限公司</t>
    </r>
  </si>
  <si>
    <r>
      <t>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果酒; 米酒; 黄酒; 葡萄酒; 梅酒; 水果汽酒; 白干酒（中国白酒）; 朗姆酒</t>
    </r>
  </si>
  <si>
    <t>善夫子</t>
  </si>
  <si>
    <r>
      <t>成都善夫子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</si>
  <si>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米酒; 蜂蜜酒; 食用酒精; 黄酒;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白酒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</si>
  <si>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老祖</t>
    </r>
  </si>
  <si>
    <t>久美正里多知</t>
  </si>
  <si>
    <r>
      <t>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</si>
  <si>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拾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珍</t>
    </r>
    <r>
      <rPr>
        <sz val="11"/>
        <color theme="1"/>
        <rFont val="ＭＳ Ｐゴシック"/>
        <family val="3"/>
        <charset val="134"/>
        <scheme val="minor"/>
      </rPr>
      <t>尝</t>
    </r>
  </si>
  <si>
    <r>
      <t>陈伟</t>
    </r>
    <r>
      <rPr>
        <sz val="11"/>
        <color theme="1"/>
        <rFont val="ＭＳ Ｐゴシック"/>
        <family val="3"/>
        <charset val="128"/>
        <scheme val="minor"/>
      </rPr>
      <t>武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</si>
  <si>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开胃酒; 食用酒精; 清酒;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</si>
  <si>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塞江湖</t>
  </si>
  <si>
    <r>
      <t xml:space="preserve">白酒; 清酒（日本米酒）;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烈酒;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</si>
  <si>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DILILILILI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</si>
  <si>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葡萄酒;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</si>
  <si>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拾</t>
    </r>
    <r>
      <rPr>
        <sz val="11"/>
        <color theme="1"/>
        <rFont val="ＭＳ Ｐゴシック"/>
        <family val="3"/>
        <charset val="134"/>
        <scheme val="minor"/>
      </rPr>
      <t>贝东</t>
    </r>
    <r>
      <rPr>
        <sz val="11"/>
        <color theme="1"/>
        <rFont val="ＭＳ Ｐゴシック"/>
        <family val="3"/>
        <charset val="128"/>
        <scheme val="minor"/>
      </rPr>
      <t>岸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</si>
  <si>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威士忌;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食用酒精</t>
    </r>
  </si>
  <si>
    <t>宴吉祥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</si>
  <si>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市盛合金源酒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</si>
  <si>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苹果酒; 白酒; 伏特加酒</t>
    </r>
  </si>
  <si>
    <r>
      <t>广西茶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天餐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</si>
  <si>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苹果酒; 餐后酒（利口酒和烈酒）; 蜂蜜酒; 清酒（日本米酒）;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白酒; 薄荷酒;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</si>
  <si>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圣草峰</t>
  </si>
  <si>
    <r>
      <t>润苍</t>
    </r>
    <r>
      <rPr>
        <sz val="11"/>
        <color theme="1"/>
        <rFont val="ＭＳ Ｐゴシック"/>
        <family val="3"/>
        <charset val="128"/>
        <scheme val="minor"/>
      </rPr>
      <t>生健康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（云南）有限公司</t>
    </r>
  </si>
  <si>
    <r>
      <t>蒸煮提取物（利口酒和烈酒）;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食用酒精; 青稞酒</t>
    </r>
  </si>
  <si>
    <r>
      <t>词</t>
    </r>
    <r>
      <rPr>
        <sz val="11"/>
        <color theme="1"/>
        <rFont val="ＭＳ Ｐゴシック"/>
        <family val="3"/>
        <charset val="128"/>
        <scheme val="minor"/>
      </rPr>
      <t>中之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</si>
  <si>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金峰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</si>
  <si>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果酒;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葡萄酒; 白酒</t>
    </r>
  </si>
  <si>
    <t>KENSONIC</t>
  </si>
  <si>
    <r>
      <t>深圳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森尼克智能科技有限公司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</si>
  <si>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苹果酒; 伏特加酒; 青稞酒; 蜂蜜酒; 米酒; 白酒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</si>
  <si>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</si>
  <si>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竹叶</t>
    </r>
    <r>
      <rPr>
        <sz val="11"/>
        <color theme="1"/>
        <rFont val="ＭＳ Ｐゴシック"/>
        <family val="3"/>
        <charset val="134"/>
        <scheme val="minor"/>
      </rPr>
      <t>顺</t>
    </r>
  </si>
  <si>
    <t>刘翔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</si>
  <si>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食用酒精;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</si>
  <si>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养茜子</t>
  </si>
  <si>
    <t>吴秀成</t>
  </si>
  <si>
    <r>
      <t>威士忌;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黄酒;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露酒</t>
    </r>
  </si>
  <si>
    <t>路易艾森伯爵</t>
  </si>
  <si>
    <r>
      <t>刘玉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</si>
  <si>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果酒; 威士忌; 朗姆酒;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</si>
  <si>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州茅之香酒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</si>
  <si>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果酒（含酒精）; 蜂蜜酒; 黄酒;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</si>
  <si>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百江鼎</t>
  </si>
  <si>
    <t>蔡康炳</t>
  </si>
  <si>
    <r>
      <t>威士忌; 青稞酒;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</si>
  <si>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志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潭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</si>
  <si>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青稞酒;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</si>
  <si>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心生</t>
    </r>
  </si>
  <si>
    <r>
      <t xml:space="preserve">白葡萄酒; 薄荷酒; 果酒（含酒精）; 清酒（日本米酒）; 烈酒;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水果汽酒; 青稞酒; 白酒; 黄酒</t>
    </r>
  </si>
  <si>
    <t>杏䒫</t>
  </si>
  <si>
    <t>李丕喜</t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</si>
  <si>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蒸煮提取物（利口酒和烈酒）;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米酒; 果酒（含酒精）; 葡萄酒; 黄酒</t>
    </r>
  </si>
  <si>
    <t>百棋盟</t>
  </si>
  <si>
    <r>
      <t>云南天泉云舟商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</si>
  <si>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尼瓦（以甘蔗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</t>
    </r>
  </si>
  <si>
    <r>
      <t>圈恋</t>
    </r>
    <r>
      <rPr>
        <sz val="11"/>
        <color theme="1"/>
        <rFont val="ＭＳ Ｐゴシック"/>
        <family val="3"/>
        <charset val="134"/>
        <scheme val="minor"/>
      </rPr>
      <t>琼浆</t>
    </r>
  </si>
  <si>
    <t>张闪闪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</si>
  <si>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黄酒;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</t>
    </r>
  </si>
  <si>
    <r>
      <t>金牛奔</t>
    </r>
    <r>
      <rPr>
        <sz val="11"/>
        <color theme="1"/>
        <rFont val="ＭＳ Ｐゴシック"/>
        <family val="3"/>
        <charset val="134"/>
        <scheme val="minor"/>
      </rPr>
      <t>腾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</si>
  <si>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</si>
  <si>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南梦枝</t>
  </si>
  <si>
    <r>
      <t>深圳市智德源投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</si>
  <si>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汽酒;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</si>
  <si>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三篇</t>
    </r>
  </si>
  <si>
    <r>
      <t>河北曲滏玉堂春白酒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造有限公司</t>
    </r>
  </si>
  <si>
    <r>
      <t xml:space="preserve">苹果酒; 白酒; 酸酒（低等葡萄酒）;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</t>
    </r>
  </si>
  <si>
    <r>
      <t>庞</t>
    </r>
    <r>
      <rPr>
        <sz val="11"/>
        <color theme="1"/>
        <rFont val="ＭＳ Ｐゴシック"/>
        <family val="3"/>
        <charset val="128"/>
        <scheme val="minor"/>
      </rPr>
      <t>泉酒庄</t>
    </r>
  </si>
  <si>
    <r>
      <t>白酒; 白干酒（中国白酒）; 蒸煮提取物（利口酒和烈酒）; 高粱酒;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</si>
  <si>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刚刚</t>
    </r>
    <r>
      <rPr>
        <sz val="11"/>
        <color theme="1"/>
        <rFont val="ＭＳ Ｐゴシック"/>
        <family val="3"/>
        <charset val="128"/>
        <scheme val="minor"/>
      </rPr>
      <t>基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</si>
  <si>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春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</si>
  <si>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烈酒;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</si>
  <si>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卢维</t>
    </r>
    <r>
      <rPr>
        <sz val="11"/>
        <color theme="1"/>
        <rFont val="ＭＳ Ｐゴシック"/>
        <family val="3"/>
        <charset val="128"/>
        <scheme val="minor"/>
      </rPr>
      <t>斯·康蒂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</si>
  <si>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料(啤酒除外);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烈酒; 伏特加酒</t>
    </r>
  </si>
  <si>
    <t>路易法德伯爵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</si>
  <si>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果酒;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伏特加酒; 白酒; 蒸煮提取物（利口酒和烈酒）; 葡萄酒;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</si>
  <si>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冠</t>
    </r>
    <r>
      <rPr>
        <sz val="11"/>
        <color theme="1"/>
        <rFont val="ＭＳ Ｐゴシック"/>
        <family val="3"/>
        <charset val="134"/>
        <scheme val="minor"/>
      </rPr>
      <t>铎</t>
    </r>
  </si>
  <si>
    <r>
      <t>云南冠</t>
    </r>
    <r>
      <rPr>
        <sz val="11"/>
        <color theme="1"/>
        <rFont val="ＭＳ Ｐゴシック"/>
        <family val="3"/>
        <charset val="129"/>
        <scheme val="minor"/>
      </rPr>
      <t>朵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</si>
  <si>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露酒;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</t>
    </r>
  </si>
  <si>
    <r>
      <t>赤</t>
    </r>
    <r>
      <rPr>
        <sz val="11"/>
        <color theme="1"/>
        <rFont val="ＭＳ Ｐゴシック"/>
        <family val="3"/>
        <charset val="134"/>
        <scheme val="minor"/>
      </rPr>
      <t>赏</t>
    </r>
  </si>
  <si>
    <r>
      <t>杜</t>
    </r>
    <r>
      <rPr>
        <sz val="11"/>
        <color theme="1"/>
        <rFont val="ＭＳ Ｐゴシック"/>
        <family val="3"/>
        <charset val="134"/>
        <scheme val="minor"/>
      </rPr>
      <t>龙风</t>
    </r>
  </si>
  <si>
    <r>
      <t>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威士忌;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</si>
  <si>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天朝八方</t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</si>
  <si>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黄酒; 米酒; 葡萄酒; 利口酒;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</si>
  <si>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岷</t>
    </r>
    <r>
      <rPr>
        <sz val="11"/>
        <color theme="1"/>
        <rFont val="ＭＳ Ｐゴシック"/>
        <family val="3"/>
        <charset val="134"/>
        <scheme val="minor"/>
      </rPr>
      <t>归</t>
    </r>
    <r>
      <rPr>
        <sz val="11"/>
        <color theme="1"/>
        <rFont val="ＭＳ Ｐゴシック"/>
        <family val="3"/>
        <charset val="128"/>
        <scheme val="minor"/>
      </rPr>
      <t>一棵</t>
    </r>
    <r>
      <rPr>
        <sz val="11"/>
        <color theme="1"/>
        <rFont val="ＭＳ Ｐゴシック"/>
        <family val="3"/>
        <charset val="134"/>
        <scheme val="minor"/>
      </rPr>
      <t>树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</si>
  <si>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斌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</si>
  <si>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黄酒;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</si>
  <si>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尚志市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布力</t>
    </r>
    <r>
      <rPr>
        <sz val="11"/>
        <color theme="1"/>
        <rFont val="ＭＳ Ｐゴシック"/>
        <family val="3"/>
        <charset val="134"/>
        <scheme val="minor"/>
      </rPr>
      <t>华兴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</si>
  <si>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清酒; 威士忌; 果酒（含酒精）;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蜂蜜酒; 米酒</t>
    </r>
  </si>
  <si>
    <t>今品谷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</si>
  <si>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黄酒; 露酒; 清酒</t>
    </r>
  </si>
  <si>
    <t>仙永春</t>
  </si>
  <si>
    <t>朱永春</t>
  </si>
  <si>
    <r>
      <t>伏特加酒;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</si>
  <si>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燕江福源</t>
  </si>
  <si>
    <r>
      <t>广西千翊科技有限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</si>
  <si>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青稞酒; 甜果酒; 威士忌;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</si>
  <si>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延小城</t>
  </si>
  <si>
    <t>延吉市源达民俗食品有限公司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</si>
  <si>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蜂蜜酒;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白葡萄酒; 白酒</t>
    </r>
  </si>
  <si>
    <t>泰吉台</t>
  </si>
  <si>
    <r>
      <t>乔</t>
    </r>
    <r>
      <rPr>
        <sz val="11"/>
        <color theme="1"/>
        <rFont val="ＭＳ Ｐゴシック"/>
        <family val="3"/>
        <charset val="128"/>
        <scheme val="minor"/>
      </rPr>
      <t>金生</t>
    </r>
  </si>
  <si>
    <r>
      <t xml:space="preserve">清酒（日本米酒）; 开胃酒;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蒸煮提取物（利口酒和烈酒）; 米酒; 葡萄酒</t>
    </r>
  </si>
  <si>
    <t>五味基</t>
  </si>
  <si>
    <t>彭登香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</si>
  <si>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米酒; 清酒（日本米酒）; 甜酒; 葡萄酒; 白酒; 黄酒; 果酒</t>
    </r>
  </si>
  <si>
    <t>再深回收</t>
  </si>
  <si>
    <r>
      <t>深圳市鑫淼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境科技技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</si>
  <si>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伏特加酒</t>
    </r>
  </si>
  <si>
    <r>
      <t>浊</t>
    </r>
    <r>
      <rPr>
        <sz val="11"/>
        <color theme="1"/>
        <rFont val="ＭＳ Ｐゴシック"/>
        <family val="3"/>
        <charset val="128"/>
        <scheme val="minor"/>
      </rPr>
      <t>麟仙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</si>
  <si>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州醉麟台酒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</si>
  <si>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果酒（含酒精）; 葡萄酒; 开胃酒;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</si>
  <si>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祥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</si>
  <si>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蜂蜜酒; 果酒（含酒精）; 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</t>
    </r>
  </si>
  <si>
    <r>
      <t>钟</t>
    </r>
    <r>
      <rPr>
        <sz val="11"/>
        <color theme="1"/>
        <rFont val="ＭＳ Ｐゴシック"/>
        <family val="3"/>
        <charset val="128"/>
        <scheme val="minor"/>
      </rPr>
      <t>鼎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一</t>
    </r>
  </si>
  <si>
    <r>
      <t>四川中德医养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股份公司</t>
    </r>
  </si>
  <si>
    <r>
      <t>黄酒;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</si>
  <si>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r>
      <t>金斗天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</si>
  <si>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袁正</t>
    </r>
    <r>
      <rPr>
        <sz val="11"/>
        <color theme="1"/>
        <rFont val="ＭＳ Ｐゴシック"/>
        <family val="3"/>
        <charset val="134"/>
        <scheme val="minor"/>
      </rPr>
      <t>书</t>
    </r>
  </si>
  <si>
    <r>
      <t>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米酒; 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果酒（含酒精）</t>
    </r>
  </si>
  <si>
    <t>YOLIN</t>
  </si>
  <si>
    <t>浙江曜林科技有限公司</t>
  </si>
  <si>
    <r>
      <t>苦味酒; 茴香酒（利口酒）;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苹果酒; 开胃酒;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茴芹酒（利口酒）; 果酒（含酒精）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</si>
  <si>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宴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将</t>
    </r>
  </si>
  <si>
    <t>朱小英</t>
  </si>
  <si>
    <r>
      <t>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米酒; 白酒</t>
    </r>
  </si>
  <si>
    <t>夙京台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</si>
  <si>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州京</t>
    </r>
    <r>
      <rPr>
        <sz val="11"/>
        <color theme="1"/>
        <rFont val="ＭＳ Ｐゴシック"/>
        <family val="3"/>
        <charset val="134"/>
        <scheme val="minor"/>
      </rPr>
      <t>谭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</si>
  <si>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白干酒（中国白酒）;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葡萄酒; 果酒（含酒精）; 白酒; 黄酒; 烈酒</t>
    </r>
  </si>
  <si>
    <r>
      <t>庆</t>
    </r>
    <r>
      <rPr>
        <sz val="11"/>
        <color theme="1"/>
        <rFont val="ＭＳ Ｐゴシック"/>
        <family val="3"/>
        <charset val="128"/>
        <scheme val="minor"/>
      </rPr>
      <t>昌泰</t>
    </r>
  </si>
  <si>
    <r>
      <t>米酒; 食用酒精; 白酒; 果酒（含酒精）;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</si>
  <si>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李悠</t>
  </si>
  <si>
    <r>
      <t>乌鲁</t>
    </r>
    <r>
      <rPr>
        <sz val="11"/>
        <color theme="1"/>
        <rFont val="ＭＳ Ｐゴシック"/>
        <family val="3"/>
        <charset val="128"/>
        <scheme val="minor"/>
      </rPr>
      <t>木</t>
    </r>
    <r>
      <rPr>
        <sz val="11"/>
        <color theme="1"/>
        <rFont val="ＭＳ Ｐゴシック"/>
        <family val="3"/>
        <charset val="134"/>
        <scheme val="minor"/>
      </rPr>
      <t>齐汇创</t>
    </r>
    <r>
      <rPr>
        <sz val="11"/>
        <color theme="1"/>
        <rFont val="ＭＳ Ｐゴシック"/>
        <family val="3"/>
        <charset val="128"/>
        <scheme val="minor"/>
      </rPr>
      <t>合信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</si>
  <si>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威士忌;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果酒; 开胃酒;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</si>
  <si>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丽</t>
    </r>
    <r>
      <rPr>
        <sz val="11"/>
        <color theme="1"/>
        <rFont val="ＭＳ Ｐゴシック"/>
        <family val="3"/>
        <charset val="128"/>
        <scheme val="minor"/>
      </rPr>
      <t>乎四源</t>
    </r>
  </si>
  <si>
    <r>
      <t>河南省承意健康管理咨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</si>
  <si>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白酒;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</si>
  <si>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君丰</t>
    </r>
    <r>
      <rPr>
        <sz val="11"/>
        <color theme="1"/>
        <rFont val="ＭＳ Ｐゴシック"/>
        <family val="3"/>
        <charset val="134"/>
        <scheme val="minor"/>
      </rPr>
      <t>颐</t>
    </r>
  </si>
  <si>
    <r>
      <t>宿迁嘉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</si>
  <si>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含酒精的气泡水; 黄酒</t>
    </r>
  </si>
  <si>
    <t>泉酩月</t>
  </si>
  <si>
    <r>
      <t>张</t>
    </r>
    <r>
      <rPr>
        <sz val="11"/>
        <color theme="1"/>
        <rFont val="ＭＳ Ｐゴシック"/>
        <family val="3"/>
        <charset val="128"/>
        <scheme val="minor"/>
      </rPr>
      <t>虎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</si>
  <si>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开胃酒;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蜂蜜酒; 白酒; 黄酒; 青稞酒</t>
    </r>
  </si>
  <si>
    <t>虞魂</t>
  </si>
  <si>
    <t>胡敏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</si>
  <si>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威士忌; 黄酒</t>
    </r>
  </si>
  <si>
    <r>
      <t>龄</t>
    </r>
    <r>
      <rPr>
        <sz val="11"/>
        <color theme="1"/>
        <rFont val="ＭＳ Ｐゴシック"/>
        <family val="3"/>
        <charset val="128"/>
        <scheme val="minor"/>
      </rPr>
      <t>皇</t>
    </r>
  </si>
  <si>
    <t>福建大思路信息科技有限公司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</si>
  <si>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果酒（含酒精）; 食用酒精</t>
    </r>
  </si>
  <si>
    <t>九荐</t>
  </si>
  <si>
    <r>
      <t>广州九</t>
    </r>
    <r>
      <rPr>
        <sz val="11"/>
        <color theme="1"/>
        <rFont val="ＭＳ Ｐゴシック"/>
        <family val="3"/>
        <charset val="134"/>
        <scheme val="minor"/>
      </rPr>
      <t>觅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意有限公司</t>
    </r>
  </si>
  <si>
    <r>
      <t>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蒸煮提取物（利口酒和烈酒）; 白酒; 食用酒精; 葡萄酒</t>
    </r>
  </si>
  <si>
    <t>将之勇</t>
  </si>
  <si>
    <t>舒巍</t>
  </si>
  <si>
    <r>
      <t>葡萄酒; 苹果酒; 餐后酒（利口酒和烈酒）; 白酒; 果酒（含酒精）; 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</si>
  <si>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葡</t>
    </r>
    <r>
      <rPr>
        <sz val="11"/>
        <color theme="1"/>
        <rFont val="ＭＳ Ｐゴシック"/>
        <family val="3"/>
        <charset val="134"/>
        <scheme val="minor"/>
      </rPr>
      <t>婵</t>
    </r>
  </si>
  <si>
    <r>
      <t>上海濠捷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</si>
  <si>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米酒;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</si>
  <si>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DEOTA</t>
  </si>
  <si>
    <t>成都德奥塔文化科技有限公司</t>
  </si>
  <si>
    <r>
      <t xml:space="preserve">葡萄酒; 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果酒; 白干酒（中国白酒）; 清酒;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伏特加酒; 青梅酒; 蜂蜜酒</t>
    </r>
  </si>
  <si>
    <t>金聚凰</t>
  </si>
  <si>
    <t>河南金聚凰生物科技有限公司</t>
  </si>
  <si>
    <r>
      <t xml:space="preserve">烈酒; 果酒; 利口酒;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清酒; 黄酒; 白酒</t>
    </r>
  </si>
  <si>
    <t>佬小二</t>
  </si>
  <si>
    <t>杨讯</t>
  </si>
  <si>
    <r>
      <t>白干酒（中国白酒）;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清酒; 果酒（含酒精）</t>
    </r>
  </si>
  <si>
    <t>楠河畔</t>
  </si>
  <si>
    <r>
      <t>马</t>
    </r>
    <r>
      <rPr>
        <sz val="11"/>
        <color theme="1"/>
        <rFont val="ＭＳ Ｐゴシック"/>
        <family val="3"/>
        <charset val="128"/>
        <scheme val="minor"/>
      </rPr>
      <t>金棉</t>
    </r>
  </si>
  <si>
    <r>
      <t xml:space="preserve">果酒;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薄荷酒; 白酒; 利口酒; 清酒;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</si>
  <si>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LITTLE PARROT BEBE</t>
  </si>
  <si>
    <r>
      <t>好玩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（广州）有限公司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</si>
  <si>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蜂蜜酒;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葡萄酒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</si>
  <si>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鹦鹉</t>
    </r>
    <r>
      <rPr>
        <sz val="11"/>
        <color theme="1"/>
        <rFont val="ＭＳ Ｐゴシック"/>
        <family val="3"/>
        <charset val="128"/>
        <scheme val="minor"/>
      </rPr>
      <t>比比</t>
    </r>
  </si>
  <si>
    <r>
      <t>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葡萄酒; 果酒（含酒精）; 含酒精的气泡水;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</si>
  <si>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炎仙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</si>
  <si>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上海德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养健康科技有限公司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</si>
  <si>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果酒（含酒精）;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</si>
  <si>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名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（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莞）品牌管理有限公司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</si>
  <si>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酸酒（低等葡萄酒）;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薄荷酒;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</si>
  <si>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六朝酩士</t>
  </si>
  <si>
    <t>李宗元</t>
  </si>
  <si>
    <r>
      <t>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清酒（日本米酒）;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</si>
  <si>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功告</t>
  </si>
  <si>
    <t>李妍妍</t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</si>
  <si>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清酒; 米酒; 威士忌; 果酒; 蜂蜜酒; 黄酒; 白酒</t>
    </r>
  </si>
  <si>
    <t>滔小白</t>
  </si>
  <si>
    <r>
      <t>清酒（日本米酒）; 威士忌; 蜂蜜酒; 黄酒; 白酒; 青稞酒;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</si>
  <si>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将之智</t>
  </si>
  <si>
    <r>
      <t>葡萄酒; 米酒; 果酒（含酒精）; 露酒;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</si>
  <si>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魔力</t>
    </r>
    <r>
      <rPr>
        <sz val="11"/>
        <color theme="1"/>
        <rFont val="ＭＳ Ｐゴシック"/>
        <family val="3"/>
        <charset val="134"/>
        <scheme val="minor"/>
      </rPr>
      <t>风车</t>
    </r>
    <r>
      <rPr>
        <sz val="11"/>
        <color theme="1"/>
        <rFont val="ＭＳ Ｐゴシック"/>
        <family val="3"/>
        <charset val="128"/>
        <scheme val="minor"/>
      </rPr>
      <t xml:space="preserve"> MAGIC WINDMILL</t>
    </r>
  </si>
  <si>
    <r>
      <t>正善（浙江）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</si>
  <si>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</si>
  <si>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立春秋</t>
  </si>
  <si>
    <r>
      <t>成都厚德升酒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</si>
  <si>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</si>
  <si>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邢</t>
    </r>
    <r>
      <rPr>
        <sz val="11"/>
        <color theme="1"/>
        <rFont val="ＭＳ Ｐゴシック"/>
        <family val="3"/>
        <charset val="134"/>
        <scheme val="minor"/>
      </rPr>
      <t>泽龙</t>
    </r>
  </si>
  <si>
    <r>
      <t>山西半舍酒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</si>
  <si>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汽酒</t>
    </r>
  </si>
  <si>
    <t>筠宥福</t>
  </si>
  <si>
    <r>
      <t>山西万青商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</si>
  <si>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葡萄酒; 利口酒;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</t>
    </r>
  </si>
  <si>
    <t>三比</t>
  </si>
  <si>
    <r>
      <t>高文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</si>
  <si>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甜酒; 米酒</t>
    </r>
  </si>
  <si>
    <r>
      <t>嵘</t>
    </r>
    <r>
      <rPr>
        <sz val="11"/>
        <color theme="1"/>
        <rFont val="ＭＳ Ｐゴシック"/>
        <family val="3"/>
        <charset val="128"/>
        <scheme val="minor"/>
      </rPr>
      <t>凌</t>
    </r>
  </si>
  <si>
    <r>
      <t>开化</t>
    </r>
    <r>
      <rPr>
        <sz val="11"/>
        <color theme="1"/>
        <rFont val="ＭＳ Ｐゴシック"/>
        <family val="3"/>
        <charset val="134"/>
        <scheme val="minor"/>
      </rPr>
      <t>绿锦</t>
    </r>
    <r>
      <rPr>
        <sz val="11"/>
        <color theme="1"/>
        <rFont val="ＭＳ Ｐゴシック"/>
        <family val="3"/>
        <charset val="128"/>
        <scheme val="minor"/>
      </rPr>
      <t>茶食品有限公司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</si>
  <si>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</si>
  <si>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洞郁</t>
  </si>
  <si>
    <r>
      <t>白酒; 果酒（含酒精）; 米酒; 威士忌;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</si>
  <si>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宴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武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</si>
  <si>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白酒;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</t>
    </r>
  </si>
  <si>
    <r>
      <t>艾</t>
    </r>
    <r>
      <rPr>
        <sz val="11"/>
        <color theme="1"/>
        <rFont val="ＭＳ Ｐゴシック"/>
        <family val="3"/>
        <charset val="134"/>
        <scheme val="minor"/>
      </rPr>
      <t>徕</t>
    </r>
    <r>
      <rPr>
        <sz val="11"/>
        <color theme="1"/>
        <rFont val="ＭＳ Ｐゴシック"/>
        <family val="3"/>
        <charset val="128"/>
        <scheme val="minor"/>
      </rPr>
      <t>唯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</si>
  <si>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苏龙</t>
    </r>
    <r>
      <rPr>
        <sz val="11"/>
        <color theme="1"/>
        <rFont val="ＭＳ Ｐゴシック"/>
        <family val="3"/>
        <charset val="128"/>
        <scheme val="minor"/>
      </rPr>
      <t>城禧宴酒店管理有限公司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</si>
  <si>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白干酒（中国白酒）; 黄酒; 果酒; 葡萄酒; 清酒; 米酒</t>
    </r>
  </si>
  <si>
    <r>
      <t>卺之</t>
    </r>
    <r>
      <rPr>
        <sz val="11"/>
        <color theme="1"/>
        <rFont val="ＭＳ Ｐゴシック"/>
        <family val="3"/>
        <charset val="134"/>
        <scheme val="minor"/>
      </rPr>
      <t>间</t>
    </r>
  </si>
  <si>
    <r>
      <t>中壹氟芮（上海）供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</si>
  <si>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果酒（含酒精）;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</si>
  <si>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梵</t>
    </r>
  </si>
  <si>
    <r>
      <t>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</si>
  <si>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转</t>
    </r>
    <r>
      <rPr>
        <sz val="11"/>
        <color theme="1"/>
        <rFont val="ＭＳ Ｐゴシック"/>
        <family val="3"/>
        <charset val="128"/>
        <scheme val="minor"/>
      </rPr>
      <t>念花开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</si>
  <si>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安全技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（江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</si>
  <si>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 xml:space="preserve">黄酒; 果酒（含酒精）;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白酒; 威士忌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</si>
  <si>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金鼎</t>
    </r>
  </si>
  <si>
    <r>
      <t>德州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真卿酒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</si>
  <si>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开胃酒; 清酒; 葡萄酒; 白酒</t>
    </r>
  </si>
  <si>
    <t>将之信</t>
  </si>
  <si>
    <r>
      <t>餐后酒（利口酒和烈酒）;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米酒; 果酒（含酒精）; 白酒</t>
    </r>
  </si>
  <si>
    <r>
      <t>义</t>
    </r>
    <r>
      <rPr>
        <sz val="11"/>
        <color theme="1"/>
        <rFont val="ＭＳ Ｐゴシック"/>
        <family val="3"/>
        <charset val="128"/>
        <scheme val="minor"/>
      </rPr>
      <t>客堂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</si>
  <si>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市粮者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</si>
  <si>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米酒; 白酒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</si>
  <si>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岳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鑫</t>
    </r>
  </si>
  <si>
    <r>
      <t>肥城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鑫包装材料有限公司</t>
    </r>
  </si>
  <si>
    <r>
      <t>果酒;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</si>
  <si>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古雷潮</t>
  </si>
  <si>
    <r>
      <t>漳州古雷港</t>
    </r>
    <r>
      <rPr>
        <sz val="11"/>
        <color theme="1"/>
        <rFont val="ＭＳ Ｐゴシック"/>
        <family val="3"/>
        <charset val="134"/>
        <scheme val="minor"/>
      </rPr>
      <t>经济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区新</t>
    </r>
    <r>
      <rPr>
        <sz val="11"/>
        <color theme="1"/>
        <rFont val="ＭＳ Ｐゴシック"/>
        <family val="3"/>
        <charset val="134"/>
        <scheme val="minor"/>
      </rPr>
      <t>闻</t>
    </r>
    <r>
      <rPr>
        <sz val="11"/>
        <color theme="1"/>
        <rFont val="ＭＳ Ｐゴシック"/>
        <family val="3"/>
        <charset val="128"/>
        <scheme val="minor"/>
      </rPr>
      <t>中心</t>
    </r>
  </si>
  <si>
    <r>
      <t xml:space="preserve">果酒（含酒精）;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</si>
  <si>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麟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金樽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</si>
  <si>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盈达</t>
    </r>
    <r>
      <rPr>
        <sz val="11"/>
        <color theme="1"/>
        <rFont val="ＭＳ Ｐゴシック"/>
        <family val="3"/>
        <charset val="134"/>
        <scheme val="minor"/>
      </rPr>
      <t>资产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</si>
  <si>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葡萄酒; 黄酒; 白酒; 米酒; 薄荷酒;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</si>
  <si>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t>台步青云</t>
  </si>
  <si>
    <r>
      <t>天下第一庄食品科技（</t>
    </r>
    <r>
      <rPr>
        <sz val="11"/>
        <color theme="1"/>
        <rFont val="ＭＳ Ｐゴシック"/>
        <family val="3"/>
        <charset val="134"/>
        <scheme val="minor"/>
      </rPr>
      <t>枣</t>
    </r>
    <r>
      <rPr>
        <sz val="11"/>
        <color theme="1"/>
        <rFont val="ＭＳ Ｐゴシック"/>
        <family val="3"/>
        <charset val="128"/>
        <scheme val="minor"/>
      </rPr>
      <t>庄）有限公司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</si>
  <si>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</si>
  <si>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龙腾</t>
    </r>
    <r>
      <rPr>
        <sz val="11"/>
        <color theme="1"/>
        <rFont val="ＭＳ Ｐゴシック"/>
        <family val="3"/>
        <charset val="128"/>
        <scheme val="minor"/>
      </rPr>
      <t>坤品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</si>
  <si>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州升隆佳商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</si>
  <si>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汽酒;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</si>
  <si>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巴粱</t>
  </si>
  <si>
    <r>
      <t>北京中谷瑶阳文化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</si>
  <si>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米酒;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</si>
  <si>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炎仙露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</si>
  <si>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米酒; 露酒;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</si>
  <si>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路酩真</t>
    </r>
    <r>
      <rPr>
        <sz val="11"/>
        <color theme="1"/>
        <rFont val="ＭＳ Ｐゴシック"/>
        <family val="3"/>
        <charset val="134"/>
        <scheme val="minor"/>
      </rPr>
      <t>龄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</si>
  <si>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州路酩酒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</si>
  <si>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青稞酒; 开胃酒;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白酒（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香型）;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</si>
  <si>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云南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帮寨子国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</si>
  <si>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葡萄酒;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</si>
  <si>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GUERMAS</t>
  </si>
  <si>
    <r>
      <t>娇玛</t>
    </r>
    <r>
      <rPr>
        <sz val="11"/>
        <color theme="1"/>
        <rFont val="ＭＳ Ｐゴシック"/>
        <family val="3"/>
        <charset val="128"/>
        <scheme val="minor"/>
      </rPr>
      <t>仕（北京）生物科技有限公司</t>
    </r>
  </si>
  <si>
    <r>
      <t>黄酒; 葡萄酒; 薄荷酒;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</t>
    </r>
  </si>
  <si>
    <t>帽峰湾</t>
  </si>
  <si>
    <r>
      <t>正佳企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</si>
  <si>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天然汽酒;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果酒（含酒精）; 甜酒;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甜果酒; 餐后酒（利口酒和烈酒）</t>
    </r>
  </si>
  <si>
    <t>刀迷敬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</si>
  <si>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州央礼酒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</si>
  <si>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烈酒;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清酒（日本米酒）; 白酒; 黄酒; 威士忌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</si>
  <si>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小青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</si>
  <si>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露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</si>
  <si>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黄酒;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</si>
  <si>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金樽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宝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</si>
  <si>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市君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</si>
  <si>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薄荷酒;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</si>
  <si>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金樽</t>
    </r>
    <r>
      <rPr>
        <sz val="11"/>
        <color theme="1"/>
        <rFont val="ＭＳ Ｐゴシック"/>
        <family val="3"/>
        <charset val="134"/>
        <scheme val="minor"/>
      </rPr>
      <t>诗</t>
    </r>
    <r>
      <rPr>
        <sz val="11"/>
        <color theme="1"/>
        <rFont val="ＭＳ Ｐゴシック"/>
        <family val="3"/>
        <charset val="128"/>
        <scheme val="minor"/>
      </rPr>
      <t>客</t>
    </r>
  </si>
  <si>
    <r>
      <t>果酒（含酒精）;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薄荷酒;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</si>
  <si>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白渠侯</t>
  </si>
  <si>
    <r>
      <t xml:space="preserve">开胃酒; 清酒（日本米酒）; 威士忌; 青稞酒;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</si>
  <si>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米陋</t>
  </si>
  <si>
    <r>
      <t>广西柳州市山鼎种养殖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</si>
  <si>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果酒（含酒精）</t>
    </r>
  </si>
  <si>
    <t>和省</t>
  </si>
  <si>
    <r>
      <t>河北保都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</si>
  <si>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白酒; 米酒; 清酒;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食用酒精;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</si>
  <si>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全太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坊尚品一号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</si>
  <si>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州全太品牌管理有限公司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</si>
  <si>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威士忌; 白酒; 黄酒; 薄荷酒;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</si>
  <si>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浸芳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</si>
  <si>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葡萄酒; 米酒</t>
    </r>
  </si>
  <si>
    <t>ELWOM</t>
  </si>
  <si>
    <r>
      <t>杭州寰球互</t>
    </r>
    <r>
      <rPr>
        <sz val="11"/>
        <color theme="1"/>
        <rFont val="ＭＳ Ｐゴシック"/>
        <family val="3"/>
        <charset val="134"/>
        <scheme val="minor"/>
      </rPr>
      <t>动</t>
    </r>
    <r>
      <rPr>
        <sz val="11"/>
        <color theme="1"/>
        <rFont val="ＭＳ Ｐゴシック"/>
        <family val="3"/>
        <charset val="128"/>
        <scheme val="minor"/>
      </rPr>
      <t>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</si>
  <si>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</si>
  <si>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云崖湾</t>
  </si>
  <si>
    <r>
      <t>建始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茅田封竹康养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</si>
  <si>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果酒; 烈酒; 甜酒; 清酒; 黄酒; 白酒;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</si>
  <si>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屏春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</si>
  <si>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州大巨医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</si>
  <si>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威士忌;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</si>
  <si>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桐月渡</t>
  </si>
  <si>
    <r>
      <t>冯</t>
    </r>
    <r>
      <rPr>
        <sz val="11"/>
        <color theme="1"/>
        <rFont val="ＭＳ Ｐゴシック"/>
        <family val="3"/>
        <charset val="128"/>
        <scheme val="minor"/>
      </rPr>
      <t>仰光******************</t>
    </r>
  </si>
  <si>
    <r>
      <t>葡萄酒;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</si>
  <si>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辰园匠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</si>
  <si>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州毅</t>
    </r>
    <r>
      <rPr>
        <sz val="11"/>
        <color theme="1"/>
        <rFont val="ＭＳ Ｐゴシック"/>
        <family val="3"/>
        <charset val="134"/>
        <scheme val="minor"/>
      </rPr>
      <t>锦贸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</si>
  <si>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果酒（含酒精）; 米酒</t>
    </r>
  </si>
  <si>
    <t>益琪和</t>
  </si>
  <si>
    <t>聂劲</t>
  </si>
  <si>
    <r>
      <t>米酒; 利口酒; 高粱酒;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</si>
  <si>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刀迷醉</t>
  </si>
  <si>
    <r>
      <t>黄酒; 威士忌;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清酒（日本米酒）; 白酒; 烈酒</t>
    </r>
  </si>
  <si>
    <r>
      <t>栀</t>
    </r>
    <r>
      <rPr>
        <sz val="11"/>
        <color theme="1"/>
        <rFont val="ＭＳ Ｐゴシック"/>
        <family val="3"/>
        <charset val="128"/>
        <scheme val="minor"/>
      </rPr>
      <t>美人</t>
    </r>
  </si>
  <si>
    <r>
      <t>吕</t>
    </r>
    <r>
      <rPr>
        <sz val="11"/>
        <color theme="1"/>
        <rFont val="ＭＳ Ｐゴシック"/>
        <family val="3"/>
        <charset val="128"/>
        <scheme val="minor"/>
      </rPr>
      <t>德旺</t>
    </r>
  </si>
  <si>
    <r>
      <t>米酒;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葡萄酒; 白酒; 果酒（含酒精）; 清酒（日本米酒）; 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</si>
  <si>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民</t>
    </r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</si>
  <si>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市利坤制曲有限公司</t>
    </r>
  </si>
  <si>
    <r>
      <t>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白干酒（中国白酒）;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伏特加酒; 威士忌</t>
    </r>
  </si>
  <si>
    <t>友美达</t>
  </si>
  <si>
    <r>
      <t>友美达（天津）管理咨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</si>
  <si>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含酒精的气泡水;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梅酒; 高粱酒; 果酒; 威士忌; 白酒</t>
    </r>
  </si>
  <si>
    <t>金樽逍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</si>
  <si>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薄荷酒; 汽酒; 黄酒; 白酒</t>
    </r>
  </si>
  <si>
    <r>
      <t>礼</t>
    </r>
    <r>
      <rPr>
        <sz val="11"/>
        <color theme="1"/>
        <rFont val="ＭＳ Ｐゴシック"/>
        <family val="3"/>
        <charset val="134"/>
        <scheme val="minor"/>
      </rPr>
      <t>銮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</si>
  <si>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青稞酒; 葡萄酒; 米酒</t>
    </r>
  </si>
  <si>
    <r>
      <t>竹九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</si>
  <si>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伟</t>
    </r>
    <r>
      <rPr>
        <sz val="11"/>
        <color theme="1"/>
        <rFont val="ＭＳ Ｐゴシック"/>
        <family val="3"/>
        <charset val="128"/>
        <scheme val="minor"/>
      </rPr>
      <t>月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</si>
  <si>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食用酒精; 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</si>
  <si>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浸度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</si>
  <si>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葡萄酒; 威士忌;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</si>
  <si>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将之</t>
    </r>
    <r>
      <rPr>
        <sz val="11"/>
        <color theme="1"/>
        <rFont val="ＭＳ Ｐゴシック"/>
        <family val="3"/>
        <charset val="134"/>
        <scheme val="minor"/>
      </rPr>
      <t>严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</si>
  <si>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果酒（含酒精）; 葡萄酒; 餐后酒（利口酒和烈酒）</t>
    </r>
  </si>
  <si>
    <t>㴁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</si>
  <si>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州行生堂医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科技研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</si>
  <si>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果酒（含酒精）;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苹果酒; 葡萄酒; 梨酒;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</si>
  <si>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YELLOW CODE</t>
  </si>
  <si>
    <t>上海菲戈洛斯品牌管理有限公司</t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</si>
  <si>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葡萄酒; 果酒（含酒精）; 清酒（日本米酒）;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</si>
  <si>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迎客椴</t>
  </si>
  <si>
    <r>
      <t>宁安市小北沟养蜂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民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</si>
  <si>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蜂蜜酒;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梅酒; 威士忌; 葡萄酒</t>
    </r>
  </si>
  <si>
    <t>安爵</t>
  </si>
  <si>
    <r>
      <t>严</t>
    </r>
    <r>
      <rPr>
        <sz val="11"/>
        <color theme="1"/>
        <rFont val="ＭＳ Ｐゴシック"/>
        <family val="3"/>
        <charset val="129"/>
        <scheme val="minor"/>
      </rPr>
      <t>洁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</si>
  <si>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葡萄酒; 威士忌; 白酒; 黄酒; 米酒</t>
    </r>
  </si>
  <si>
    <r>
      <t>九</t>
    </r>
    <r>
      <rPr>
        <sz val="11"/>
        <color theme="1"/>
        <rFont val="ＭＳ Ｐゴシック"/>
        <family val="3"/>
        <charset val="134"/>
        <scheme val="minor"/>
      </rPr>
      <t>华图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</si>
  <si>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</si>
  <si>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清酒（日本米酒）;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葡萄酒</t>
    </r>
  </si>
  <si>
    <t>黄河妮妮</t>
  </si>
  <si>
    <t>王雪燕</t>
  </si>
  <si>
    <r>
      <t xml:space="preserve">甜酒; 威士忌; 果酒（含酒精）; 葡萄酒; 黄酒;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青稞酒; 白酒</t>
    </r>
  </si>
  <si>
    <t>月室堂</t>
  </si>
  <si>
    <t>安徽其玲塑料制品有限公司</t>
  </si>
  <si>
    <r>
      <t>白酒; 果酒; 清酒（日本米酒）; 黄酒; 威士忌;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品;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食用酒精; 米酒; 高粱酒</t>
    </r>
  </si>
  <si>
    <r>
      <t>幽</t>
    </r>
    <r>
      <rPr>
        <sz val="11"/>
        <color theme="1"/>
        <rFont val="ＭＳ Ｐゴシック"/>
        <family val="3"/>
        <charset val="134"/>
        <scheme val="minor"/>
      </rPr>
      <t>鉴</t>
    </r>
  </si>
  <si>
    <r>
      <t>河南和泰文化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</si>
  <si>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食用酒精</t>
    </r>
  </si>
  <si>
    <t>将之仁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</si>
  <si>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苹果酒;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</t>
    </r>
  </si>
  <si>
    <r>
      <t>晓</t>
    </r>
    <r>
      <rPr>
        <sz val="11"/>
        <color theme="1"/>
        <rFont val="ＭＳ Ｐゴシック"/>
        <family val="3"/>
        <charset val="128"/>
        <scheme val="minor"/>
      </rPr>
      <t>姚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夫 XIAOYAO FARMER</t>
    </r>
  </si>
  <si>
    <r>
      <t>恩施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姚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夫食品开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</si>
  <si>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甜酒; 米酒; 黄酒; 清酒; 烈酒; 白酒; 开胃酒; 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</si>
  <si>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坪谷佳美</t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</si>
  <si>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</si>
  <si>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田李</t>
    </r>
    <r>
      <rPr>
        <sz val="11"/>
        <color theme="1"/>
        <rFont val="ＭＳ Ｐゴシック"/>
        <family val="3"/>
        <charset val="134"/>
        <scheme val="minor"/>
      </rPr>
      <t>杨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</si>
  <si>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勇智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</si>
  <si>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威士忌; 米酒</t>
    </r>
  </si>
  <si>
    <t>泉小礼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</si>
  <si>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东贴</t>
    </r>
    <r>
      <rPr>
        <sz val="11"/>
        <color theme="1"/>
        <rFont val="ＭＳ Ｐゴシック"/>
        <family val="3"/>
        <charset val="128"/>
        <scheme val="minor"/>
      </rPr>
      <t>票票文化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</si>
  <si>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果酒（含酒精）; 威士忌; 利口酒; 清酒（日本米酒）;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</t>
    </r>
  </si>
  <si>
    <t>菊灵灵</t>
  </si>
  <si>
    <r>
      <t>月向医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</si>
  <si>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白酒; 果酒（含酒精）; 黄酒; 朗姆酒;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梨酒</t>
    </r>
  </si>
  <si>
    <r>
      <t>灵</t>
    </r>
    <r>
      <rPr>
        <sz val="11"/>
        <color theme="1"/>
        <rFont val="ＭＳ Ｐゴシック"/>
        <family val="3"/>
        <charset val="134"/>
        <scheme val="minor"/>
      </rPr>
      <t>闽</t>
    </r>
  </si>
  <si>
    <t>曾春英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</si>
  <si>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黄酒;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烈酒; 白酒; 开胃酒</t>
    </r>
  </si>
  <si>
    <t>祺朔</t>
  </si>
  <si>
    <r>
      <t>天津祺朔集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</si>
  <si>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高粱酒; 米酒; 黄酒; 清酒; 白酒; 五加皮酒（中国混合烈酒）; 葡萄潘趣酒; 白葡萄酒; 露酒</t>
    </r>
  </si>
  <si>
    <t>蜀皖香</t>
  </si>
  <si>
    <r>
      <t xml:space="preserve">白酒; 葡萄酒; 果酒; 梅酒; 含酒精的气泡水; 米酒; 高粱酒;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</si>
  <si>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牌能量</t>
  </si>
  <si>
    <r>
      <t>点亮幸福餐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</si>
  <si>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</si>
  <si>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李世康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</si>
  <si>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葡萄酒; 果酒（含酒精）; 汽酒; 烈酒; 白酒;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</si>
  <si>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勐腊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嘉瑞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</si>
  <si>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葡萄酒;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</si>
  <si>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态</t>
    </r>
    <r>
      <rPr>
        <sz val="11"/>
        <color theme="1"/>
        <rFont val="ＭＳ Ｐゴシック"/>
        <family val="3"/>
        <charset val="128"/>
        <scheme val="minor"/>
      </rPr>
      <t>活林</t>
    </r>
  </si>
  <si>
    <r>
      <t>态</t>
    </r>
    <r>
      <rPr>
        <sz val="11"/>
        <color theme="1"/>
        <rFont val="ＭＳ Ｐゴシック"/>
        <family val="3"/>
        <charset val="128"/>
        <scheme val="minor"/>
      </rPr>
      <t>索食品有限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</si>
  <si>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青稞酒;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</si>
  <si>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雷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</si>
  <si>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市达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</si>
  <si>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白酒; 蜂蜜酒;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黄酒;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</si>
  <si>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晟益健</t>
    </r>
  </si>
  <si>
    <r>
      <t>香港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晟益健科技有限公司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</si>
  <si>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</si>
  <si>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海美康</t>
  </si>
  <si>
    <r>
      <t>北京海美康商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</si>
  <si>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烈酒; 果酒;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白葡萄酒;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</si>
  <si>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祁</t>
    </r>
    <r>
      <rPr>
        <sz val="11"/>
        <color theme="1"/>
        <rFont val="ＭＳ Ｐゴシック"/>
        <family val="3"/>
        <charset val="134"/>
        <scheme val="minor"/>
      </rPr>
      <t>乔</t>
    </r>
  </si>
  <si>
    <r>
      <t>汾阳酒祖酒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</si>
  <si>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青稞酒; 黄酒; 露酒; 白酒; 高粱酒; 梅酒; 清酒;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</si>
  <si>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康兆</t>
  </si>
  <si>
    <r>
      <t>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</t>
    </r>
  </si>
  <si>
    <r>
      <t>状</t>
    </r>
    <r>
      <rPr>
        <sz val="11"/>
        <color theme="1"/>
        <rFont val="ＭＳ Ｐゴシック"/>
        <family val="3"/>
        <charset val="134"/>
        <scheme val="minor"/>
      </rPr>
      <t>坛</t>
    </r>
  </si>
  <si>
    <r>
      <t>杜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根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</si>
  <si>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黄酒;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</si>
  <si>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葡小葡</t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</si>
  <si>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食用酒精;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青稞酒; 威士忌</t>
    </r>
  </si>
  <si>
    <t>江溪河</t>
  </si>
  <si>
    <r>
      <t>吴明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</si>
  <si>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 xml:space="preserve">青梅酒; 甜酒; 白酒; 清酒; 米酒; 黄酒; 果酒; 烈酒;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</si>
  <si>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渠吟春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</si>
  <si>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黄酒;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白酒</t>
    </r>
  </si>
  <si>
    <t>念芝音</t>
  </si>
  <si>
    <r>
      <t>湖北中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</si>
  <si>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果酒（含酒精）; 食用酒精; 露酒; 葡萄酒;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</si>
  <si>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t>五岭洞</t>
  </si>
  <si>
    <r>
      <t>安徽五岭洞藏酒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</si>
  <si>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食用酒精; 高粱酒; 利口酒;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烈酒; 黄酒</t>
    </r>
  </si>
  <si>
    <r>
      <t>稻</t>
    </r>
    <r>
      <rPr>
        <sz val="11"/>
        <color theme="1"/>
        <rFont val="ＭＳ Ｐゴシック"/>
        <family val="3"/>
        <charset val="129"/>
        <scheme val="minor"/>
      </rPr>
      <t>姬</t>
    </r>
  </si>
  <si>
    <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威士忌;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</t>
    </r>
  </si>
  <si>
    <t>宸易耀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</si>
  <si>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州宸易酒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</si>
  <si>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葡萄酒; 白酒;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</t>
    </r>
  </si>
  <si>
    <r>
      <t>浔</t>
    </r>
    <r>
      <rPr>
        <sz val="11"/>
        <color theme="1"/>
        <rFont val="ＭＳ Ｐゴシック"/>
        <family val="3"/>
        <charset val="128"/>
        <scheme val="minor"/>
      </rPr>
      <t>窖春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</si>
  <si>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蜂蜜酒;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白酒; 黄酒; 威士忌</t>
    </r>
  </si>
  <si>
    <t>威台九号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</si>
  <si>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国恒酒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</si>
  <si>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</t>
    </r>
  </si>
  <si>
    <r>
      <t>百花</t>
    </r>
    <r>
      <rPr>
        <sz val="11"/>
        <color theme="1"/>
        <rFont val="ＭＳ Ｐゴシック"/>
        <family val="3"/>
        <charset val="134"/>
        <scheme val="minor"/>
      </rPr>
      <t>诗</t>
    </r>
  </si>
  <si>
    <t>董方威</t>
  </si>
  <si>
    <r>
      <t>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黄酒;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</t>
    </r>
  </si>
  <si>
    <t>威台老醇</t>
  </si>
  <si>
    <r>
      <t>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开胃酒; 白酒; 青稞酒;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</si>
  <si>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梁岩道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</si>
  <si>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州梓合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</si>
  <si>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</si>
  <si>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丰</t>
    </r>
  </si>
  <si>
    <r>
      <t>果酒（含酒精）;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蜂蜜酒</t>
    </r>
  </si>
  <si>
    <r>
      <t>缔诺</t>
    </r>
    <r>
      <rPr>
        <sz val="11"/>
        <color theme="1"/>
        <rFont val="ＭＳ Ｐゴシック"/>
        <family val="3"/>
        <charset val="128"/>
        <scheme val="minor"/>
      </rPr>
      <t>恒材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</si>
  <si>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一众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新材料有限公司</t>
    </r>
  </si>
  <si>
    <r>
      <t>清酒; 烈酒;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果酒; 白干酒（中国白酒）</t>
    </r>
  </si>
  <si>
    <t>唐匡</t>
  </si>
  <si>
    <r>
      <t>吉林元茗青酒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</si>
  <si>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汽酒; 米酒;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</si>
  <si>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t>庄行大运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</si>
  <si>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</si>
  <si>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小泡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</si>
  <si>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果酒（含酒精）;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</si>
  <si>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己梵誮</t>
  </si>
  <si>
    <r>
      <t xml:space="preserve">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</si>
  <si>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炎仙医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</si>
  <si>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</t>
    </r>
  </si>
  <si>
    <t>正感</t>
  </si>
  <si>
    <r>
      <t>卢</t>
    </r>
    <r>
      <rPr>
        <sz val="11"/>
        <color theme="1"/>
        <rFont val="ＭＳ Ｐゴシック"/>
        <family val="3"/>
        <charset val="128"/>
        <scheme val="minor"/>
      </rPr>
      <t>森森</t>
    </r>
  </si>
  <si>
    <r>
      <t>果酒; 高粱酒;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水果汽酒;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</si>
  <si>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丰桫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</si>
  <si>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科然桫</t>
    </r>
    <r>
      <rPr>
        <sz val="11"/>
        <color theme="1"/>
        <rFont val="ＭＳ Ｐゴシック"/>
        <family val="3"/>
        <charset val="134"/>
        <scheme val="minor"/>
      </rPr>
      <t>椤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</si>
  <si>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汽酒; 果酒（含酒精）; 米酒; 黄酒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</si>
  <si>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黄酒; 开胃酒</t>
    </r>
  </si>
  <si>
    <t>洞壹染</t>
  </si>
  <si>
    <t>金孔枝</t>
  </si>
  <si>
    <r>
      <t xml:space="preserve">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汽酒; 高粱酒; 米酒</t>
    </r>
  </si>
  <si>
    <t>醉花林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</si>
  <si>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露酒;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苹果酒; 米酒</t>
    </r>
  </si>
  <si>
    <r>
      <t>至樽紫气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来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</si>
  <si>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</si>
  <si>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梵思哲珍藏</t>
  </si>
  <si>
    <r>
      <t xml:space="preserve">烈酒;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清酒; 威士忌; 米酒; 果酒</t>
    </r>
  </si>
  <si>
    <t>昭源家宴</t>
  </si>
  <si>
    <r>
      <t>广州昭源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</si>
  <si>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甜果酒; 清酒;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果酒; 利口酒; 混合威士忌酒; 伏特加酒</t>
    </r>
  </si>
  <si>
    <r>
      <t>藏美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坊</t>
    </r>
  </si>
  <si>
    <t>浙江藏美食品科技有限公司</t>
  </si>
  <si>
    <r>
      <t>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黄酒; 白酒;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</si>
  <si>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</si>
  <si>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黔名流</t>
  </si>
  <si>
    <r>
      <t>谢</t>
    </r>
    <r>
      <rPr>
        <sz val="11"/>
        <color theme="1"/>
        <rFont val="ＭＳ Ｐゴシック"/>
        <family val="3"/>
        <charset val="128"/>
        <scheme val="minor"/>
      </rPr>
      <t>沂利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</si>
  <si>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果酒; 黄酒</t>
    </r>
  </si>
  <si>
    <t>五岭醇</t>
  </si>
  <si>
    <r>
      <t xml:space="preserve">高粱酒; 食用酒精;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利口酒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</si>
  <si>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悦麟</t>
    </r>
  </si>
  <si>
    <t>王丹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</si>
  <si>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米酒; 青稞酒; 食用酒精; 高粱酒; 威士忌;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</si>
  <si>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奢露</t>
  </si>
  <si>
    <r>
      <t>果酒（含酒精）; 葡萄酒; 威士忌; 白酒; 米酒; 黄酒;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</si>
  <si>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笑中醉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</si>
  <si>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食用酒精;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葡萄酒</t>
    </r>
  </si>
  <si>
    <t>晗千雪</t>
  </si>
  <si>
    <r>
      <t>四川网</t>
    </r>
    <r>
      <rPr>
        <sz val="11"/>
        <color theme="1"/>
        <rFont val="ＭＳ Ｐゴシック"/>
        <family val="3"/>
        <charset val="134"/>
        <scheme val="minor"/>
      </rPr>
      <t>联电</t>
    </r>
    <r>
      <rPr>
        <sz val="11"/>
        <color theme="1"/>
        <rFont val="ＭＳ Ｐゴシック"/>
        <family val="3"/>
        <charset val="128"/>
        <scheme val="minor"/>
      </rPr>
      <t>气有限公司</t>
    </r>
  </si>
  <si>
    <r>
      <t>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白干酒（中国白酒）;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</si>
  <si>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四永</t>
    </r>
    <r>
      <rPr>
        <sz val="11"/>
        <color theme="1"/>
        <rFont val="ＭＳ Ｐゴシック"/>
        <family val="3"/>
        <charset val="134"/>
        <scheme val="minor"/>
      </rPr>
      <t>马记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</si>
  <si>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东锐</t>
    </r>
    <r>
      <rPr>
        <sz val="11"/>
        <color theme="1"/>
        <rFont val="ＭＳ Ｐゴシック"/>
        <family val="3"/>
        <charset val="128"/>
        <scheme val="minor"/>
      </rPr>
      <t>星建</t>
    </r>
    <r>
      <rPr>
        <sz val="11"/>
        <color theme="1"/>
        <rFont val="ＭＳ Ｐゴシック"/>
        <family val="3"/>
        <charset val="134"/>
        <scheme val="minor"/>
      </rPr>
      <t>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</si>
  <si>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白干酒（中国白酒）; 黄酒;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烈酒; 高粱酒; 葡萄酒</t>
    </r>
  </si>
  <si>
    <r>
      <t>翊</t>
    </r>
    <r>
      <rPr>
        <sz val="11"/>
        <color theme="1"/>
        <rFont val="ＭＳ Ｐゴシック"/>
        <family val="3"/>
        <charset val="134"/>
        <scheme val="minor"/>
      </rPr>
      <t>远</t>
    </r>
  </si>
  <si>
    <r>
      <t>广西翊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</si>
  <si>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伏特加酒; 高粱酒; 葡萄酒; 果酒（含酒精）;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</si>
  <si>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哈</t>
    </r>
    <r>
      <rPr>
        <sz val="11"/>
        <color theme="1"/>
        <rFont val="ＭＳ Ｐゴシック"/>
        <family val="3"/>
        <charset val="134"/>
        <scheme val="minor"/>
      </rPr>
      <t>宠</t>
    </r>
    <r>
      <rPr>
        <sz val="11"/>
        <color theme="1"/>
        <rFont val="ＭＳ Ｐゴシック"/>
        <family val="3"/>
        <charset val="129"/>
        <scheme val="minor"/>
      </rPr>
      <t>优</t>
    </r>
  </si>
  <si>
    <t>与生同行（徐州）科技有限公司</t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</si>
  <si>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梨酒;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米酒;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开胃酒; 黄酒</t>
    </r>
  </si>
  <si>
    <t>皇小胖</t>
  </si>
  <si>
    <t>葛楠</t>
  </si>
  <si>
    <r>
      <t>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开胃酒</t>
    </r>
  </si>
  <si>
    <t>武夷苜莉青</t>
  </si>
  <si>
    <t>福建建州酒厂有限公司</t>
  </si>
  <si>
    <r>
      <t>清酒（日本米酒）; 米酒; 黄酒;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</t>
    </r>
  </si>
  <si>
    <r>
      <t>龙腾</t>
    </r>
    <r>
      <rPr>
        <sz val="11"/>
        <color theme="1"/>
        <rFont val="ＭＳ Ｐゴシック"/>
        <family val="3"/>
        <charset val="128"/>
        <scheme val="minor"/>
      </rPr>
      <t>祖</t>
    </r>
  </si>
  <si>
    <t>刘宁</t>
  </si>
  <si>
    <r>
      <t xml:space="preserve">白酒; 食用酒精;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</si>
  <si>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窑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岭</t>
    </r>
    <r>
      <rPr>
        <sz val="11"/>
        <color theme="1"/>
        <rFont val="ＭＳ Ｐゴシック"/>
        <family val="3"/>
        <charset val="134"/>
        <scheme val="minor"/>
      </rPr>
      <t>报</t>
    </r>
    <r>
      <rPr>
        <sz val="11"/>
        <color theme="1"/>
        <rFont val="ＭＳ Ｐゴシック"/>
        <family val="3"/>
        <charset val="128"/>
        <scheme val="minor"/>
      </rPr>
      <t>恩</t>
    </r>
  </si>
  <si>
    <r>
      <t>凌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</si>
  <si>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薄荷酒;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</si>
  <si>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邀</t>
    </r>
    <r>
      <rPr>
        <sz val="11"/>
        <color theme="1"/>
        <rFont val="ＭＳ Ｐゴシック"/>
        <family val="3"/>
        <charset val="134"/>
        <scheme val="minor"/>
      </rPr>
      <t>诸</t>
    </r>
    <r>
      <rPr>
        <sz val="11"/>
        <color theme="1"/>
        <rFont val="ＭＳ Ｐゴシック"/>
        <family val="3"/>
        <charset val="128"/>
        <scheme val="minor"/>
      </rPr>
      <t>侯</t>
    </r>
  </si>
  <si>
    <r>
      <t xml:space="preserve">黄酒; 伏特加酒;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</si>
  <si>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瑞麟</t>
    </r>
  </si>
  <si>
    <r>
      <t>开胃酒;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酸酒（低等葡萄酒）; 薄荷酒;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餐后酒（利口酒和烈酒）; 清酒（日本米酒）; 果酒（含酒精）</t>
    </r>
  </si>
  <si>
    <r>
      <t>九</t>
    </r>
    <r>
      <rPr>
        <sz val="11"/>
        <color theme="1"/>
        <rFont val="ＭＳ Ｐゴシック"/>
        <family val="3"/>
        <charset val="134"/>
        <scheme val="minor"/>
      </rPr>
      <t>见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</si>
  <si>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清酒; 蒸煮提取物（利口酒和烈酒）; 黄酒; 食用酒精;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</si>
  <si>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井健香</t>
  </si>
  <si>
    <r>
      <t>罗</t>
    </r>
    <r>
      <rPr>
        <sz val="11"/>
        <color theme="1"/>
        <rFont val="ＭＳ Ｐゴシック"/>
        <family val="3"/>
        <charset val="128"/>
        <scheme val="minor"/>
      </rPr>
      <t>健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</si>
  <si>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葡萄酒;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</si>
  <si>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金樽瑾</t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</si>
  <si>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汽酒; 薄荷酒</t>
    </r>
  </si>
  <si>
    <r>
      <t>大河白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醇</t>
    </r>
  </si>
  <si>
    <r>
      <t>富源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大河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白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私房酒厂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</si>
  <si>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白酒;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餐后酒（利口酒和烈酒）;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</si>
  <si>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俱信</t>
  </si>
  <si>
    <r>
      <t xml:space="preserve">开胃酒; 葡萄酒; 果酒; 米酒; 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</si>
  <si>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隋</t>
    </r>
    <r>
      <rPr>
        <sz val="11"/>
        <color theme="1"/>
        <rFont val="ＭＳ Ｐゴシック"/>
        <family val="3"/>
        <charset val="134"/>
        <scheme val="minor"/>
      </rPr>
      <t>别</t>
    </r>
  </si>
  <si>
    <r>
      <t>韩</t>
    </r>
    <r>
      <rPr>
        <sz val="11"/>
        <color theme="1"/>
        <rFont val="ＭＳ Ｐゴシック"/>
        <family val="3"/>
        <charset val="128"/>
        <scheme val="minor"/>
      </rPr>
      <t>浪</t>
    </r>
  </si>
  <si>
    <r>
      <t>白酒;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烈酒</t>
    </r>
  </si>
  <si>
    <t>成都壮壮生物科技有限公司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</si>
  <si>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葡萄酒; 露酒; 梨酒; 白酒; 黄酒;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</si>
  <si>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藏郁</t>
  </si>
  <si>
    <r>
      <t>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威士忌; 葡萄酒;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</si>
  <si>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米本米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</si>
  <si>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一抹禾香酒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</si>
  <si>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黄酒; 果酒（含酒精）; 薄荷酒;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</si>
  <si>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r>
      <t>凯</t>
    </r>
    <r>
      <rPr>
        <sz val="11"/>
        <color theme="1"/>
        <rFont val="ＭＳ Ｐゴシック"/>
        <family val="3"/>
        <charset val="128"/>
        <scheme val="minor"/>
      </rPr>
      <t>达野</t>
    </r>
  </si>
  <si>
    <t>阳建国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</si>
  <si>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白干酒（中国白酒）;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</si>
  <si>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武夷圣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</si>
  <si>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葡萄酒; 果酒（含酒精）; 威士忌; 白酒</t>
    </r>
  </si>
  <si>
    <t>大岭醪礼</t>
  </si>
  <si>
    <r>
      <t>台州潮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</si>
  <si>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梨酒; 苦味酒;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</si>
  <si>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卓</t>
    </r>
    <r>
      <rPr>
        <sz val="11"/>
        <color theme="1"/>
        <rFont val="ＭＳ Ｐゴシック"/>
        <family val="3"/>
        <charset val="134"/>
        <scheme val="minor"/>
      </rPr>
      <t>夺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</si>
  <si>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高粱酒;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食用酒精;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白酒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</si>
  <si>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洞</t>
    </r>
  </si>
  <si>
    <r>
      <t>葡萄酒; 米酒; 伏特加酒; 黄酒;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</t>
    </r>
  </si>
  <si>
    <t>大囍立</t>
  </si>
  <si>
    <r>
      <t>孟祥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</si>
  <si>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 xml:space="preserve">米酒;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开胃酒; 杜松子酒; 白酒; 青稞酒; 清酒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</si>
  <si>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>无</t>
    </r>
    <r>
      <rPr>
        <sz val="11"/>
        <color theme="1"/>
        <rFont val="ＭＳ Ｐゴシック"/>
        <family val="3"/>
        <charset val="134"/>
        <scheme val="minor"/>
      </rPr>
      <t>沨</t>
    </r>
  </si>
  <si>
    <r>
      <t>广州上一</t>
    </r>
    <r>
      <rPr>
        <sz val="11"/>
        <color theme="1"/>
        <rFont val="ＭＳ Ｐゴシック"/>
        <family val="3"/>
        <charset val="134"/>
        <scheme val="minor"/>
      </rPr>
      <t>农资电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</si>
  <si>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伏特加酒; 白酒; 开胃酒;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</si>
  <si>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寨</t>
    </r>
  </si>
  <si>
    <t>香河旺禄原科技有限公司</t>
  </si>
  <si>
    <r>
      <t>青稞酒; 青梅酒;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米酒; 果酒(含酒精)</t>
    </r>
  </si>
  <si>
    <t>青小岩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</si>
  <si>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州状元文化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</si>
  <si>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开胃酒; 米酒;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</si>
  <si>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奋</t>
    </r>
    <r>
      <rPr>
        <sz val="11"/>
        <color theme="1"/>
        <rFont val="ＭＳ Ｐゴシック"/>
        <family val="3"/>
        <charset val="128"/>
        <scheme val="minor"/>
      </rPr>
      <t>斗</t>
    </r>
    <r>
      <rPr>
        <sz val="11"/>
        <color theme="1"/>
        <rFont val="ＭＳ Ｐゴシック"/>
        <family val="3"/>
        <charset val="134"/>
        <scheme val="minor"/>
      </rPr>
      <t>红酿</t>
    </r>
    <r>
      <rPr>
        <sz val="11"/>
        <color theme="1"/>
        <rFont val="ＭＳ Ｐゴシック"/>
        <family val="3"/>
        <charset val="128"/>
        <scheme val="minor"/>
      </rPr>
      <t>造集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</si>
  <si>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甘蔗制烈酒; 白酒; 葡萄酒; 米酒</t>
    </r>
  </si>
  <si>
    <r>
      <t>路</t>
    </r>
    <r>
      <rPr>
        <sz val="11"/>
        <color theme="1"/>
        <rFont val="ＭＳ Ｐゴシック"/>
        <family val="3"/>
        <charset val="134"/>
        <scheme val="minor"/>
      </rPr>
      <t>腾</t>
    </r>
    <r>
      <rPr>
        <sz val="11"/>
        <color theme="1"/>
        <rFont val="ＭＳ Ｐゴシック"/>
        <family val="3"/>
        <charset val="128"/>
        <scheme val="minor"/>
      </rPr>
      <t>登崇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</si>
  <si>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裕亨商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</si>
  <si>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</si>
  <si>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浏</t>
    </r>
    <r>
      <rPr>
        <sz val="11"/>
        <color theme="1"/>
        <rFont val="ＭＳ Ｐゴシック"/>
        <family val="3"/>
        <charset val="128"/>
        <scheme val="minor"/>
      </rPr>
      <t>藏</t>
    </r>
  </si>
  <si>
    <r>
      <t>缪</t>
    </r>
    <r>
      <rPr>
        <sz val="11"/>
        <color theme="1"/>
        <rFont val="ＭＳ Ｐゴシック"/>
        <family val="3"/>
        <charset val="128"/>
        <scheme val="minor"/>
      </rPr>
      <t>培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</si>
  <si>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烈酒;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果酒（含酒精）; 清酒（日本米酒）</t>
    </r>
  </si>
  <si>
    <r>
      <t>侯尚</t>
    </r>
    <r>
      <rPr>
        <sz val="11"/>
        <color theme="1"/>
        <rFont val="ＭＳ Ｐゴシック"/>
        <family val="3"/>
        <charset val="134"/>
        <scheme val="minor"/>
      </rPr>
      <t>书</t>
    </r>
  </si>
  <si>
    <r>
      <t>平阴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盛鑫种植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民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</si>
  <si>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含酒精的气泡水; 果酒（含酒精）</t>
    </r>
  </si>
  <si>
    <t>花仙尼</t>
  </si>
  <si>
    <r>
      <t>花仙尼（山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）品牌管理有限公司</t>
    </r>
  </si>
  <si>
    <r>
      <t>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威士忌;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</si>
  <si>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集琪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</si>
  <si>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米酒; 葡萄酒; 果酒; 高粱酒;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</t>
    </r>
  </si>
  <si>
    <t>九歆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</si>
  <si>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清酒; 蒸煮提取物（利口酒和烈酒）</t>
    </r>
  </si>
  <si>
    <r>
      <t>诸</t>
    </r>
    <r>
      <rPr>
        <sz val="11"/>
        <color theme="1"/>
        <rFont val="ＭＳ Ｐゴシック"/>
        <family val="3"/>
        <charset val="128"/>
        <scheme val="minor"/>
      </rPr>
      <t>侯江山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</si>
  <si>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黄酒; 果酒（含酒精）; 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</si>
  <si>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凯</t>
    </r>
    <r>
      <rPr>
        <sz val="11"/>
        <color theme="1"/>
        <rFont val="ＭＳ Ｐゴシック"/>
        <family val="3"/>
        <charset val="128"/>
        <scheme val="minor"/>
      </rPr>
      <t>森尼克</t>
    </r>
  </si>
  <si>
    <r>
      <t xml:space="preserve">蜂蜜酒; 伏特加酒; 苹果酒; 米酒;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</si>
  <si>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西子研</t>
  </si>
  <si>
    <t>浙江麦帝科技有限公司</t>
  </si>
  <si>
    <r>
      <t>果酒（含酒精）; 蜂蜜酒; 葡萄酒;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青梅酒; 白干酒（中国白酒）</t>
    </r>
  </si>
  <si>
    <r>
      <t>哺</t>
    </r>
    <r>
      <rPr>
        <sz val="11"/>
        <color theme="1"/>
        <rFont val="ＭＳ Ｐゴシック"/>
        <family val="3"/>
        <charset val="129"/>
        <scheme val="minor"/>
      </rPr>
      <t>唧</t>
    </r>
    <r>
      <rPr>
        <sz val="11"/>
        <color theme="1"/>
        <rFont val="ＭＳ Ｐゴシック"/>
        <family val="3"/>
        <charset val="128"/>
        <scheme val="minor"/>
      </rPr>
      <t>小方瓶</t>
    </r>
  </si>
  <si>
    <r>
      <t>北京哺</t>
    </r>
    <r>
      <rPr>
        <sz val="11"/>
        <color theme="1"/>
        <rFont val="ＭＳ Ｐゴシック"/>
        <family val="3"/>
        <charset val="129"/>
        <scheme val="minor"/>
      </rPr>
      <t>唧</t>
    </r>
    <r>
      <rPr>
        <sz val="11"/>
        <color theme="1"/>
        <rFont val="ＭＳ Ｐゴシック"/>
        <family val="3"/>
        <charset val="128"/>
        <scheme val="minor"/>
      </rPr>
      <t>哺</t>
    </r>
    <r>
      <rPr>
        <sz val="11"/>
        <color theme="1"/>
        <rFont val="ＭＳ Ｐゴシック"/>
        <family val="3"/>
        <charset val="129"/>
        <scheme val="minor"/>
      </rPr>
      <t>唧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</si>
  <si>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葡萄酒; 苦味酒; 开胃酒; 果酒（含酒精）; 白酒;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</si>
  <si>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宗元人</t>
    </r>
    <r>
      <rPr>
        <sz val="11"/>
        <color theme="1"/>
        <rFont val="ＭＳ Ｐゴシック"/>
        <family val="3"/>
        <charset val="134"/>
        <scheme val="minor"/>
      </rPr>
      <t>间</t>
    </r>
  </si>
  <si>
    <t>母宗元</t>
  </si>
  <si>
    <r>
      <t>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</si>
  <si>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九起</t>
  </si>
  <si>
    <r>
      <t>南京九起网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</si>
  <si>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葡萄酒; 清酒;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</si>
  <si>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杜扎克</t>
  </si>
  <si>
    <r>
      <t>杜扎克酒庄</t>
    </r>
    <r>
      <rPr>
        <sz val="11"/>
        <color theme="1"/>
        <rFont val="ＭＳ Ｐゴシック"/>
        <family val="3"/>
        <charset val="134"/>
        <scheme val="minor"/>
      </rPr>
      <t>农业经营</t>
    </r>
    <r>
      <rPr>
        <sz val="11"/>
        <color theme="1"/>
        <rFont val="ＭＳ Ｐゴシック"/>
        <family val="3"/>
        <charset val="128"/>
        <scheme val="minor"/>
      </rPr>
      <t>民事公司</t>
    </r>
  </si>
  <si>
    <t>古楼岳氏</t>
  </si>
  <si>
    <t>岳宗浩</t>
  </si>
  <si>
    <r>
      <t>高粱酒;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果酒（含酒精）; 黄酒; 食用酒精</t>
    </r>
  </si>
  <si>
    <r>
      <t>食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荃</t>
    </r>
  </si>
  <si>
    <r>
      <t>沙滕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</si>
  <si>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</t>
    </r>
  </si>
  <si>
    <t>池出好味</t>
  </si>
  <si>
    <r>
      <t>池州市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村振</t>
    </r>
    <r>
      <rPr>
        <sz val="11"/>
        <color theme="1"/>
        <rFont val="ＭＳ Ｐゴシック"/>
        <family val="3"/>
        <charset val="134"/>
        <scheme val="minor"/>
      </rPr>
      <t>兴产业发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</si>
  <si>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食用酒精;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黄酒; 葡萄酒; 威士忌; 米酒; 朗姆酒; 白酒</t>
    </r>
  </si>
  <si>
    <t>楚江侯</t>
  </si>
  <si>
    <r>
      <t>谢</t>
    </r>
    <r>
      <rPr>
        <sz val="11"/>
        <color theme="1"/>
        <rFont val="ＭＳ Ｐゴシック"/>
        <family val="3"/>
        <charset val="128"/>
        <scheme val="minor"/>
      </rPr>
      <t>蔚妮</t>
    </r>
  </si>
  <si>
    <r>
      <t xml:space="preserve">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</t>
    </r>
  </si>
  <si>
    <r>
      <t>诗</t>
    </r>
    <r>
      <rPr>
        <sz val="11"/>
        <color theme="1"/>
        <rFont val="ＭＳ Ｐゴシック"/>
        <family val="3"/>
        <charset val="128"/>
        <scheme val="minor"/>
      </rPr>
      <t>利德（珠海横琴）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</si>
  <si>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水果汽酒</t>
    </r>
  </si>
  <si>
    <r>
      <t>通奇</t>
    </r>
    <r>
      <rPr>
        <sz val="11"/>
        <color theme="1"/>
        <rFont val="ＭＳ Ｐゴシック"/>
        <family val="3"/>
        <charset val="134"/>
        <scheme val="minor"/>
      </rPr>
      <t>济</t>
    </r>
  </si>
  <si>
    <r>
      <t>福源酒</t>
    </r>
    <r>
      <rPr>
        <sz val="11"/>
        <color theme="1"/>
        <rFont val="ＭＳ Ｐゴシック"/>
        <family val="3"/>
        <charset val="134"/>
        <scheme val="minor"/>
      </rPr>
      <t>业镇</t>
    </r>
    <r>
      <rPr>
        <sz val="11"/>
        <color theme="1"/>
        <rFont val="ＭＳ Ｐゴシック"/>
        <family val="3"/>
        <charset val="128"/>
        <scheme val="minor"/>
      </rPr>
      <t>雄有限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</si>
  <si>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黄酒</t>
    </r>
  </si>
  <si>
    <t>吉然福然堂</t>
  </si>
  <si>
    <r>
      <t>吉林省麦宴餐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</si>
  <si>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</si>
  <si>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杜州</t>
  </si>
  <si>
    <t>周晴晴</t>
  </si>
  <si>
    <r>
      <t>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开胃酒;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</si>
  <si>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深圳市霖汪</t>
    </r>
    <r>
      <rPr>
        <sz val="11"/>
        <color theme="1"/>
        <rFont val="ＭＳ Ｐゴシック"/>
        <family val="3"/>
        <charset val="134"/>
        <scheme val="minor"/>
      </rPr>
      <t>润泽</t>
    </r>
    <r>
      <rPr>
        <sz val="11"/>
        <color theme="1"/>
        <rFont val="ＭＳ Ｐゴシック"/>
        <family val="3"/>
        <charset val="128"/>
        <scheme val="minor"/>
      </rPr>
      <t>品牌管理有限公司</t>
    </r>
  </si>
  <si>
    <r>
      <t>清酒（日本米酒）; 蒸煮提取物（利口酒和烈酒）; 开胃酒; 果酒;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</t>
    </r>
  </si>
  <si>
    <r>
      <t>赤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里</t>
    </r>
  </si>
  <si>
    <t>海南极里生活科技有限公司</t>
  </si>
  <si>
    <r>
      <t xml:space="preserve">清酒（日本米酒）; 米酒; 含酒精的气泡水; 开胃酒; 果酒（含酒精）; 葡萄酒;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苹果酒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</si>
  <si>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伏特加酒; 米酒; 青稞酒; 朗姆酒; 葡萄酒; 威士忌</t>
    </r>
  </si>
  <si>
    <t>黔隆志</t>
  </si>
  <si>
    <t>舒越</t>
  </si>
  <si>
    <r>
      <t xml:space="preserve">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葡萄酒; 米酒;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</si>
  <si>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巴特巴巴健康科技有限公司</t>
    </r>
  </si>
  <si>
    <r>
      <t xml:space="preserve">黄酒; 果酒（含酒精）; 开胃酒;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</si>
  <si>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臻幸堂</t>
  </si>
  <si>
    <r>
      <t>汕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高新区金幸食品商行</t>
    </r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</si>
  <si>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汽酒; 食用酒精; 白酒; 果酒（含酒精）; 开胃酒;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</t>
    </r>
  </si>
  <si>
    <r>
      <t>凌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</si>
  <si>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桃江</t>
    </r>
    <r>
      <rPr>
        <sz val="11"/>
        <color theme="1"/>
        <rFont val="ＭＳ Ｐゴシック"/>
        <family val="3"/>
        <charset val="134"/>
        <scheme val="minor"/>
      </rPr>
      <t>县动</t>
    </r>
    <r>
      <rPr>
        <sz val="11"/>
        <color theme="1"/>
        <rFont val="ＭＳ Ｐゴシック"/>
        <family val="3"/>
        <charset val="128"/>
        <scheme val="minor"/>
      </rPr>
      <t>力豹百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</si>
  <si>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白酒; 烈酒; 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</si>
  <si>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春意甜</t>
  </si>
  <si>
    <t>徐甜</t>
  </si>
  <si>
    <r>
      <t xml:space="preserve">米酒; 黄酒; 白酒;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高粱酒;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开胃酒</t>
    </r>
  </si>
  <si>
    <t>湘小达</t>
  </si>
  <si>
    <t>徐惜芬</t>
  </si>
  <si>
    <r>
      <t xml:space="preserve">葡萄酒; 果酒（含酒精）; 米酒; 威士忌; 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</si>
  <si>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敬</t>
    </r>
    <r>
      <rPr>
        <sz val="11"/>
        <color theme="1"/>
        <rFont val="ＭＳ Ｐゴシック"/>
        <family val="3"/>
        <charset val="134"/>
        <scheme val="minor"/>
      </rPr>
      <t>畅</t>
    </r>
    <r>
      <rPr>
        <sz val="11"/>
        <color theme="1"/>
        <rFont val="ＭＳ Ｐゴシック"/>
        <family val="3"/>
        <charset val="128"/>
        <scheme val="minor"/>
      </rPr>
      <t>堂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</si>
  <si>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伟华</t>
    </r>
  </si>
  <si>
    <r>
      <t xml:space="preserve">蒸煮提取物（利口酒和烈酒）; 米酒; 黄酒; 利口酒; 葡萄酒; 白酒; 开胃酒; 蜂蜜酒;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</si>
  <si>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XOMITOTO</t>
  </si>
  <si>
    <r>
      <t>米凡企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展（上海）有限公司</t>
    </r>
  </si>
  <si>
    <r>
      <t>黄酒; 果酒; 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高粱酒;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</si>
  <si>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t>小米淘淘</t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</si>
  <si>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青稞酒; 黄酒; 甜酒;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</si>
  <si>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t>叶二姨</t>
  </si>
  <si>
    <r>
      <t>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米酒;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</si>
  <si>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元京元</t>
  </si>
  <si>
    <r>
      <t>元京元（北京）商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</si>
  <si>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烈酒; 甜酒</t>
    </r>
  </si>
  <si>
    <t>金殿.智歌</t>
  </si>
  <si>
    <r>
      <t>巡酒网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（上海）有限公司</t>
    </r>
  </si>
  <si>
    <r>
      <t xml:space="preserve">伏特加酒;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果酒（含酒精）; 蒸煮提取物（利口酒和烈酒）;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</si>
  <si>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TANANDAYARD</t>
  </si>
  <si>
    <r>
      <t>广州塔南达小庄商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</si>
  <si>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米酒</t>
    </r>
  </si>
  <si>
    <t>浣影</t>
  </si>
  <si>
    <r>
      <t>济</t>
    </r>
    <r>
      <rPr>
        <sz val="11"/>
        <color theme="1"/>
        <rFont val="ＭＳ Ｐゴシック"/>
        <family val="3"/>
        <charset val="128"/>
        <scheme val="minor"/>
      </rPr>
      <t>宁同君商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</si>
  <si>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高粱酒</t>
    </r>
  </si>
  <si>
    <r>
      <t>浩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滇力</t>
    </r>
  </si>
  <si>
    <r>
      <t>昆明浩</t>
    </r>
    <r>
      <rPr>
        <sz val="11"/>
        <color theme="1"/>
        <rFont val="ＭＳ Ｐゴシック"/>
        <family val="3"/>
        <charset val="134"/>
        <scheme val="minor"/>
      </rPr>
      <t>诚电</t>
    </r>
    <r>
      <rPr>
        <sz val="11"/>
        <color theme="1"/>
        <rFont val="ＭＳ Ｐゴシック"/>
        <family val="3"/>
        <charset val="128"/>
        <scheme val="minor"/>
      </rPr>
      <t>力工程有限公司</t>
    </r>
  </si>
  <si>
    <r>
      <t xml:space="preserve">威士忌; 青稞酒;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朗姆酒; 清酒; 果酒（含酒精）</t>
    </r>
  </si>
  <si>
    <t>雪猿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</si>
  <si>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水果汽酒</t>
    </r>
  </si>
  <si>
    <t>神州侯</t>
  </si>
  <si>
    <r>
      <t>张</t>
    </r>
    <r>
      <rPr>
        <sz val="11"/>
        <color theme="1"/>
        <rFont val="ＭＳ Ｐゴシック"/>
        <family val="3"/>
        <charset val="128"/>
        <scheme val="minor"/>
      </rPr>
      <t>向峰</t>
    </r>
  </si>
  <si>
    <r>
      <t xml:space="preserve">白酒;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黄酒; 朗姆酒; 葡萄酒; 伏特加酒; 清酒（日本米酒）</t>
    </r>
  </si>
  <si>
    <t>甫事</t>
  </si>
  <si>
    <t>巫朝甫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</si>
  <si>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米酒; 葡萄酒; 开胃酒; 威士忌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</si>
  <si>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叔夜</t>
    </r>
  </si>
  <si>
    <r>
      <t>江西</t>
    </r>
    <r>
      <rPr>
        <sz val="11"/>
        <color theme="1"/>
        <rFont val="ＭＳ Ｐゴシック"/>
        <family val="3"/>
        <charset val="134"/>
        <scheme val="minor"/>
      </rPr>
      <t>齐</t>
    </r>
    <r>
      <rPr>
        <sz val="11"/>
        <color theme="1"/>
        <rFont val="ＭＳ Ｐゴシック"/>
        <family val="3"/>
        <charset val="128"/>
        <scheme val="minor"/>
      </rPr>
      <t>力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</si>
  <si>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食用酒精;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</si>
  <si>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迢啤猪</t>
  </si>
  <si>
    <r>
      <t>杭州晨辰供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</si>
  <si>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伏特加酒;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</si>
  <si>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新阳采光</t>
  </si>
  <si>
    <t>河南省新阳采光新材料有限公司</t>
  </si>
  <si>
    <r>
      <t xml:space="preserve">果酒（含酒精）; 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</si>
  <si>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t>老山大重九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</si>
  <si>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</t>
    </r>
  </si>
  <si>
    <t>DRAGON BONE</t>
  </si>
  <si>
    <t>开云(杭州)品牌管理有限公司</t>
  </si>
  <si>
    <r>
      <t xml:space="preserve">葡萄酒; 高粱酒;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清酒; 汽酒;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威士忌</t>
    </r>
  </si>
  <si>
    <t>OABO OFFER</t>
  </si>
  <si>
    <t>曹浩林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</si>
  <si>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威士忌; 果酒; 朗姆酒; 利口酒; 葡萄酒</t>
    </r>
  </si>
  <si>
    <r>
      <t>玫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小花</t>
    </r>
  </si>
  <si>
    <t>田旭彤</t>
  </si>
  <si>
    <r>
      <t>甜酒; 天然汽酒; 米酒;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白葡萄酒; 果酒; 白酒</t>
    </r>
  </si>
  <si>
    <r>
      <t>书</t>
    </r>
    <r>
      <rPr>
        <sz val="11"/>
        <color theme="1"/>
        <rFont val="ＭＳ Ｐゴシック"/>
        <family val="3"/>
        <charset val="128"/>
        <scheme val="minor"/>
      </rPr>
      <t>香</t>
    </r>
    <r>
      <rPr>
        <sz val="11"/>
        <color theme="1"/>
        <rFont val="ＭＳ Ｐゴシック"/>
        <family val="3"/>
        <charset val="134"/>
        <scheme val="minor"/>
      </rPr>
      <t>张</t>
    </r>
    <r>
      <rPr>
        <sz val="11"/>
        <color theme="1"/>
        <rFont val="ＭＳ Ｐゴシック"/>
        <family val="3"/>
        <charset val="128"/>
        <scheme val="minor"/>
      </rPr>
      <t>庄</t>
    </r>
  </si>
  <si>
    <r>
      <t>上海茅董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</si>
  <si>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白酒; 黄酒</t>
    </r>
  </si>
  <si>
    <r>
      <t>统</t>
    </r>
    <r>
      <rPr>
        <sz val="11"/>
        <color theme="1"/>
        <rFont val="ＭＳ Ｐゴシック"/>
        <family val="3"/>
        <charset val="128"/>
        <scheme val="minor"/>
      </rPr>
      <t>新</t>
    </r>
  </si>
  <si>
    <r>
      <t>洛阳</t>
    </r>
    <r>
      <rPr>
        <sz val="11"/>
        <color theme="1"/>
        <rFont val="ＭＳ Ｐゴシック"/>
        <family val="3"/>
        <charset val="134"/>
        <scheme val="minor"/>
      </rPr>
      <t>统</t>
    </r>
    <r>
      <rPr>
        <sz val="11"/>
        <color theme="1"/>
        <rFont val="ＭＳ Ｐゴシック"/>
        <family val="3"/>
        <charset val="128"/>
        <scheme val="minor"/>
      </rPr>
      <t>新科技有限公司</t>
    </r>
  </si>
  <si>
    <r>
      <t>米酒; 青稞酒; 薄荷酒;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果酒; 黄酒; 葡萄酒;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</si>
  <si>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蜀渝拌</t>
  </si>
  <si>
    <r>
      <t>上海恩川丰餐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</si>
  <si>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汽酒; 含酒精的气泡水; 葡萄酒; 黄酒; 果酒（含酒精）; 甜果酒;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</si>
  <si>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QUINOAND</t>
  </si>
  <si>
    <r>
      <t>中藜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科（翁牛特旗）科技有限公司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</si>
  <si>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黄酒; 青稞酒;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葡萄酒; 米酒; 利口酒</t>
    </r>
  </si>
  <si>
    <t>此聚</t>
  </si>
  <si>
    <r>
      <t>广西</t>
    </r>
    <r>
      <rPr>
        <sz val="11"/>
        <color theme="1"/>
        <rFont val="ＭＳ Ｐゴシック"/>
        <family val="3"/>
        <charset val="134"/>
        <scheme val="minor"/>
      </rPr>
      <t>钦</t>
    </r>
    <r>
      <rPr>
        <sz val="11"/>
        <color theme="1"/>
        <rFont val="ＭＳ Ｐゴシック"/>
        <family val="3"/>
        <charset val="128"/>
        <scheme val="minor"/>
      </rPr>
      <t>盛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</si>
  <si>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</si>
  <si>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王楼醺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</si>
  <si>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州市万鼎企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</si>
  <si>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</si>
  <si>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OHLO</t>
  </si>
  <si>
    <r>
      <t>广州欧恒娜国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</si>
  <si>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葡萄酒; 威士忌; 果酒; 白干酒（中国白酒）;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</si>
  <si>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得良美</t>
  </si>
  <si>
    <r>
      <t>宁夏依</t>
    </r>
    <r>
      <rPr>
        <sz val="11"/>
        <color theme="1"/>
        <rFont val="ＭＳ Ｐゴシック"/>
        <family val="3"/>
        <charset val="134"/>
        <scheme val="minor"/>
      </rPr>
      <t>顶轩</t>
    </r>
    <r>
      <rPr>
        <sz val="11"/>
        <color theme="1"/>
        <rFont val="ＭＳ Ｐゴシック"/>
        <family val="3"/>
        <charset val="128"/>
        <scheme val="minor"/>
      </rPr>
      <t>食品科技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</si>
  <si>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葡萄汽酒;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</si>
  <si>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r>
      <t>碧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翠雨</t>
    </r>
  </si>
  <si>
    <r>
      <t>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</t>
    </r>
  </si>
  <si>
    <r>
      <t>窖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迎</t>
    </r>
  </si>
  <si>
    <r>
      <t>广州味大厨餐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</si>
  <si>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葡萄酒; 蜂蜜酒;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</si>
  <si>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匡王熊猫金</t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</si>
  <si>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黄酒;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</si>
  <si>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匡王大熊猫</t>
  </si>
  <si>
    <r>
      <t>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果酒（含酒精）; 葡萄酒;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</si>
  <si>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质</t>
    </r>
    <r>
      <rPr>
        <sz val="11"/>
        <color theme="1"/>
        <rFont val="ＭＳ Ｐゴシック"/>
        <family val="3"/>
        <charset val="128"/>
        <scheme val="minor"/>
      </rPr>
      <t>甄千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健康科技有限公司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</si>
  <si>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</si>
  <si>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玺</t>
    </r>
    <r>
      <rPr>
        <sz val="11"/>
        <color theme="1"/>
        <rFont val="ＭＳ Ｐゴシック"/>
        <family val="3"/>
        <charset val="128"/>
        <scheme val="minor"/>
      </rPr>
      <t>越潮</t>
    </r>
    <r>
      <rPr>
        <sz val="11"/>
        <color theme="1"/>
        <rFont val="ＭＳ Ｐゴシック"/>
        <family val="3"/>
        <charset val="134"/>
        <scheme val="minor"/>
      </rPr>
      <t>鸣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</si>
  <si>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</si>
  <si>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竹清叙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</si>
  <si>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米酒; 食用酒精;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</si>
  <si>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凹起喔夷</t>
  </si>
  <si>
    <r>
      <t>上海天珍山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</si>
  <si>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</si>
  <si>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君和韶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</si>
  <si>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睿月</t>
    </r>
  </si>
  <si>
    <r>
      <t xml:space="preserve">清酒（日本米酒）;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高粱酒</t>
    </r>
  </si>
  <si>
    <r>
      <t>天津天士力大健康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</si>
  <si>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梨酒; 白酒; 黄酒; 汽酒; 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米酒</t>
    </r>
  </si>
  <si>
    <r>
      <t>宫</t>
    </r>
    <r>
      <rPr>
        <sz val="11"/>
        <color theme="1"/>
        <rFont val="ＭＳ Ｐゴシック"/>
        <family val="3"/>
        <charset val="128"/>
        <scheme val="minor"/>
      </rPr>
      <t>廷氿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</si>
  <si>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</si>
  <si>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绝</t>
    </r>
    <r>
      <rPr>
        <sz val="11"/>
        <color theme="1"/>
        <rFont val="ＭＳ Ｐゴシック"/>
        <family val="3"/>
        <charset val="128"/>
        <scheme val="minor"/>
      </rPr>
      <t>地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谷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</si>
  <si>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</si>
  <si>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t>蒙礼正北方</t>
  </si>
  <si>
    <r>
      <t>内蒙古文化旅游投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</si>
  <si>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甘蔗制烈酒; 果酒（含酒精）;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</si>
  <si>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班典</t>
  </si>
  <si>
    <r>
      <t>创</t>
    </r>
    <r>
      <rPr>
        <sz val="11"/>
        <color theme="1"/>
        <rFont val="ＭＳ Ｐゴシック"/>
        <family val="3"/>
        <charset val="128"/>
        <scheme val="minor"/>
      </rPr>
      <t>味来餐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管理（海口）有限公司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</si>
  <si>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</si>
  <si>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科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博</t>
    </r>
  </si>
  <si>
    <r>
      <t>广州科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博汽</t>
    </r>
    <r>
      <rPr>
        <sz val="11"/>
        <color theme="1"/>
        <rFont val="ＭＳ Ｐゴシック"/>
        <family val="3"/>
        <charset val="134"/>
        <scheme val="minor"/>
      </rPr>
      <t>车</t>
    </r>
    <r>
      <rPr>
        <sz val="11"/>
        <color theme="1"/>
        <rFont val="ＭＳ Ｐゴシック"/>
        <family val="3"/>
        <charset val="128"/>
        <scheme val="minor"/>
      </rPr>
      <t>零部件有限公司</t>
    </r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</si>
  <si>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白酒; 米酒; 苹果酒</t>
    </r>
  </si>
  <si>
    <t>荷美达</t>
  </si>
  <si>
    <r>
      <t>荷美达（山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）生物科技有限公司</t>
    </r>
  </si>
  <si>
    <r>
      <t xml:space="preserve">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清酒; 葡萄酒; 威士忌; 白酒</t>
    </r>
  </si>
  <si>
    <t>迎花金潭</t>
  </si>
  <si>
    <r>
      <t>张</t>
    </r>
    <r>
      <rPr>
        <sz val="11"/>
        <color theme="1"/>
        <rFont val="ＭＳ Ｐゴシック"/>
        <family val="3"/>
        <charset val="128"/>
        <scheme val="minor"/>
      </rPr>
      <t>高峰</t>
    </r>
  </si>
  <si>
    <r>
      <t>青稞酒;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烈酒; 高粱酒; 食用酒精;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白干酒（中国白酒）</t>
    </r>
  </si>
  <si>
    <t>NUOMDRUYE</t>
  </si>
  <si>
    <r>
      <t>江西正和大健康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</si>
  <si>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果酒; 五加皮酒（中国混合烈酒）;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白酒</t>
    </r>
  </si>
  <si>
    <t>BRETEIL</t>
  </si>
  <si>
    <r>
      <t>广州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安格化</t>
    </r>
    <r>
      <rPr>
        <sz val="11"/>
        <color theme="1"/>
        <rFont val="ＭＳ Ｐゴシック"/>
        <family val="3"/>
        <charset val="134"/>
        <scheme val="minor"/>
      </rPr>
      <t>妆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</si>
  <si>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黄酒; 威士忌; 伏特加酒;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</si>
  <si>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VI</t>
  </si>
  <si>
    <r>
      <t>北京唯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大健康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</si>
  <si>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</si>
  <si>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BAISUIMIMA</t>
  </si>
  <si>
    <r>
      <t>上海艾益生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</si>
  <si>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甜果酒;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水果汽酒; 干型苹果酒; 果酒（含酒精）;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</si>
  <si>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卧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海</t>
    </r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</si>
  <si>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</si>
  <si>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渡小川</t>
  </si>
  <si>
    <t>孙龙龙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</si>
  <si>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清酒（日本米酒）; 威士忌; 葡萄酒; 黄酒</t>
    </r>
  </si>
  <si>
    <t>坪泉沁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</si>
  <si>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</si>
  <si>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曲池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桑</t>
    </r>
  </si>
  <si>
    <r>
      <t>西安鑫</t>
    </r>
    <r>
      <rPr>
        <sz val="11"/>
        <color theme="1"/>
        <rFont val="ＭＳ Ｐゴシック"/>
        <family val="3"/>
        <charset val="134"/>
        <scheme val="minor"/>
      </rPr>
      <t>亚图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信息科技有限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</si>
  <si>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烈酒; 白酒; 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葡萄酒</t>
    </r>
  </si>
  <si>
    <t>禧村</t>
  </si>
  <si>
    <r>
      <t>北京市禧羊羊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</si>
  <si>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葡萄酒; 果酒; 米酒; 清酒; 黄酒; 白酒;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</si>
  <si>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春儒</t>
  </si>
  <si>
    <r>
      <t>广西三土生物科技有限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</si>
  <si>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黄酒; 米酒;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</si>
  <si>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鹏龙</t>
    </r>
    <r>
      <rPr>
        <sz val="11"/>
        <color theme="1"/>
        <rFont val="ＭＳ Ｐゴシック"/>
        <family val="3"/>
        <charset val="128"/>
        <scheme val="minor"/>
      </rPr>
      <t>九州</t>
    </r>
  </si>
  <si>
    <r>
      <t>白干酒（中国白酒）;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</si>
  <si>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渝之迷</t>
  </si>
  <si>
    <r>
      <t>上海修尼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</si>
  <si>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含酒精的气泡水; 黄酒; 汽酒;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甜果酒</t>
    </r>
  </si>
  <si>
    <r>
      <t>兴</t>
    </r>
    <r>
      <rPr>
        <sz val="11"/>
        <color theme="1"/>
        <rFont val="ＭＳ Ｐゴシック"/>
        <family val="3"/>
        <charset val="128"/>
        <scheme val="minor"/>
      </rPr>
      <t>武夷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</si>
  <si>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果酒（含酒精）; 葡萄酒; 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</si>
  <si>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t>粮事醇</t>
  </si>
  <si>
    <r>
      <t>晋江市亨达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</si>
  <si>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薄荷酒; 葡萄酒; 果酒（含酒精）;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</si>
  <si>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r>
      <t>兴</t>
    </r>
    <r>
      <rPr>
        <sz val="11"/>
        <color theme="1"/>
        <rFont val="ＭＳ Ｐゴシック"/>
        <family val="3"/>
        <charset val="128"/>
        <scheme val="minor"/>
      </rPr>
      <t>建州</t>
    </r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</si>
  <si>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白酒; 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</si>
  <si>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PAUL AHMED</t>
  </si>
  <si>
    <r>
      <t>上海保</t>
    </r>
    <r>
      <rPr>
        <sz val="11"/>
        <color theme="1"/>
        <rFont val="ＭＳ Ｐゴシック"/>
        <family val="3"/>
        <charset val="134"/>
        <scheme val="minor"/>
      </rPr>
      <t>迈</t>
    </r>
    <r>
      <rPr>
        <sz val="11"/>
        <color theme="1"/>
        <rFont val="ＭＳ Ｐゴシック"/>
        <family val="3"/>
        <charset val="128"/>
        <scheme val="minor"/>
      </rPr>
      <t>德文化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</si>
  <si>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清酒（日本米酒）; 汽酒; 威士忌; 米酒;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</si>
  <si>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金沫麦</t>
    </r>
    <r>
      <rPr>
        <sz val="11"/>
        <color theme="1"/>
        <rFont val="ＭＳ Ｐゴシック"/>
        <family val="3"/>
        <charset val="134"/>
        <scheme val="minor"/>
      </rPr>
      <t>澜</t>
    </r>
  </si>
  <si>
    <r>
      <t>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米酒; 白酒</t>
    </r>
  </si>
  <si>
    <r>
      <t>芙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人</t>
    </r>
  </si>
  <si>
    <t>广州孜漫品牌策划有限公司</t>
  </si>
  <si>
    <r>
      <t>葡萄酒; 烈酒;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汽酒; 干型苹果酒</t>
    </r>
  </si>
  <si>
    <t>匠力宝</t>
  </si>
  <si>
    <r>
      <t>深圳市开天建</t>
    </r>
    <r>
      <rPr>
        <sz val="11"/>
        <color theme="1"/>
        <rFont val="ＭＳ Ｐゴシック"/>
        <family val="3"/>
        <charset val="134"/>
        <scheme val="minor"/>
      </rPr>
      <t>设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</si>
  <si>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烈酒; 白酒; 苦味酒;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米酒; 果酒; 青梅酒</t>
    </r>
  </si>
  <si>
    <t>乾姜湖</t>
  </si>
  <si>
    <t>王林林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</si>
  <si>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</si>
  <si>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OOWOV</t>
  </si>
  <si>
    <r>
      <t>杨</t>
    </r>
    <r>
      <rPr>
        <sz val="11"/>
        <color theme="1"/>
        <rFont val="ＭＳ Ｐゴシック"/>
        <family val="3"/>
        <charset val="128"/>
        <scheme val="minor"/>
      </rPr>
      <t>震宇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</si>
  <si>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威士忌; 米酒; 汽酒; 白酒</t>
    </r>
  </si>
  <si>
    <t>祝府井</t>
  </si>
  <si>
    <t>王春芝</t>
  </si>
  <si>
    <r>
      <t>葡萄酒; 米酒; 白酒; 果酒（含酒精）; 青稞酒;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</si>
  <si>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豪养森</t>
  </si>
  <si>
    <r>
      <t>赵</t>
    </r>
    <r>
      <rPr>
        <sz val="11"/>
        <color theme="1"/>
        <rFont val="ＭＳ Ｐゴシック"/>
        <family val="3"/>
        <charset val="128"/>
        <scheme val="minor"/>
      </rPr>
      <t>巍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</si>
  <si>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伏特加酒;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</si>
  <si>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名井</t>
    </r>
    <r>
      <rPr>
        <sz val="11"/>
        <color theme="1"/>
        <rFont val="ＭＳ Ｐゴシック"/>
        <family val="3"/>
        <charset val="134"/>
        <scheme val="minor"/>
      </rPr>
      <t>泸</t>
    </r>
  </si>
  <si>
    <r>
      <t xml:space="preserve">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梅酒; 青稞酒;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高粱酒; 白酒; 白干酒（中国白酒）; 清酒</t>
    </r>
  </si>
  <si>
    <r>
      <t>台</t>
    </r>
    <r>
      <rPr>
        <sz val="11"/>
        <color theme="1"/>
        <rFont val="ＭＳ Ｐゴシック"/>
        <family val="3"/>
        <charset val="134"/>
        <scheme val="minor"/>
      </rPr>
      <t>玛</t>
    </r>
  </si>
  <si>
    <r>
      <t>果酒（含酒精）; 青稞酒; 高粱酒; 清酒; 白酒; 黄酒;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</si>
  <si>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XIAOXIANGHU</t>
  </si>
  <si>
    <r>
      <t>白酒; 葡萄酒; 甜酒; 米酒; 高粱酒;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</si>
  <si>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双世福</t>
  </si>
  <si>
    <r>
      <t xml:space="preserve">青稞酒; 露酒; 高粱酒;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烈酒; 白干酒（中国白酒）; 清酒; 白酒</t>
    </r>
  </si>
  <si>
    <t>却月晴波</t>
  </si>
  <si>
    <r>
      <t>王晋</t>
    </r>
    <r>
      <rPr>
        <sz val="11"/>
        <color theme="1"/>
        <rFont val="ＭＳ Ｐゴシック"/>
        <family val="3"/>
        <charset val="134"/>
        <scheme val="minor"/>
      </rPr>
      <t>锋</t>
    </r>
  </si>
  <si>
    <r>
      <t xml:space="preserve">葡萄酒; 白酒; 清酒（日本米酒）;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</t>
    </r>
  </si>
  <si>
    <r>
      <t>唐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彩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</si>
  <si>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鹏飞</t>
    </r>
  </si>
  <si>
    <r>
      <t>白干酒（中国白酒）;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梅酒; 清酒; 白酒;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高粱酒; 青稞酒</t>
    </r>
  </si>
  <si>
    <t>喜气汁源</t>
  </si>
  <si>
    <r>
      <t>海南知道行道追梦投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</si>
  <si>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含奶油利口酒; 餐后酒（利口酒和烈酒）; 白酒;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汽酒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</si>
  <si>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通</t>
    </r>
    <r>
      <rPr>
        <sz val="11"/>
        <color theme="1"/>
        <rFont val="ＭＳ Ｐゴシック"/>
        <family val="3"/>
        <charset val="129"/>
        <scheme val="minor"/>
      </rPr>
      <t>优优</t>
    </r>
    <r>
      <rPr>
        <sz val="11"/>
        <color theme="1"/>
        <rFont val="ＭＳ Ｐゴシック"/>
        <family val="3"/>
        <charset val="128"/>
        <scheme val="minor"/>
      </rPr>
      <t>品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</si>
  <si>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牛</t>
    </r>
    <r>
      <rPr>
        <sz val="11"/>
        <color theme="1"/>
        <rFont val="ＭＳ Ｐゴシック"/>
        <family val="3"/>
        <charset val="134"/>
        <scheme val="minor"/>
      </rPr>
      <t>顿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</si>
  <si>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</t>
    </r>
  </si>
  <si>
    <t>JUNRUYI</t>
  </si>
  <si>
    <t>邹庆</t>
  </si>
  <si>
    <r>
      <t xml:space="preserve">米酒;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高粱酒; 食用酒精;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</si>
  <si>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燕曌</t>
  </si>
  <si>
    <r>
      <t>北京新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云智科技研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中心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</si>
  <si>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烈酒;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汽酒</t>
    </r>
  </si>
  <si>
    <t>金德公</t>
  </si>
  <si>
    <t>李炯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</si>
  <si>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</si>
  <si>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功</t>
    </r>
    <r>
      <rPr>
        <sz val="11"/>
        <color theme="1"/>
        <rFont val="ＭＳ Ｐゴシック"/>
        <family val="3"/>
        <charset val="134"/>
        <scheme val="minor"/>
      </rPr>
      <t>够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</si>
  <si>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志彬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</si>
  <si>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果酒（含酒精）; 米酒; 黄酒</t>
    </r>
  </si>
  <si>
    <t>企象智区</t>
  </si>
  <si>
    <r>
      <t>成都企象智区数字技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</si>
  <si>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威士忌; 白酒;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朗姆酒; 柑香酒;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</si>
  <si>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筑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</si>
  <si>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黄酒; 高粱酒;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</si>
  <si>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果九仙</t>
  </si>
  <si>
    <r>
      <t>成都川香</t>
    </r>
    <r>
      <rPr>
        <sz val="11"/>
        <color theme="1"/>
        <rFont val="ＭＳ Ｐゴシック"/>
        <family val="3"/>
        <charset val="134"/>
        <scheme val="minor"/>
      </rPr>
      <t>颂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</si>
  <si>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 xml:space="preserve">米酒; 果酒（含酒精）; 果酒; 青梅酒; 高粱酒; 苹果酒;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梨酒; 白酒</t>
    </r>
  </si>
  <si>
    <r>
      <t>门</t>
    </r>
    <r>
      <rPr>
        <sz val="11"/>
        <color theme="1"/>
        <rFont val="ＭＳ Ｐゴシック"/>
        <family val="3"/>
        <charset val="128"/>
        <scheme val="minor"/>
      </rPr>
      <t>前松</t>
    </r>
  </si>
  <si>
    <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</si>
  <si>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桂南北</t>
  </si>
  <si>
    <t>广西南宁市桂青六堡茶有限公司</t>
  </si>
  <si>
    <r>
      <t>苦味酒; 白酒; 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开胃酒; 米酒; 果酒（含酒精）; 葡萄酒; 甜酒</t>
    </r>
  </si>
  <si>
    <t>KUANZHAI PANDA</t>
  </si>
  <si>
    <r>
      <t>宽</t>
    </r>
    <r>
      <rPr>
        <sz val="11"/>
        <color theme="1"/>
        <rFont val="ＭＳ Ｐゴシック"/>
        <family val="3"/>
        <charset val="128"/>
        <scheme val="minor"/>
      </rPr>
      <t>窄印象酒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</si>
  <si>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清酒;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</si>
  <si>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浦</t>
    </r>
    <r>
      <rPr>
        <sz val="11"/>
        <color theme="1"/>
        <rFont val="ＭＳ Ｐゴシック"/>
        <family val="3"/>
        <charset val="134"/>
        <scheme val="minor"/>
      </rPr>
      <t>艺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</si>
  <si>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开胃酒; 白干酒（中国白酒）; 苹果酒; 白酒; 蒸煮提取物（利口酒和烈酒）; 葡萄酒; 利口酒</t>
    </r>
  </si>
  <si>
    <t>果九妹</t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</si>
  <si>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白酒; 果酒（含酒精）; 葡萄酒; 青梅酒; 梨酒; 米酒; 果酒; 高粱酒; 苹果酒</t>
    </r>
  </si>
  <si>
    <t>荣韶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</si>
  <si>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</si>
  <si>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智生花（上海）智能科技有限公司</t>
  </si>
  <si>
    <r>
      <t>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杜松子酒;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朗姆酒;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威士忌; 葡萄酒</t>
    </r>
  </si>
  <si>
    <r>
      <t>荷</t>
    </r>
    <r>
      <rPr>
        <sz val="11"/>
        <color theme="1"/>
        <rFont val="ＭＳ Ｐゴシック"/>
        <family val="3"/>
        <charset val="134"/>
        <scheme val="minor"/>
      </rPr>
      <t>铺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</si>
  <si>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松</t>
    </r>
  </si>
  <si>
    <r>
      <t>黄酒;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伏特加酒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</si>
  <si>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贝</t>
    </r>
  </si>
  <si>
    <r>
      <t>王信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</si>
  <si>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</si>
  <si>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霸王妃</t>
  </si>
  <si>
    <r>
      <t>方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阳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</si>
  <si>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烈酒; 果酒（含酒精）; 开胃酒; 威士忌; 黄酒; 白酒; 清酒（日本米酒）</t>
    </r>
  </si>
  <si>
    <t>年技</t>
  </si>
  <si>
    <r>
      <t>陈劲</t>
    </r>
    <r>
      <rPr>
        <sz val="11"/>
        <color theme="1"/>
        <rFont val="ＭＳ Ｐゴシック"/>
        <family val="3"/>
        <charset val="128"/>
        <scheme val="minor"/>
      </rPr>
      <t>珍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</si>
  <si>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食用酒精; 伏特加酒;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</si>
  <si>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t>顺进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</si>
  <si>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蜂蜜酒; 米酒;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</si>
  <si>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中幺遇</t>
    </r>
    <r>
      <rPr>
        <sz val="11"/>
        <color theme="1"/>
        <rFont val="ＭＳ Ｐゴシック"/>
        <family val="3"/>
        <charset val="134"/>
        <scheme val="minor"/>
      </rPr>
      <t>见</t>
    </r>
  </si>
  <si>
    <r>
      <t>四川中幺酒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</si>
  <si>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黄酒;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清酒（日本米酒）; 葡萄酒; 尼瓦（以甘蔗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</si>
  <si>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迎君城</t>
  </si>
  <si>
    <r>
      <t>广西迎君城文化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</si>
  <si>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</t>
    </r>
  </si>
  <si>
    <r>
      <t>忆</t>
    </r>
    <r>
      <rPr>
        <sz val="11"/>
        <color theme="1"/>
        <rFont val="ＭＳ Ｐゴシック"/>
        <family val="3"/>
        <charset val="128"/>
        <scheme val="minor"/>
      </rPr>
      <t>冬</t>
    </r>
    <r>
      <rPr>
        <sz val="11"/>
        <color theme="1"/>
        <rFont val="ＭＳ Ｐゴシック"/>
        <family val="3"/>
        <charset val="134"/>
        <scheme val="minor"/>
      </rPr>
      <t>晓</t>
    </r>
  </si>
  <si>
    <t>咸宁市前景品牌管理有限公司</t>
  </si>
  <si>
    <r>
      <t>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薄荷酒; 黄酒; 果酒（含酒精）</t>
    </r>
  </si>
  <si>
    <t>仰粮</t>
  </si>
  <si>
    <r>
      <t>张</t>
    </r>
    <r>
      <rPr>
        <sz val="11"/>
        <color theme="1"/>
        <rFont val="ＭＳ Ｐゴシック"/>
        <family val="3"/>
        <charset val="128"/>
        <scheme val="minor"/>
      </rPr>
      <t>楠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</si>
  <si>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黄酒; 葡萄酒</t>
    </r>
  </si>
  <si>
    <t>JETTEHIL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</si>
  <si>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州津泉酒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</si>
  <si>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汽酒; 米酒; 黄酒; 甜酒; 果酒;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白酒</t>
    </r>
  </si>
  <si>
    <t>老者无憾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</si>
  <si>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葡萄酒;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</si>
  <si>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尖行者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</si>
  <si>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蜂蜜酒; 白酒; 威士忌;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</si>
  <si>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盛天</t>
    </r>
    <r>
      <rPr>
        <sz val="11"/>
        <color theme="1"/>
        <rFont val="ＭＳ Ｐゴシック"/>
        <family val="3"/>
        <charset val="134"/>
        <scheme val="minor"/>
      </rPr>
      <t>骄</t>
    </r>
  </si>
  <si>
    <t>王安民</t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</si>
  <si>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</si>
  <si>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阅</t>
    </r>
    <r>
      <rPr>
        <sz val="11"/>
        <color theme="1"/>
        <rFont val="ＭＳ Ｐゴシック"/>
        <family val="3"/>
        <charset val="128"/>
        <scheme val="minor"/>
      </rPr>
      <t>者名</t>
    </r>
  </si>
  <si>
    <t>吴雨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</si>
  <si>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威士忌; 米酒; 食用酒精;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</si>
  <si>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年</t>
    </r>
    <r>
      <rPr>
        <sz val="11"/>
        <color theme="1"/>
        <rFont val="ＭＳ Ｐゴシック"/>
        <family val="3"/>
        <charset val="134"/>
        <scheme val="minor"/>
      </rPr>
      <t>华过</t>
    </r>
    <r>
      <rPr>
        <sz val="11"/>
        <color theme="1"/>
        <rFont val="ＭＳ Ｐゴシック"/>
        <family val="3"/>
        <charset val="128"/>
        <scheme val="minor"/>
      </rPr>
      <t>客</t>
    </r>
  </si>
  <si>
    <r>
      <t>蜂蜜酒; 威士忌; 果酒（含酒精）; 葡萄酒;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</si>
  <si>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古今</t>
    </r>
    <r>
      <rPr>
        <sz val="11"/>
        <color theme="1"/>
        <rFont val="ＭＳ Ｐゴシック"/>
        <family val="3"/>
        <charset val="134"/>
        <scheme val="minor"/>
      </rPr>
      <t>对话</t>
    </r>
  </si>
  <si>
    <r>
      <t>伏特加酒;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食用酒精; 白酒; 果酒（含酒精）;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</si>
  <si>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康信倍康</t>
  </si>
  <si>
    <r>
      <t>安徽康信制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</si>
  <si>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开胃酒;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烈酒; 米酒;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</si>
  <si>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酷里</t>
    </r>
    <r>
      <rPr>
        <sz val="11"/>
        <color theme="1"/>
        <rFont val="ＭＳ Ｐゴシック"/>
        <family val="3"/>
        <charset val="134"/>
        <scheme val="minor"/>
      </rPr>
      <t>兰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</si>
  <si>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威士忌; 伏特加酒</t>
    </r>
  </si>
  <si>
    <t>何里玉</t>
  </si>
  <si>
    <r>
      <t>陈</t>
    </r>
    <r>
      <rPr>
        <sz val="11"/>
        <color theme="1"/>
        <rFont val="ＭＳ Ｐゴシック"/>
        <family val="3"/>
        <charset val="128"/>
        <scheme val="minor"/>
      </rPr>
      <t>雅雯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</si>
  <si>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</si>
  <si>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商昌</t>
  </si>
  <si>
    <r>
      <t xml:space="preserve">米酒;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果酒（含酒精）; 葡萄酒; 黄酒</t>
    </r>
  </si>
  <si>
    <r>
      <t>坠</t>
    </r>
    <r>
      <rPr>
        <sz val="11"/>
        <color theme="1"/>
        <rFont val="ＭＳ Ｐゴシック"/>
        <family val="3"/>
        <charset val="128"/>
        <scheme val="minor"/>
      </rPr>
      <t>恋</t>
    </r>
  </si>
  <si>
    <r>
      <t>宜</t>
    </r>
    <r>
      <rPr>
        <sz val="11"/>
        <color theme="1"/>
        <rFont val="ＭＳ Ｐゴシック"/>
        <family val="3"/>
        <charset val="134"/>
        <scheme val="minor"/>
      </rPr>
      <t>宾邓</t>
    </r>
    <r>
      <rPr>
        <sz val="11"/>
        <color theme="1"/>
        <rFont val="ＭＳ Ｐゴシック"/>
        <family val="3"/>
        <charset val="128"/>
        <scheme val="minor"/>
      </rPr>
      <t>祖企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</si>
  <si>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白酒; 烈酒;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梨酒; 白干酒（中国白酒）; 黄酒; 青稞酒; 利口酒;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</si>
  <si>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仰</t>
    </r>
    <r>
      <rPr>
        <sz val="11"/>
        <color theme="1"/>
        <rFont val="ＭＳ Ｐゴシック"/>
        <family val="3"/>
        <charset val="134"/>
        <scheme val="minor"/>
      </rPr>
      <t>轩</t>
    </r>
  </si>
  <si>
    <r>
      <t>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白酒; 伏特加酒;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</si>
  <si>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XAINLEONMANOR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</si>
  <si>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汽酒; 黄酒; 白酒; 米酒; 清酒; 果酒; 甜酒; 葡萄酒; 烈酒</t>
    </r>
  </si>
  <si>
    <t>璞都</t>
  </si>
  <si>
    <r>
      <t>刘金</t>
    </r>
    <r>
      <rPr>
        <sz val="11"/>
        <color theme="1"/>
        <rFont val="ＭＳ Ｐゴシック"/>
        <family val="3"/>
        <charset val="134"/>
        <scheme val="minor"/>
      </rPr>
      <t>鸽</t>
    </r>
  </si>
  <si>
    <r>
      <t>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果酒（含酒精）; 白酒</t>
    </r>
  </si>
  <si>
    <r>
      <t>池小</t>
    </r>
    <r>
      <rPr>
        <sz val="11"/>
        <color theme="1"/>
        <rFont val="ＭＳ Ｐゴシック"/>
        <family val="3"/>
        <charset val="134"/>
        <scheme val="minor"/>
      </rPr>
      <t>闲</t>
    </r>
  </si>
  <si>
    <r>
      <t>新疆伊窖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云酒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</si>
  <si>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汽酒; 白酒; 清酒;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</si>
  <si>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永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洲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</si>
  <si>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西永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洲商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</si>
  <si>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开胃酒;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加有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生素的朗姆酒</t>
    </r>
  </si>
  <si>
    <t>冠智元</t>
  </si>
  <si>
    <r>
      <t>焦作市延鑫商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</si>
  <si>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黄酒;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米酒; 苹果酒; 葡萄酒</t>
    </r>
  </si>
  <si>
    <r>
      <t>崇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礼</t>
    </r>
    <r>
      <rPr>
        <sz val="11"/>
        <color theme="1"/>
        <rFont val="ＭＳ Ｐゴシック"/>
        <family val="3"/>
        <charset val="134"/>
        <scheme val="minor"/>
      </rPr>
      <t>飨</t>
    </r>
  </si>
  <si>
    <r>
      <t>杭州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岸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</si>
  <si>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米酒;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</t>
    </r>
  </si>
  <si>
    <t>茵果律</t>
  </si>
  <si>
    <t>昆明南丘班克智旅科技有限公司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</si>
  <si>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汽酒;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苹果酒;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</si>
  <si>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霸王渡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</si>
  <si>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开胃酒;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白酒; 烈酒; 黄酒</t>
    </r>
  </si>
  <si>
    <t>祖佑盛世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</si>
  <si>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葡萄酒; 蜂蜜酒; 白酒; 米酒</t>
    </r>
  </si>
  <si>
    <t>登邸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</si>
  <si>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白酒;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</si>
  <si>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邓</t>
    </r>
    <r>
      <rPr>
        <sz val="11"/>
        <color theme="1"/>
        <rFont val="ＭＳ Ｐゴシック"/>
        <family val="3"/>
        <charset val="128"/>
        <scheme val="minor"/>
      </rPr>
      <t>建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</si>
  <si>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洪江市建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生</t>
    </r>
    <r>
      <rPr>
        <sz val="11"/>
        <color theme="1"/>
        <rFont val="ＭＳ Ｐゴシック"/>
        <family val="3"/>
        <charset val="134"/>
        <scheme val="minor"/>
      </rPr>
      <t>态杨</t>
    </r>
    <r>
      <rPr>
        <sz val="11"/>
        <color theme="1"/>
        <rFont val="ＭＳ Ｐゴシック"/>
        <family val="3"/>
        <charset val="128"/>
        <scheme val="minor"/>
      </rPr>
      <t>梅家庭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</si>
  <si>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>水果汽酒; 白酒; 烈酒; 果酒（含酒精）; 青梅酒;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梅酒; 米酒</t>
    </r>
  </si>
  <si>
    <r>
      <t>乌</t>
    </r>
    <r>
      <rPr>
        <sz val="11"/>
        <color theme="1"/>
        <rFont val="ＭＳ Ｐゴシック"/>
        <family val="3"/>
        <charset val="128"/>
        <scheme val="minor"/>
      </rPr>
      <t>云其木格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</si>
  <si>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黄酒; 米酒; 白酒; 青稞酒</t>
    </r>
  </si>
  <si>
    <t>食犇方</t>
  </si>
  <si>
    <t>古方（杭州）食品科技有限公司</t>
  </si>
  <si>
    <r>
      <t>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青稞酒;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</si>
  <si>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阅</t>
    </r>
    <r>
      <rPr>
        <sz val="11"/>
        <color theme="1"/>
        <rFont val="ＭＳ Ｐゴシック"/>
        <family val="3"/>
        <charset val="128"/>
        <scheme val="minor"/>
      </rPr>
      <t>者美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</si>
  <si>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青稞酒; 食用酒精;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</si>
  <si>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宛山塔</t>
  </si>
  <si>
    <t>陆军</t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</si>
  <si>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汽酒; 黄酒; 果酒（含酒精）;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梅酒</t>
    </r>
  </si>
  <si>
    <r>
      <t>对</t>
    </r>
    <r>
      <rPr>
        <sz val="11"/>
        <color theme="1"/>
        <rFont val="ＭＳ Ｐゴシック"/>
        <family val="3"/>
        <charset val="128"/>
        <scheme val="minor"/>
      </rPr>
      <t>朋</t>
    </r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</si>
  <si>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食用酒精;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果酒（含酒精）</t>
    </r>
  </si>
  <si>
    <t>康信倍博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</si>
  <si>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利口酒;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开胃酒; 烈酒;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</si>
  <si>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御一慕芳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</si>
  <si>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弘瑞健康管理有限公司</t>
    </r>
  </si>
  <si>
    <r>
      <t>黄酒;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果酒（含酒精）</t>
    </r>
  </si>
  <si>
    <r>
      <t>酿</t>
    </r>
    <r>
      <rPr>
        <sz val="11"/>
        <color theme="1"/>
        <rFont val="ＭＳ Ｐゴシック"/>
        <family val="3"/>
        <charset val="128"/>
        <scheme val="minor"/>
      </rPr>
      <t>丰老</t>
    </r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</si>
  <si>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</si>
  <si>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利口酒;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</si>
  <si>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乔归</t>
    </r>
  </si>
  <si>
    <r>
      <t>周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莉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</si>
  <si>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汽酒</t>
    </r>
  </si>
  <si>
    <r>
      <t>酝</t>
    </r>
    <r>
      <rPr>
        <sz val="11"/>
        <color theme="1"/>
        <rFont val="ＭＳ Ｐゴシック"/>
        <family val="3"/>
        <charset val="128"/>
        <scheme val="minor"/>
      </rPr>
      <t>皇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</si>
  <si>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</si>
  <si>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含酒精的气泡水;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威士忌; 白酒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</si>
  <si>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湖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敬</t>
    </r>
    <r>
      <rPr>
        <sz val="11"/>
        <color theme="1"/>
        <rFont val="ＭＳ Ｐゴシック"/>
        <family val="3"/>
        <charset val="134"/>
        <scheme val="minor"/>
      </rPr>
      <t>斋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</si>
  <si>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东杨</t>
    </r>
    <r>
      <rPr>
        <sz val="11"/>
        <color theme="1"/>
        <rFont val="ＭＳ Ｐゴシック"/>
        <family val="3"/>
        <charset val="128"/>
        <scheme val="minor"/>
      </rPr>
      <t>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</si>
  <si>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白干酒（中国白酒）; 黄酒; 米酒; 烈酒;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甜酒; 葡萄酒; 果酒</t>
    </r>
  </si>
  <si>
    <r>
      <t>仙肴一</t>
    </r>
    <r>
      <rPr>
        <sz val="11"/>
        <color theme="1"/>
        <rFont val="ＭＳ Ｐゴシック"/>
        <family val="3"/>
        <charset val="134"/>
        <scheme val="minor"/>
      </rPr>
      <t>壶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</si>
  <si>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含酒精的气泡水; 黄酒; 白酒; 葡萄酒</t>
    </r>
  </si>
  <si>
    <r>
      <t>高</t>
    </r>
    <r>
      <rPr>
        <sz val="11"/>
        <color theme="1"/>
        <rFont val="ＭＳ Ｐゴシック"/>
        <family val="3"/>
        <charset val="134"/>
        <scheme val="minor"/>
      </rPr>
      <t>掼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</si>
  <si>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皮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（深圳）品牌供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</si>
  <si>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威士忌; 白酒; 葡萄酒; 果酒（含酒精）;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米酒</t>
    </r>
  </si>
  <si>
    <t>利事吉酒</t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</si>
  <si>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市世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开源包装制品有限公司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</si>
  <si>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果酒（含酒精）;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</si>
  <si>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钱</t>
    </r>
    <r>
      <rPr>
        <sz val="11"/>
        <color theme="1"/>
        <rFont val="ＭＳ Ｐゴシック"/>
        <family val="3"/>
        <charset val="128"/>
        <scheme val="minor"/>
      </rPr>
      <t>盛</t>
    </r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</si>
  <si>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钱</t>
    </r>
    <r>
      <rPr>
        <sz val="11"/>
        <color theme="1"/>
        <rFont val="ＭＳ Ｐゴシック"/>
        <family val="3"/>
        <charset val="128"/>
        <scheme val="minor"/>
      </rPr>
      <t>盛生物科技有限公司</t>
    </r>
  </si>
  <si>
    <r>
      <t>青稞酒;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</si>
  <si>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r>
      <t>岭</t>
    </r>
    <r>
      <rPr>
        <sz val="11"/>
        <color theme="1"/>
        <rFont val="ＭＳ Ｐゴシック"/>
        <family val="3"/>
        <charset val="134"/>
        <scheme val="minor"/>
      </rPr>
      <t>侨</t>
    </r>
    <r>
      <rPr>
        <sz val="11"/>
        <color theme="1"/>
        <rFont val="ＭＳ Ｐゴシック"/>
        <family val="3"/>
        <charset val="128"/>
        <scheme val="minor"/>
      </rPr>
      <t>天仁</t>
    </r>
  </si>
  <si>
    <r>
      <t>杜</t>
    </r>
    <r>
      <rPr>
        <sz val="11"/>
        <color theme="1"/>
        <rFont val="ＭＳ Ｐゴシック"/>
        <family val="3"/>
        <charset val="134"/>
        <scheme val="minor"/>
      </rPr>
      <t>鉴</t>
    </r>
    <r>
      <rPr>
        <sz val="11"/>
        <color theme="1"/>
        <rFont val="ＭＳ Ｐゴシック"/>
        <family val="3"/>
        <charset val="128"/>
        <scheme val="minor"/>
      </rPr>
      <t>荣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</si>
  <si>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青稞酒;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白酒</t>
    </r>
  </si>
  <si>
    <t>夏小添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</si>
  <si>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谦亿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</si>
  <si>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汽酒; 黄酒;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露酒; 甜酒</t>
    </r>
  </si>
  <si>
    <r>
      <t>章</t>
    </r>
    <r>
      <rPr>
        <sz val="11"/>
        <color theme="1"/>
        <rFont val="ＭＳ Ｐゴシック"/>
        <family val="3"/>
        <charset val="134"/>
        <scheme val="minor"/>
      </rPr>
      <t>庆记</t>
    </r>
  </si>
  <si>
    <t>徐天耀</t>
  </si>
  <si>
    <r>
      <t>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甘蔗制烈酒;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</si>
  <si>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尊玉卮</t>
  </si>
  <si>
    <r>
      <t xml:space="preserve">白酒; 葡萄酒; 果酒（含酒精）; 威士忌; 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</si>
  <si>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路易奥</t>
    </r>
    <r>
      <rPr>
        <sz val="11"/>
        <color theme="1"/>
        <rFont val="ＭＳ Ｐゴシック"/>
        <family val="3"/>
        <charset val="134"/>
        <scheme val="minor"/>
      </rPr>
      <t>恺</t>
    </r>
    <r>
      <rPr>
        <sz val="11"/>
        <color theme="1"/>
        <rFont val="ＭＳ Ｐゴシック"/>
        <family val="3"/>
        <charset val="128"/>
        <scheme val="minor"/>
      </rPr>
      <t>曼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</si>
  <si>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蒸煮提取物（利口酒和烈酒）; 威士忌; 朗姆酒;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</si>
  <si>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鉴</t>
    </r>
    <r>
      <rPr>
        <sz val="11"/>
        <color theme="1"/>
        <rFont val="ＭＳ Ｐゴシック"/>
        <family val="3"/>
        <charset val="128"/>
        <scheme val="minor"/>
      </rPr>
      <t>六朝</t>
    </r>
  </si>
  <si>
    <t>李林</t>
  </si>
  <si>
    <r>
      <t>黄酒; 白酒; 清酒（日本米酒）;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果酒; 开胃酒</t>
    </r>
  </si>
  <si>
    <r>
      <t>膳小</t>
    </r>
    <r>
      <rPr>
        <sz val="11"/>
        <color theme="1"/>
        <rFont val="ＭＳ Ｐゴシック"/>
        <family val="3"/>
        <charset val="134"/>
        <scheme val="minor"/>
      </rPr>
      <t>灿</t>
    </r>
  </si>
  <si>
    <r>
      <t>马东</t>
    </r>
    <r>
      <rPr>
        <sz val="11"/>
        <color theme="1"/>
        <rFont val="ＭＳ Ｐゴシック"/>
        <family val="3"/>
        <charset val="128"/>
        <scheme val="minor"/>
      </rPr>
      <t>涛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</si>
  <si>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餐后酒（利口酒和烈酒）; 葡萄酒</t>
    </r>
  </si>
  <si>
    <t>金升熹</t>
  </si>
  <si>
    <r>
      <t>陈</t>
    </r>
    <r>
      <rPr>
        <sz val="11"/>
        <color theme="1"/>
        <rFont val="ＭＳ Ｐゴシック"/>
        <family val="3"/>
        <charset val="128"/>
        <scheme val="minor"/>
      </rPr>
      <t>威</t>
    </r>
  </si>
  <si>
    <r>
      <t>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</si>
  <si>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金樽逢春</t>
  </si>
  <si>
    <t>汝洪涛******************</t>
  </si>
  <si>
    <r>
      <t xml:space="preserve">葡萄酒; 米酒; 果酒（含酒精）; 食用酒精; 蜂蜜酒; 清酒;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开胃酒</t>
    </r>
  </si>
  <si>
    <r>
      <t>岂</t>
    </r>
    <r>
      <rPr>
        <sz val="11"/>
        <color theme="1"/>
        <rFont val="ＭＳ Ｐゴシック"/>
        <family val="3"/>
        <charset val="128"/>
        <scheme val="minor"/>
      </rPr>
      <t>霞愁</t>
    </r>
  </si>
  <si>
    <r>
      <t>河南初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</si>
  <si>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高粱酒; 葡萄酒; 梨酒; 米酒; 青稞酒; 果酒（含酒精）;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</si>
  <si>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米姥姥糯言</t>
  </si>
  <si>
    <r>
      <t>湖北米秀食品有限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</si>
  <si>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露酒; 食用酒精; 果酒（含酒精）;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</si>
  <si>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中投盟</t>
  </si>
  <si>
    <r>
      <t>徐</t>
    </r>
    <r>
      <rPr>
        <sz val="11"/>
        <color theme="1"/>
        <rFont val="ＭＳ Ｐゴシック"/>
        <family val="3"/>
        <charset val="134"/>
        <scheme val="minor"/>
      </rPr>
      <t>节</t>
    </r>
  </si>
  <si>
    <r>
      <t>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清酒;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</si>
  <si>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集一里</t>
  </si>
  <si>
    <t>四川集里未来数字科技有限公司</t>
  </si>
  <si>
    <r>
      <t xml:space="preserve">威士忌; 开胃酒; 葡萄酒;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杜松子酒;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</si>
  <si>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晋民</t>
  </si>
  <si>
    <r>
      <t>郭</t>
    </r>
    <r>
      <rPr>
        <sz val="11"/>
        <color theme="1"/>
        <rFont val="ＭＳ Ｐゴシック"/>
        <family val="3"/>
        <charset val="134"/>
        <scheme val="minor"/>
      </rPr>
      <t>锋</t>
    </r>
    <r>
      <rPr>
        <sz val="11"/>
        <color theme="1"/>
        <rFont val="ＭＳ Ｐゴシック"/>
        <family val="3"/>
        <charset val="128"/>
        <scheme val="minor"/>
      </rPr>
      <t>亮</t>
    </r>
  </si>
  <si>
    <r>
      <t xml:space="preserve">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蜂蜜酒;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</si>
  <si>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r>
      <t>胜</t>
    </r>
    <r>
      <rPr>
        <sz val="11"/>
        <color theme="1"/>
        <rFont val="ＭＳ Ｐゴシック"/>
        <family val="3"/>
        <charset val="128"/>
        <scheme val="minor"/>
      </rPr>
      <t>元公</t>
    </r>
  </si>
  <si>
    <t>李智茵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</si>
  <si>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米酒; 开胃酒; 威士忌;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</si>
  <si>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猫刻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</si>
  <si>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英豪啤酒有限公司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</si>
  <si>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利口酒; 清酒（日本米酒）;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</si>
  <si>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LEAFCHEER</t>
  </si>
  <si>
    <r>
      <t xml:space="preserve">白酒;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</si>
  <si>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赐</t>
    </r>
    <r>
      <rPr>
        <sz val="11"/>
        <color theme="1"/>
        <rFont val="ＭＳ Ｐゴシック"/>
        <family val="3"/>
        <charset val="128"/>
        <scheme val="minor"/>
      </rPr>
      <t>客卿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</si>
  <si>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果酒（含酒精）;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</t>
    </r>
  </si>
  <si>
    <t>云直元</t>
  </si>
  <si>
    <r>
      <t>内蒙古塞外朔漠中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材有限公司</t>
    </r>
  </si>
  <si>
    <r>
      <t xml:space="preserve">高粱酒;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白干酒（中国白酒）; 白酒;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利口酒</t>
    </r>
  </si>
  <si>
    <r>
      <t>协</t>
    </r>
    <r>
      <rPr>
        <sz val="11"/>
        <color theme="1"/>
        <rFont val="ＭＳ Ｐゴシック"/>
        <family val="3"/>
        <charset val="128"/>
        <scheme val="minor"/>
      </rPr>
      <t>厨</t>
    </r>
    <r>
      <rPr>
        <sz val="11"/>
        <color theme="1"/>
        <rFont val="ＭＳ Ｐゴシック"/>
        <family val="3"/>
        <charset val="134"/>
        <scheme val="minor"/>
      </rPr>
      <t>忆</t>
    </r>
  </si>
  <si>
    <r>
      <t>江西省</t>
    </r>
    <r>
      <rPr>
        <sz val="11"/>
        <color theme="1"/>
        <rFont val="ＭＳ Ｐゴシック"/>
        <family val="3"/>
        <charset val="134"/>
        <scheme val="minor"/>
      </rPr>
      <t>艺乡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</si>
  <si>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烈酒;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食用酒精; 黄酒; 甜酒</t>
    </r>
  </si>
  <si>
    <r>
      <t>芝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祥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</si>
  <si>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芝源餐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</si>
  <si>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白酒; 米酒; 黄酒;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</si>
  <si>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猫租客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</si>
  <si>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苹果酒; 葡萄酒;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</si>
  <si>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朴海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</si>
  <si>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朴海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方文化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</si>
  <si>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果酒; 葡萄酒; 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</si>
  <si>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甜滋萌</t>
  </si>
  <si>
    <t>云南松柏梨健康食品有限公司</t>
  </si>
  <si>
    <r>
      <t xml:space="preserve">苹果酒; 梨酒; 果酒（含酒精）; 葡萄酒; 白酒; 米酒;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</si>
  <si>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喓</t>
    </r>
    <r>
      <rPr>
        <sz val="11"/>
        <color theme="1"/>
        <rFont val="ＭＳ Ｐゴシック"/>
        <family val="3"/>
        <charset val="134"/>
        <scheme val="minor"/>
      </rPr>
      <t>咣</t>
    </r>
    <r>
      <rPr>
        <sz val="11"/>
        <color theme="1"/>
        <rFont val="ＭＳ Ｐゴシック"/>
        <family val="3"/>
        <charset val="128"/>
        <scheme val="minor"/>
      </rPr>
      <t>喓</t>
    </r>
    <r>
      <rPr>
        <sz val="11"/>
        <color theme="1"/>
        <rFont val="ＭＳ Ｐゴシック"/>
        <family val="3"/>
        <charset val="134"/>
        <scheme val="minor"/>
      </rPr>
      <t>咣</t>
    </r>
  </si>
  <si>
    <r>
      <t>合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泰号商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（西安）有限公司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</si>
  <si>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黄酒; 汽酒; 甜酒</t>
    </r>
  </si>
  <si>
    <t>礼三照</t>
  </si>
  <si>
    <r>
      <t>上海礼三照文化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</si>
  <si>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黄酒; 白酒;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清酒（日本米酒）; 米酒</t>
    </r>
  </si>
  <si>
    <t>蒲鹿</t>
  </si>
  <si>
    <r>
      <t>上海克庄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院品牌管理有限公司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</si>
  <si>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果酒; 黄酒; 葡萄酒; 白酒; 甜酒; 烈酒; 清酒</t>
    </r>
  </si>
  <si>
    <t>恪膳</t>
  </si>
  <si>
    <t>安徽木伴花生物科技有限公司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</si>
  <si>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果酒; 食用酒精;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</si>
  <si>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仙合樽</t>
  </si>
  <si>
    <r>
      <t>果酒（含酒精）; 含酒精的气泡水; 黄酒; 食用酒精;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</si>
  <si>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柠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锤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</si>
  <si>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蒲英</t>
    </r>
  </si>
  <si>
    <r>
      <t>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清酒;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</t>
    </r>
  </si>
  <si>
    <r>
      <t>林叶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洲</t>
    </r>
  </si>
  <si>
    <r>
      <t>林</t>
    </r>
    <r>
      <rPr>
        <sz val="11"/>
        <color theme="1"/>
        <rFont val="ＭＳ Ｐゴシック"/>
        <family val="3"/>
        <charset val="134"/>
        <scheme val="minor"/>
      </rPr>
      <t>长桥</t>
    </r>
  </si>
  <si>
    <r>
      <t xml:space="preserve">米酒; 威士忌;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</si>
  <si>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恋恒</t>
    </r>
    <r>
      <rPr>
        <sz val="11"/>
        <color theme="1"/>
        <rFont val="ＭＳ Ｐゴシック"/>
        <family val="3"/>
        <charset val="134"/>
        <scheme val="minor"/>
      </rPr>
      <t>贝贝</t>
    </r>
  </si>
  <si>
    <t>四川恋恒科技有限公司</t>
  </si>
  <si>
    <r>
      <t>果酒（含酒精）;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食用酒精;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</si>
  <si>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理想赫</t>
  </si>
  <si>
    <r>
      <t>陈</t>
    </r>
    <r>
      <rPr>
        <sz val="11"/>
        <color theme="1"/>
        <rFont val="ＭＳ Ｐゴシック"/>
        <family val="3"/>
        <charset val="128"/>
        <scheme val="minor"/>
      </rPr>
      <t>友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</si>
  <si>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葡萄酒; 黄酒; 开胃酒;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蒸煮提取物（利口酒和烈酒）;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</si>
  <si>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似</t>
    </r>
    <r>
      <rPr>
        <sz val="11"/>
        <color theme="1"/>
        <rFont val="ＭＳ Ｐゴシック"/>
        <family val="3"/>
        <charset val="134"/>
        <scheme val="minor"/>
      </rPr>
      <t>侬</t>
    </r>
    <r>
      <rPr>
        <sz val="11"/>
        <color theme="1"/>
        <rFont val="ＭＳ Ｐゴシック"/>
        <family val="3"/>
        <charset val="128"/>
        <scheme val="minor"/>
      </rPr>
      <t>愁</t>
    </r>
  </si>
  <si>
    <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黄酒; 威士忌; 果酒（含酒精）; 梨酒; 青稞酒; 高粱酒</t>
    </r>
  </si>
  <si>
    <r>
      <t>柏宁</t>
    </r>
    <r>
      <rPr>
        <sz val="11"/>
        <color theme="1"/>
        <rFont val="ＭＳ Ｐゴシック"/>
        <family val="3"/>
        <charset val="134"/>
        <scheme val="minor"/>
      </rPr>
      <t>鉴</t>
    </r>
  </si>
  <si>
    <r>
      <t>山西柏宁商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</si>
  <si>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果酒(含酒精);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料(啤酒除外); 黄酒; 白酒; 米酒; 葡萄酒; 食用酒精</t>
    </r>
  </si>
  <si>
    <r>
      <t>花</t>
    </r>
    <r>
      <rPr>
        <sz val="11"/>
        <color theme="1"/>
        <rFont val="ＭＳ Ｐゴシック"/>
        <family val="3"/>
        <charset val="134"/>
        <scheme val="minor"/>
      </rPr>
      <t>烛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</si>
  <si>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 xml:space="preserve">米酒; 白酒; 开胃酒;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蜂蜜酒; 果酒（含酒精）; 食用酒精; 葡萄酒</t>
    </r>
  </si>
  <si>
    <t>周公康玖玖</t>
  </si>
  <si>
    <r>
      <t>周恭酒樽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易（福清）有限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</si>
  <si>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果酒（含酒精）; 葡萄酒; 高粱酒; 白酒; 黄酒; 露酒;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青稞酒</t>
    </r>
  </si>
  <si>
    <t>舒鹿</t>
  </si>
  <si>
    <r>
      <t xml:space="preserve">黄酒; 白酒; 果酒;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汽酒; 清酒; 烈酒</t>
    </r>
  </si>
  <si>
    <t>佰幽古</t>
  </si>
  <si>
    <t>吉林省宏吉参茸有限公司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</si>
  <si>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葡萄酒; 高粱酒; 蜂蜜酒; 白酒;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</si>
  <si>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醉小汀</t>
  </si>
  <si>
    <r>
      <t>亳州市口之福商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</si>
  <si>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黄酒</t>
    </r>
  </si>
  <si>
    <t>中唐圣帝</t>
  </si>
  <si>
    <r>
      <t>北京中唐盛通商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</si>
  <si>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</si>
  <si>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心媳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</si>
  <si>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露酒; 白酒;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伏特加酒; 果酒</t>
    </r>
  </si>
  <si>
    <t>泥江</t>
  </si>
  <si>
    <r>
      <t>张爱</t>
    </r>
    <r>
      <rPr>
        <sz val="11"/>
        <color theme="1"/>
        <rFont val="ＭＳ Ｐゴシック"/>
        <family val="3"/>
        <charset val="128"/>
        <scheme val="minor"/>
      </rPr>
      <t>霞</t>
    </r>
  </si>
  <si>
    <r>
      <t>白酒; 高粱酒;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</si>
  <si>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优</t>
    </r>
    <r>
      <rPr>
        <sz val="11"/>
        <color theme="1"/>
        <rFont val="ＭＳ Ｐゴシック"/>
        <family val="3"/>
        <charset val="128"/>
        <scheme val="minor"/>
      </rPr>
      <t>禾</t>
    </r>
    <r>
      <rPr>
        <sz val="11"/>
        <color theme="1"/>
        <rFont val="ＭＳ Ｐゴシック"/>
        <family val="3"/>
        <charset val="134"/>
        <scheme val="minor"/>
      </rPr>
      <t>欢贝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</si>
  <si>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禾投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</si>
  <si>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米酒; 葡萄酒; 汽酒;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</si>
  <si>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嫁眯醉</t>
  </si>
  <si>
    <r>
      <t>黎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霞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</si>
  <si>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米酒; 黄酒; 草莓酒; 白酒; 梅酒; 果酒（含酒精）; 蜂蜜酒; 苹果酒; 甜酒</t>
    </r>
  </si>
  <si>
    <r>
      <t>可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久</t>
    </r>
  </si>
  <si>
    <r>
      <t>深圳大</t>
    </r>
    <r>
      <rPr>
        <sz val="11"/>
        <color theme="1"/>
        <rFont val="ＭＳ Ｐゴシック"/>
        <family val="3"/>
        <charset val="134"/>
        <scheme val="minor"/>
      </rPr>
      <t>隐</t>
    </r>
    <r>
      <rPr>
        <sz val="11"/>
        <color theme="1"/>
        <rFont val="ＭＳ Ｐゴシック"/>
        <family val="3"/>
        <charset val="128"/>
        <scheme val="minor"/>
      </rPr>
      <t>文化有限公司</t>
    </r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</si>
  <si>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葡萄酒; 果酒（含酒精）; 威士忌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</si>
  <si>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坑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</si>
  <si>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高粱酒</t>
    </r>
  </si>
  <si>
    <t>GROW FANDOR</t>
  </si>
  <si>
    <r>
      <t>成</t>
    </r>
    <r>
      <rPr>
        <sz val="11"/>
        <color theme="1"/>
        <rFont val="ＭＳ Ｐゴシック"/>
        <family val="3"/>
        <charset val="134"/>
        <scheme val="minor"/>
      </rPr>
      <t>长奋</t>
    </r>
    <r>
      <rPr>
        <sz val="11"/>
        <color theme="1"/>
        <rFont val="ＭＳ Ｐゴシック"/>
        <family val="3"/>
        <charset val="128"/>
        <scheme val="minor"/>
      </rPr>
      <t>斗者网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科技（北京）有限公司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</si>
  <si>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米酒; 伏特加酒; 葡萄酒; 清酒（日本米酒）;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</t>
    </r>
  </si>
  <si>
    <r>
      <t>庆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浓</t>
    </r>
  </si>
  <si>
    <r>
      <t>成都</t>
    </r>
    <r>
      <rPr>
        <sz val="11"/>
        <color theme="1"/>
        <rFont val="ＭＳ Ｐゴシック"/>
        <family val="3"/>
        <charset val="134"/>
        <scheme val="minor"/>
      </rPr>
      <t>汇视</t>
    </r>
    <r>
      <rPr>
        <sz val="11"/>
        <color theme="1"/>
        <rFont val="ＭＳ Ｐゴシック"/>
        <family val="3"/>
        <charset val="128"/>
        <scheme val="minor"/>
      </rPr>
      <t>盟眼</t>
    </r>
    <r>
      <rPr>
        <sz val="11"/>
        <color theme="1"/>
        <rFont val="ＭＳ Ｐゴシック"/>
        <family val="3"/>
        <charset val="134"/>
        <scheme val="minor"/>
      </rPr>
      <t>镜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</si>
  <si>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威士忌</t>
    </r>
  </si>
  <si>
    <t>士口泉</t>
  </si>
  <si>
    <r>
      <t>长</t>
    </r>
    <r>
      <rPr>
        <sz val="11"/>
        <color theme="1"/>
        <rFont val="ＭＳ Ｐゴシック"/>
        <family val="3"/>
        <charset val="128"/>
        <scheme val="minor"/>
      </rPr>
      <t>春市士口商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</si>
  <si>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清酒（日本米酒）; 葡萄酒; 果酒（含酒精）;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开胃酒</t>
    </r>
  </si>
  <si>
    <t>仙皇最</t>
  </si>
  <si>
    <r>
      <t xml:space="preserve">葡萄酒; 果酒（含酒精）; 含酒精的气泡水; 威士忌; 开胃酒;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</si>
  <si>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法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曼</t>
    </r>
  </si>
  <si>
    <r>
      <t>魏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</si>
  <si>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食用酒精; 清酒（日本米酒）; 果酒（含酒精）</t>
    </r>
  </si>
  <si>
    <t>恩美柯瀚斯</t>
  </si>
  <si>
    <r>
      <t>恩美柯瀚斯酒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</si>
  <si>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威士忌; 杜松子酒; 黄酒; 葡萄酒;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</si>
  <si>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秦阿妹</t>
  </si>
  <si>
    <r>
      <t>宝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德信食品有限公司</t>
    </r>
  </si>
  <si>
    <r>
      <t>果酒（含酒精）; 米酒;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</si>
  <si>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杏小花媳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</si>
  <si>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 xml:space="preserve">葡萄酒; 威士忌; 伏特加酒; 露酒; 果酒; 清酒;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</si>
  <si>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优</t>
    </r>
    <r>
      <rPr>
        <sz val="11"/>
        <color theme="1"/>
        <rFont val="ＭＳ Ｐゴシック"/>
        <family val="3"/>
        <charset val="128"/>
        <scheme val="minor"/>
      </rPr>
      <t>禾美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</si>
  <si>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</si>
  <si>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神奇土壤</t>
  </si>
  <si>
    <r>
      <t>马</t>
    </r>
    <r>
      <rPr>
        <sz val="11"/>
        <color theme="1"/>
        <rFont val="ＭＳ Ｐゴシック"/>
        <family val="3"/>
        <charset val="128"/>
        <scheme val="minor"/>
      </rPr>
      <t>文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</si>
  <si>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</si>
  <si>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r>
      <t>清媳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</si>
  <si>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露酒;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威士忌; 果酒; 清酒</t>
    </r>
  </si>
  <si>
    <r>
      <t>张张</t>
    </r>
    <r>
      <rPr>
        <sz val="11"/>
        <color theme="1"/>
        <rFont val="ＭＳ Ｐゴシック"/>
        <family val="3"/>
        <charset val="128"/>
        <scheme val="minor"/>
      </rPr>
      <t>的喜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</si>
  <si>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文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</si>
  <si>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餐后酒（利口酒和烈酒）; 含酒精的气泡水; 麦芽威士忌; 混合威士忌酒;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白干酒（中国白酒）;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</si>
  <si>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威</t>
    </r>
    <r>
      <rPr>
        <sz val="11"/>
        <color theme="1"/>
        <rFont val="ＭＳ Ｐゴシック"/>
        <family val="3"/>
        <charset val="134"/>
        <scheme val="minor"/>
      </rPr>
      <t>补</t>
    </r>
  </si>
  <si>
    <r>
      <t>杜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英</t>
    </r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</si>
  <si>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含酒精的气泡水; 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</si>
  <si>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瓷媳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</si>
  <si>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威士忌; 白酒; 葡萄酒; 露酒;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</t>
    </r>
  </si>
  <si>
    <t>BB</t>
  </si>
  <si>
    <r>
      <t>顾长</t>
    </r>
    <r>
      <rPr>
        <sz val="11"/>
        <color theme="1"/>
        <rFont val="ＭＳ Ｐゴシック"/>
        <family val="3"/>
        <charset val="128"/>
        <scheme val="minor"/>
      </rPr>
      <t>兵</t>
    </r>
  </si>
  <si>
    <r>
      <t xml:space="preserve">利口酒;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青稞酒; 果酒（含酒精）</t>
    </r>
  </si>
  <si>
    <r>
      <t>巽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拍案</t>
    </r>
  </si>
  <si>
    <r>
      <t>巽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二淇（成都）科技有限公司</t>
    </r>
  </si>
  <si>
    <t>白酒; 果酒（含酒精）</t>
  </si>
  <si>
    <r>
      <t>聚</t>
    </r>
    <r>
      <rPr>
        <sz val="11"/>
        <color theme="1"/>
        <rFont val="ＭＳ Ｐゴシック"/>
        <family val="3"/>
        <charset val="134"/>
        <scheme val="minor"/>
      </rPr>
      <t>汇邻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</si>
  <si>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聚城城市服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</si>
  <si>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果酒（含酒精）; 食用酒精; 白酒;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清酒（日本米酒）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</si>
  <si>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妇</t>
    </r>
    <r>
      <rPr>
        <sz val="11"/>
        <color theme="1"/>
        <rFont val="ＭＳ Ｐゴシック"/>
        <family val="3"/>
        <charset val="128"/>
        <scheme val="minor"/>
      </rPr>
      <t>媳</t>
    </r>
  </si>
  <si>
    <r>
      <t>葡萄酒; 白酒;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露酒; 果酒</t>
    </r>
  </si>
  <si>
    <r>
      <t>鸳</t>
    </r>
    <r>
      <rPr>
        <sz val="11"/>
        <color theme="1"/>
        <rFont val="ＭＳ Ｐゴシック"/>
        <family val="3"/>
        <charset val="128"/>
        <scheme val="minor"/>
      </rPr>
      <t>宝</t>
    </r>
  </si>
  <si>
    <r>
      <t>鹤</t>
    </r>
    <r>
      <rPr>
        <sz val="11"/>
        <color theme="1"/>
        <rFont val="ＭＳ Ｐゴシック"/>
        <family val="3"/>
        <charset val="128"/>
        <scheme val="minor"/>
      </rPr>
      <t>壁市源盈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</si>
  <si>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高粱酒;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白干酒（中国白酒）; 烈酒</t>
    </r>
  </si>
  <si>
    <t>喆稻舂谷</t>
  </si>
  <si>
    <r>
      <t>建德市稻府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</si>
  <si>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梨酒;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清酒（日本米酒）; 白酒; 果酒（含酒精）</t>
    </r>
  </si>
  <si>
    <r>
      <t>优</t>
    </r>
    <r>
      <rPr>
        <sz val="11"/>
        <color theme="1"/>
        <rFont val="ＭＳ Ｐゴシック"/>
        <family val="3"/>
        <charset val="128"/>
        <scheme val="minor"/>
      </rPr>
      <t>禾芝</t>
    </r>
    <r>
      <rPr>
        <sz val="11"/>
        <color theme="1"/>
        <rFont val="ＭＳ Ｐゴシック"/>
        <family val="3"/>
        <charset val="134"/>
        <scheme val="minor"/>
      </rPr>
      <t>贝</t>
    </r>
  </si>
  <si>
    <r>
      <t xml:space="preserve">清酒（日本米酒）; 葡萄酒; 黄酒; 汽酒;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</si>
  <si>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斐河春</t>
  </si>
  <si>
    <r>
      <t>黎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</si>
  <si>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葡萄酒; 米酒; 黄酒;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蜂蜜酒</t>
    </r>
  </si>
  <si>
    <t>黔喃特</t>
  </si>
  <si>
    <t>郭波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</si>
  <si>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米酒; 果酒（含酒精）</t>
    </r>
  </si>
  <si>
    <t>再慧</t>
  </si>
  <si>
    <r>
      <t>河南慧投文化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</si>
  <si>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利口酒; 果酒（含酒精）;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</t>
    </r>
  </si>
  <si>
    <r>
      <t>桃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友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</si>
  <si>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多多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</si>
  <si>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</si>
  <si>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一品六春湖</t>
  </si>
  <si>
    <r>
      <t>浙江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游和熙商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</si>
  <si>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汽酒; 白酒; 果酒（含酒精）; 葡萄酒</t>
    </r>
  </si>
  <si>
    <r>
      <t>香媳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</si>
  <si>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威士忌; 白酒; 葡萄酒; 果酒;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</si>
  <si>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GROW DREAMER</t>
  </si>
  <si>
    <r>
      <t xml:space="preserve">清酒（日本米酒）; 米酒;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白酒;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</si>
  <si>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媳小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</si>
  <si>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 xml:space="preserve">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果酒; 清酒</t>
    </r>
  </si>
  <si>
    <t>炭家庄</t>
  </si>
  <si>
    <t>王林肖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</si>
  <si>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</si>
  <si>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聚回首</t>
  </si>
  <si>
    <r>
      <t>果酒（含酒精）; 白酒; 苹果酒; 葡萄酒; 黄酒;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</si>
  <si>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酉曲情</t>
  </si>
  <si>
    <r>
      <t>杨</t>
    </r>
    <r>
      <rPr>
        <sz val="11"/>
        <color theme="1"/>
        <rFont val="ＭＳ Ｐゴシック"/>
        <family val="3"/>
        <charset val="128"/>
        <scheme val="minor"/>
      </rPr>
      <t>浩康</t>
    </r>
  </si>
  <si>
    <r>
      <t>青稞酒; 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薄荷酒; 果酒（含酒精）;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果酒; 米酒</t>
    </r>
  </si>
  <si>
    <t>神洲景</t>
  </si>
  <si>
    <r>
      <t>王少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</si>
  <si>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汽酒; 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米酒; 清酒;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</si>
  <si>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蜜王雅</t>
    </r>
    <r>
      <rPr>
        <sz val="11"/>
        <color theme="1"/>
        <rFont val="ＭＳ Ｐゴシック"/>
        <family val="3"/>
        <charset val="134"/>
        <scheme val="minor"/>
      </rPr>
      <t>轩</t>
    </r>
  </si>
  <si>
    <t>周静</t>
  </si>
  <si>
    <r>
      <t>青稞酒; 清酒（日本米酒）;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蜂蜜酒; 汽酒; 黄酒; 葡萄酒; 含酒精的气泡水</t>
    </r>
  </si>
  <si>
    <r>
      <t>醉美媳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</si>
  <si>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露酒;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伏特加酒;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</si>
  <si>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APRAZ</t>
  </si>
  <si>
    <t>魏牡</t>
  </si>
  <si>
    <r>
      <t>利口酒; 伏特加酒;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开胃酒; 朗姆酒; 汽酒; 餐后酒（利口酒和烈酒）; 白干酒（中国白酒）; 白酒; 威士忌</t>
    </r>
  </si>
  <si>
    <t>二淇</t>
  </si>
  <si>
    <t>果酒（含酒精）; 白酒</t>
  </si>
  <si>
    <t>隶好</t>
  </si>
  <si>
    <r>
      <t>保定市昌运家具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</si>
  <si>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食用酒精;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蜂蜜酒; 白酒</t>
    </r>
  </si>
  <si>
    <r>
      <t>易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你</t>
    </r>
  </si>
  <si>
    <r>
      <t>深圳市威</t>
    </r>
    <r>
      <rPr>
        <sz val="11"/>
        <color theme="1"/>
        <rFont val="ＭＳ Ｐゴシック"/>
        <family val="3"/>
        <charset val="134"/>
        <scheme val="minor"/>
      </rPr>
      <t>畅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</si>
  <si>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青梅酒; 葡萄酒; 清酒（日本米酒）;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</si>
  <si>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蓉八宝</t>
  </si>
  <si>
    <r>
      <t>中和康养（天津）健康科技集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</si>
  <si>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白干酒（中国白酒）; 开胃酒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</si>
  <si>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钻贺</t>
    </r>
  </si>
  <si>
    <t>刘春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</si>
  <si>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汽酒; 梅酒; 葡萄酒; 黄酒; 米酒; 甜酒; 威士忌</t>
    </r>
  </si>
  <si>
    <t>平茂</t>
  </si>
  <si>
    <r>
      <t>陆</t>
    </r>
    <r>
      <rPr>
        <sz val="11"/>
        <color theme="1"/>
        <rFont val="ＭＳ Ｐゴシック"/>
        <family val="3"/>
        <charset val="128"/>
        <scheme val="minor"/>
      </rPr>
      <t>小霞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</si>
  <si>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威士忌</t>
    </r>
  </si>
  <si>
    <t>古王名</t>
  </si>
  <si>
    <r>
      <t>葡萄酒;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</si>
  <si>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宁夏紫</t>
    </r>
    <r>
      <rPr>
        <sz val="11"/>
        <color theme="1"/>
        <rFont val="ＭＳ Ｐゴシック"/>
        <family val="3"/>
        <charset val="134"/>
        <scheme val="minor"/>
      </rPr>
      <t>阙</t>
    </r>
    <r>
      <rPr>
        <sz val="11"/>
        <color theme="1"/>
        <rFont val="ＭＳ Ｐゴシック"/>
        <family val="3"/>
        <charset val="128"/>
        <scheme val="minor"/>
      </rPr>
      <t>天和葡萄酒庄有限公司</t>
    </r>
  </si>
  <si>
    <r>
      <t>葡萄酒; 汽酒; 威士忌; 开胃酒; 利口酒;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</si>
  <si>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黄杜宜</t>
  </si>
  <si>
    <r>
      <t>湖北</t>
    </r>
    <r>
      <rPr>
        <sz val="11"/>
        <color theme="1"/>
        <rFont val="ＭＳ Ｐゴシック"/>
        <family val="3"/>
        <charset val="134"/>
        <scheme val="minor"/>
      </rPr>
      <t>鹤</t>
    </r>
    <r>
      <rPr>
        <sz val="11"/>
        <color theme="1"/>
        <rFont val="ＭＳ Ｐゴシック"/>
        <family val="3"/>
        <charset val="128"/>
        <scheme val="minor"/>
      </rPr>
      <t>峰茗</t>
    </r>
    <r>
      <rPr>
        <sz val="11"/>
        <color theme="1"/>
        <rFont val="ＭＳ Ｐゴシック"/>
        <family val="3"/>
        <charset val="134"/>
        <scheme val="minor"/>
      </rPr>
      <t>鹤农业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</si>
  <si>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</si>
  <si>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t>仁王名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</si>
  <si>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</si>
  <si>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帛</t>
    </r>
    <r>
      <rPr>
        <sz val="11"/>
        <color theme="1"/>
        <rFont val="ＭＳ Ｐゴシック"/>
        <family val="3"/>
        <charset val="134"/>
        <scheme val="minor"/>
      </rPr>
      <t>书</t>
    </r>
  </si>
  <si>
    <t>李冬冬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</si>
  <si>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果酒（含酒精）; 青稞酒</t>
    </r>
  </si>
  <si>
    <t>添养能</t>
  </si>
  <si>
    <r>
      <t>郑</t>
    </r>
    <r>
      <rPr>
        <sz val="11"/>
        <color theme="1"/>
        <rFont val="ＭＳ Ｐゴシック"/>
        <family val="3"/>
        <charset val="128"/>
        <scheme val="minor"/>
      </rPr>
      <t>福</t>
    </r>
    <r>
      <rPr>
        <sz val="11"/>
        <color theme="1"/>
        <rFont val="ＭＳ Ｐゴシック"/>
        <family val="3"/>
        <charset val="134"/>
        <scheme val="minor"/>
      </rPr>
      <t>娇</t>
    </r>
  </si>
  <si>
    <r>
      <t>白酒; 果酒（含酒精）; 米酒; 黄酒; 葡萄酒;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</si>
  <si>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医路成歌</t>
  </si>
  <si>
    <t>新疆聚鑫益信息科技有限公司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</si>
  <si>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</t>
    </r>
  </si>
  <si>
    <r>
      <t>艺</t>
    </r>
    <r>
      <rPr>
        <sz val="11"/>
        <color theme="1"/>
        <rFont val="ＭＳ Ｐゴシック"/>
        <family val="3"/>
        <charset val="128"/>
        <scheme val="minor"/>
      </rPr>
      <t>程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</si>
  <si>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</t>
    </r>
    <r>
      <rPr>
        <sz val="11"/>
        <color theme="1"/>
        <rFont val="ＭＳ Ｐゴシック"/>
        <family val="3"/>
        <charset val="134"/>
        <scheme val="minor"/>
      </rPr>
      <t>艺龙</t>
    </r>
    <r>
      <rPr>
        <sz val="11"/>
        <color theme="1"/>
        <rFont val="ＭＳ Ｐゴシック"/>
        <family val="3"/>
        <charset val="128"/>
        <scheme val="minor"/>
      </rPr>
      <t>酒店管理有限公司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</si>
  <si>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黄酒; 米酒</t>
    </r>
  </si>
  <si>
    <r>
      <t>旭</t>
    </r>
    <r>
      <rPr>
        <sz val="11"/>
        <color theme="1"/>
        <rFont val="ＭＳ Ｐゴシック"/>
        <family val="3"/>
        <charset val="134"/>
        <scheme val="minor"/>
      </rPr>
      <t>鸿</t>
    </r>
  </si>
  <si>
    <r>
      <t>广州旭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</si>
  <si>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清酒（日本米酒）; 葡萄酒; 开胃酒; 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</si>
  <si>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醉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仙</t>
    </r>
    <r>
      <rPr>
        <sz val="11"/>
        <color theme="1"/>
        <rFont val="ＭＳ Ｐゴシック"/>
        <family val="3"/>
        <charset val="134"/>
        <scheme val="minor"/>
      </rPr>
      <t>风</t>
    </r>
  </si>
  <si>
    <t>唐山</t>
  </si>
  <si>
    <r>
      <t>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</si>
  <si>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沈桃台</t>
  </si>
  <si>
    <r>
      <t>果酒（含酒精）; 葡萄酒; 开胃酒;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苦味酒; 白酒; 伏特加酒</t>
    </r>
  </si>
  <si>
    <r>
      <t>雷</t>
    </r>
    <r>
      <rPr>
        <sz val="11"/>
        <color theme="1"/>
        <rFont val="ＭＳ Ｐゴシック"/>
        <family val="3"/>
        <charset val="134"/>
        <scheme val="minor"/>
      </rPr>
      <t>隐</t>
    </r>
  </si>
  <si>
    <r>
      <t>徐州彭城甄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食品科技有限公司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</si>
  <si>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</t>
    </r>
  </si>
  <si>
    <t>百千非</t>
  </si>
  <si>
    <t>黄加其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</si>
  <si>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果酒; 烈性干酒;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</t>
    </r>
  </si>
  <si>
    <t>涡风</t>
  </si>
  <si>
    <r>
      <t>亳州市玄戈商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</si>
  <si>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白酒; 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青梅酒; 米酒; 葡萄酒</t>
    </r>
  </si>
  <si>
    <t>考旧</t>
  </si>
  <si>
    <t>成都文物考古研究院</t>
  </si>
  <si>
    <r>
      <t>果酒（含酒精）; 米酒; 白酒; 清酒; 梅酒; 葡萄酒; 威士忌;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</si>
  <si>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斟醺</t>
  </si>
  <si>
    <r>
      <t>杨则</t>
    </r>
    <r>
      <rPr>
        <sz val="11"/>
        <color theme="1"/>
        <rFont val="ＭＳ Ｐゴシック"/>
        <family val="3"/>
        <charset val="128"/>
        <scheme val="minor"/>
      </rPr>
      <t>彧</t>
    </r>
  </si>
  <si>
    <r>
      <t>食用酒精; 伏特加酒;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威士忌; 朗姆酒; 葡萄酒</t>
    </r>
  </si>
  <si>
    <r>
      <t>黑</t>
    </r>
    <r>
      <rPr>
        <sz val="11"/>
        <color theme="1"/>
        <rFont val="ＭＳ Ｐゴシック"/>
        <family val="3"/>
        <charset val="134"/>
        <scheme val="minor"/>
      </rPr>
      <t>镜</t>
    </r>
  </si>
  <si>
    <r>
      <t>四川葚爽酒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</si>
  <si>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</si>
  <si>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唐九宗</t>
  </si>
  <si>
    <r>
      <t>梁全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</si>
  <si>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果酒; 葡萄酒</t>
    </r>
  </si>
  <si>
    <r>
      <t>万仕</t>
    </r>
    <r>
      <rPr>
        <sz val="11"/>
        <color theme="1"/>
        <rFont val="ＭＳ Ｐゴシック"/>
        <family val="3"/>
        <charset val="134"/>
        <scheme val="minor"/>
      </rPr>
      <t>鸿</t>
    </r>
  </si>
  <si>
    <r>
      <t>葡萄酒; 白酒; 果酒（含酒精）;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</si>
  <si>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忆</t>
    </r>
    <r>
      <rPr>
        <sz val="11"/>
        <color theme="1"/>
        <rFont val="ＭＳ Ｐゴシック"/>
        <family val="3"/>
        <charset val="128"/>
        <scheme val="minor"/>
      </rPr>
      <t>宛醇</t>
    </r>
  </si>
  <si>
    <t>李莎</t>
  </si>
  <si>
    <r>
      <t>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果酒（含酒精）; 黄酒; 蜂蜜酒; 米酒; 葡萄酒; 甜酒; 白酒</t>
    </r>
  </si>
  <si>
    <t>酥粨旺</t>
  </si>
  <si>
    <t>桂林市小虹酥食品管理有限公司</t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</si>
  <si>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青稞酒;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</t>
    </r>
  </si>
  <si>
    <t>闽顺</t>
  </si>
  <si>
    <t>李正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</si>
  <si>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果酒; 开胃酒;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威士忌</t>
    </r>
  </si>
  <si>
    <r>
      <t>麓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康</t>
    </r>
  </si>
  <si>
    <r>
      <t>潍</t>
    </r>
    <r>
      <rPr>
        <sz val="11"/>
        <color theme="1"/>
        <rFont val="ＭＳ Ｐゴシック"/>
        <family val="3"/>
        <charset val="128"/>
        <scheme val="minor"/>
      </rPr>
      <t>坊麓台酒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</si>
  <si>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葡萄酒</t>
    </r>
  </si>
  <si>
    <t>遇御宣</t>
  </si>
  <si>
    <r>
      <t>广州市景秀科技咨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</si>
  <si>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威士忌;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日本梅子酒;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</si>
  <si>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摘秋</t>
  </si>
  <si>
    <r>
      <t>星海餐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</si>
  <si>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</t>
    </r>
  </si>
  <si>
    <r>
      <t>驿</t>
    </r>
    <r>
      <rPr>
        <sz val="11"/>
        <color theme="1"/>
        <rFont val="ＭＳ Ｐゴシック"/>
        <family val="3"/>
        <charset val="128"/>
        <scheme val="minor"/>
      </rPr>
      <t>道御宣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</si>
  <si>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清酒（日本米酒）; 食用酒精; 薄荷酒;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日本梅子酒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</si>
  <si>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公沉浮</t>
    </r>
  </si>
  <si>
    <t>杨传军</t>
  </si>
  <si>
    <r>
      <t>果酒（含酒精）; 黄酒;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薄荷酒;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</si>
  <si>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器王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</si>
  <si>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黄酒; 米酒;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</si>
  <si>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麓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卿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</si>
  <si>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食用酒精;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</t>
    </r>
  </si>
  <si>
    <r>
      <t>玛</t>
    </r>
    <r>
      <rPr>
        <sz val="11"/>
        <color theme="1"/>
        <rFont val="ＭＳ Ｐゴシック"/>
        <family val="3"/>
        <charset val="128"/>
        <scheme val="minor"/>
      </rPr>
      <t>喜思密大</t>
    </r>
  </si>
  <si>
    <r>
      <t>李思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</si>
  <si>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蒸煮提取物（利口酒和烈酒）; 高粱酒; 米酒;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</t>
    </r>
  </si>
  <si>
    <r>
      <t>陇</t>
    </r>
    <r>
      <rPr>
        <sz val="11"/>
        <color theme="1"/>
        <rFont val="ＭＳ Ｐゴシック"/>
        <family val="3"/>
        <charset val="128"/>
        <scheme val="minor"/>
      </rPr>
      <t>年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</si>
  <si>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甘</t>
    </r>
    <r>
      <rPr>
        <sz val="11"/>
        <color theme="1"/>
        <rFont val="ＭＳ Ｐゴシック"/>
        <family val="3"/>
        <charset val="134"/>
        <scheme val="minor"/>
      </rPr>
      <t>肃</t>
    </r>
    <r>
      <rPr>
        <sz val="11"/>
        <color theme="1"/>
        <rFont val="ＭＳ Ｐゴシック"/>
        <family val="3"/>
        <charset val="128"/>
        <scheme val="minor"/>
      </rPr>
      <t>金屹科技有限公司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</si>
  <si>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葡萄酒; 高粱酒; 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</si>
  <si>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t>夜涌</t>
  </si>
  <si>
    <r>
      <t>上海溪桐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</si>
  <si>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白酒; 果酒（含酒精）;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</si>
  <si>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益立方</t>
  </si>
  <si>
    <r>
      <t>张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</si>
  <si>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</t>
    </r>
  </si>
  <si>
    <t>景洪市融媒体中心</t>
  </si>
  <si>
    <r>
      <t xml:space="preserve">葡萄酒; 薄荷酒; 白酒; 食用酒精;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黄酒; 开胃酒</t>
    </r>
  </si>
  <si>
    <r>
      <t>琼</t>
    </r>
    <r>
      <rPr>
        <sz val="11"/>
        <color theme="1"/>
        <rFont val="ＭＳ Ｐゴシック"/>
        <family val="3"/>
        <charset val="128"/>
        <scheme val="minor"/>
      </rPr>
      <t>崖道</t>
    </r>
  </si>
  <si>
    <t>海南特色食品有限公司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</si>
  <si>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开胃酒</t>
    </r>
  </si>
  <si>
    <r>
      <t>鱼</t>
    </r>
    <r>
      <rPr>
        <sz val="11"/>
        <color theme="1"/>
        <rFont val="ＭＳ Ｐゴシック"/>
        <family val="3"/>
        <charset val="128"/>
        <scheme val="minor"/>
      </rPr>
      <t>米江南</t>
    </r>
  </si>
  <si>
    <r>
      <t xml:space="preserve">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</si>
  <si>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LACADIERE</t>
  </si>
  <si>
    <r>
      <t>成都嘉德置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</si>
  <si>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</si>
  <si>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</si>
  <si>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 xml:space="preserve">佐餐酒; 果酒;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高粱酒; 黄酒; 米酒; 白酒; 开胃酒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</si>
  <si>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鋆</t>
    </r>
  </si>
  <si>
    <t>李宗美</t>
  </si>
  <si>
    <r>
      <t>白酒; 食用酒精; 威士忌;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</t>
    </r>
  </si>
  <si>
    <t>GL</t>
  </si>
  <si>
    <r>
      <t>河南高</t>
    </r>
    <r>
      <rPr>
        <sz val="11"/>
        <color theme="1"/>
        <rFont val="ＭＳ Ｐゴシック"/>
        <family val="3"/>
        <charset val="134"/>
        <scheme val="minor"/>
      </rPr>
      <t>丽电</t>
    </r>
    <r>
      <rPr>
        <sz val="11"/>
        <color theme="1"/>
        <rFont val="ＭＳ Ｐゴシック"/>
        <family val="3"/>
        <charset val="128"/>
        <scheme val="minor"/>
      </rPr>
      <t>力科技有限公司</t>
    </r>
  </si>
  <si>
    <r>
      <t>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</si>
  <si>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尚壹</t>
    </r>
    <r>
      <rPr>
        <sz val="11"/>
        <color theme="1"/>
        <rFont val="ＭＳ Ｐゴシック"/>
        <family val="3"/>
        <charset val="134"/>
        <scheme val="minor"/>
      </rPr>
      <t>捞</t>
    </r>
  </si>
  <si>
    <t>高永明</t>
  </si>
  <si>
    <r>
      <t xml:space="preserve">葡萄酒;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</si>
  <si>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淡商</t>
  </si>
  <si>
    <r>
      <t>淡于</t>
    </r>
    <r>
      <rPr>
        <sz val="11"/>
        <color theme="1"/>
        <rFont val="ＭＳ Ｐゴシック"/>
        <family val="3"/>
        <charset val="134"/>
        <scheme val="minor"/>
      </rPr>
      <t>隐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</si>
  <si>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梨酒; 汽酒; 威士忌; 果酒（含酒精）</t>
    </r>
  </si>
  <si>
    <t>ZHONGHIGH</t>
  </si>
  <si>
    <r>
      <t>沈阳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梅瑟新能源有限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</si>
  <si>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</si>
  <si>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乡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满</t>
    </r>
  </si>
  <si>
    <t>李息明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</si>
  <si>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</si>
  <si>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云途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礼</t>
    </r>
  </si>
  <si>
    <t>刘美卿******************</t>
  </si>
  <si>
    <r>
      <t xml:space="preserve">果酒（含酒精）;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青稞酒;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朗姆酒;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</si>
  <si>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辛草</t>
    </r>
    <r>
      <rPr>
        <sz val="11"/>
        <color theme="1"/>
        <rFont val="ＭＳ Ｐゴシック"/>
        <family val="3"/>
        <charset val="134"/>
        <scheme val="minor"/>
      </rPr>
      <t>记</t>
    </r>
  </si>
  <si>
    <t>黄果果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</si>
  <si>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含酒精的气泡水; 白酒; 露酒;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 xml:space="preserve">甜酒;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</si>
  <si>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辛草极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</si>
  <si>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露酒; 含酒精的气泡水; 黄酒; 白酒;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</si>
  <si>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君享</t>
    </r>
  </si>
  <si>
    <r>
      <t xml:space="preserve">葡萄酒;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青稞酒;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白酒</t>
    </r>
  </si>
  <si>
    <r>
      <t>藏梅山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</si>
  <si>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瑞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</si>
  <si>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日本梅子酒; 葡萄酒; </t>
    </r>
    <r>
      <rPr>
        <sz val="11"/>
        <color theme="1"/>
        <rFont val="Microsoft JhengHei"/>
        <family val="2"/>
        <charset val="136"/>
      </rPr>
      <t>樱</t>
    </r>
    <r>
      <rPr>
        <sz val="11"/>
        <color theme="1"/>
        <rFont val="ＭＳ Ｐゴシック"/>
        <family val="3"/>
        <charset val="128"/>
        <scheme val="minor"/>
      </rPr>
      <t>桃酒; 含水果酒精</t>
    </r>
    <r>
      <rPr>
        <sz val="11"/>
        <color theme="1"/>
        <rFont val="Microsoft JhengHei"/>
        <family val="2"/>
        <charset val="136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青梅酒; 开胃酒; 黄酒; 谷物制蒸</t>
    </r>
    <r>
      <rPr>
        <sz val="11"/>
        <color theme="1"/>
        <rFont val="Microsoft JhengHei"/>
        <family val="2"/>
        <charset val="136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Microsoft JhengHei"/>
        <family val="2"/>
        <charset val="136"/>
      </rPr>
      <t>饮</t>
    </r>
    <r>
      <rPr>
        <sz val="11"/>
        <color theme="1"/>
        <rFont val="ＭＳ Ｐゴシック"/>
        <family val="3"/>
        <charset val="128"/>
        <scheme val="minor"/>
      </rPr>
      <t>料; 梅酒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</si>
</sst>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m/dd"/>
    <numFmt numFmtId="177" formatCode="0_ "/>
  </numFmts>
  <fonts count="7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34"/>
      <scheme val="minor"/>
    </font>
    <font>
      <sz val="11"/>
      <color theme="1"/>
      <name val="ＭＳ Ｐゴシック"/>
      <family val="3"/>
      <charset val="129"/>
      <scheme val="minor"/>
    </font>
    <font>
      <sz val="11"/>
      <color theme="1"/>
      <name val="Microsoft JhengHei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top" wrapText="1"/>
    </xf>
    <xf numFmtId="49" fontId="0" fillId="2" borderId="1" xfId="0" applyNumberFormat="1" applyFill="1" applyBorder="1" applyAlignment="1">
      <alignment horizontal="center" vertical="top" wrapText="1"/>
    </xf>
    <xf numFmtId="177" fontId="0" fillId="2" borderId="1" xfId="0" applyNumberFormat="1" applyFill="1" applyBorder="1" applyAlignment="1">
      <alignment horizontal="center" vertical="top" wrapText="1"/>
    </xf>
    <xf numFmtId="176" fontId="0" fillId="2" borderId="1" xfId="0" applyNumberForma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49" fontId="0" fillId="0" borderId="0" xfId="0" applyNumberFormat="1" applyAlignment="1">
      <alignment vertical="top" wrapText="1"/>
    </xf>
    <xf numFmtId="177" fontId="0" fillId="0" borderId="0" xfId="0" applyNumberFormat="1" applyAlignment="1">
      <alignment vertical="top" wrapText="1"/>
    </xf>
    <xf numFmtId="176" fontId="0" fillId="0" borderId="0" xfId="0" applyNumberFormat="1" applyAlignment="1">
      <alignment vertical="top" wrapText="1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3" fillId="0" borderId="1" xfId="1" applyBorder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FB343-47C0-4CE0-8FAB-E7608847F386}">
  <dimension ref="A1:I3495"/>
  <sheetViews>
    <sheetView tabSelected="1" zoomScaleNormal="100" workbookViewId="0"/>
  </sheetViews>
  <sheetFormatPr defaultRowHeight="13.5" x14ac:dyDescent="0.15"/>
  <cols>
    <col min="1" max="1" width="9" style="5"/>
    <col min="2" max="2" width="9" style="6"/>
    <col min="3" max="3" width="9" style="7"/>
    <col min="4" max="4" width="11.625" style="8" customWidth="1"/>
    <col min="5" max="5" width="10.625" style="7" bestFit="1" customWidth="1"/>
    <col min="6" max="6" width="28.375" style="6" customWidth="1"/>
    <col min="7" max="7" width="31.375" style="6" customWidth="1"/>
    <col min="8" max="8" width="30.625" style="6" customWidth="1"/>
    <col min="9" max="9" width="11.625" style="8" bestFit="1" customWidth="1"/>
  </cols>
  <sheetData>
    <row r="1" spans="1:9" x14ac:dyDescent="0.15">
      <c r="A1" s="1" t="s">
        <v>8</v>
      </c>
      <c r="B1" s="2" t="s">
        <v>0</v>
      </c>
      <c r="C1" s="3" t="s">
        <v>1</v>
      </c>
      <c r="D1" s="4" t="s">
        <v>2</v>
      </c>
      <c r="E1" s="3" t="s">
        <v>3</v>
      </c>
      <c r="F1" s="2" t="s">
        <v>4</v>
      </c>
      <c r="G1" s="2" t="s">
        <v>5</v>
      </c>
      <c r="H1" s="2" t="s">
        <v>6</v>
      </c>
      <c r="I1" s="4" t="s">
        <v>7</v>
      </c>
    </row>
    <row r="2" spans="1:9" x14ac:dyDescent="0.15">
      <c r="A2" s="9">
        <v>1</v>
      </c>
      <c r="B2" s="9" t="s">
        <v>9</v>
      </c>
      <c r="C2" s="9">
        <v>1910</v>
      </c>
      <c r="D2" s="10">
        <v>45602</v>
      </c>
      <c r="E2" s="13" t="str">
        <f>+HYPERLINK("http://trademark.i-assist.jp/data/china/image_1910th/57785134.pdf","57785134")</f>
        <v>57785134</v>
      </c>
      <c r="F2" s="11" t="s">
        <v>196</v>
      </c>
      <c r="G2" s="11" t="s">
        <v>197</v>
      </c>
      <c r="H2" s="9" t="s">
        <v>198</v>
      </c>
      <c r="I2" s="10">
        <v>44394</v>
      </c>
    </row>
    <row r="3" spans="1:9" x14ac:dyDescent="0.15">
      <c r="A3" s="9">
        <v>2</v>
      </c>
      <c r="B3" s="9" t="s">
        <v>9</v>
      </c>
      <c r="C3" s="9">
        <v>1910</v>
      </c>
      <c r="D3" s="10">
        <v>45602</v>
      </c>
      <c r="E3" s="13" t="str">
        <f>+HYPERLINK("http://trademark.i-assist.jp/data/china/image_1910th/59529087.pdf","59529087")</f>
        <v>59529087</v>
      </c>
      <c r="F3" s="9" t="s">
        <v>199</v>
      </c>
      <c r="G3" s="9" t="s">
        <v>200</v>
      </c>
      <c r="H3" s="9" t="s">
        <v>201</v>
      </c>
      <c r="I3" s="10">
        <v>44467</v>
      </c>
    </row>
    <row r="4" spans="1:9" x14ac:dyDescent="0.15">
      <c r="A4" s="9">
        <v>3</v>
      </c>
      <c r="B4" s="9" t="s">
        <v>9</v>
      </c>
      <c r="C4" s="9">
        <v>1910</v>
      </c>
      <c r="D4" s="10">
        <v>45602</v>
      </c>
      <c r="E4" s="13" t="str">
        <f>+HYPERLINK("http://trademark.i-assist.jp/data/china/image_1910th/61403949.pdf","61403949")</f>
        <v>61403949</v>
      </c>
      <c r="F4" s="9" t="s">
        <v>202</v>
      </c>
      <c r="G4" s="9" t="s">
        <v>203</v>
      </c>
      <c r="H4" s="9" t="s">
        <v>204</v>
      </c>
      <c r="I4" s="10">
        <v>44544</v>
      </c>
    </row>
    <row r="5" spans="1:9" x14ac:dyDescent="0.15">
      <c r="A5" s="9">
        <v>4</v>
      </c>
      <c r="B5" s="9" t="s">
        <v>9</v>
      </c>
      <c r="C5" s="9">
        <v>1910</v>
      </c>
      <c r="D5" s="10">
        <v>45602</v>
      </c>
      <c r="E5" s="13" t="str">
        <f>+HYPERLINK("http://trademark.i-assist.jp/data/china/image_1910th/61582983.pdf","61582983")</f>
        <v>61582983</v>
      </c>
      <c r="F5" s="9" t="s">
        <v>205</v>
      </c>
      <c r="G5" s="9" t="s">
        <v>206</v>
      </c>
      <c r="H5" s="9" t="s">
        <v>207</v>
      </c>
      <c r="I5" s="10">
        <v>44551</v>
      </c>
    </row>
    <row r="6" spans="1:9" x14ac:dyDescent="0.15">
      <c r="A6" s="9">
        <v>5</v>
      </c>
      <c r="B6" s="9" t="s">
        <v>9</v>
      </c>
      <c r="C6" s="9">
        <v>1910</v>
      </c>
      <c r="D6" s="10">
        <v>45602</v>
      </c>
      <c r="E6" s="13" t="str">
        <f>+HYPERLINK("http://trademark.i-assist.jp/data/china/image_1910th/65993815.pdf","65993815")</f>
        <v>65993815</v>
      </c>
      <c r="F6" s="9" t="s">
        <v>208</v>
      </c>
      <c r="G6" s="11" t="s">
        <v>209</v>
      </c>
      <c r="H6" s="9" t="s">
        <v>18</v>
      </c>
      <c r="I6" s="10">
        <v>44757</v>
      </c>
    </row>
    <row r="7" spans="1:9" x14ac:dyDescent="0.15">
      <c r="A7" s="9">
        <v>6</v>
      </c>
      <c r="B7" s="9" t="s">
        <v>9</v>
      </c>
      <c r="C7" s="9">
        <v>1910</v>
      </c>
      <c r="D7" s="10">
        <v>45602</v>
      </c>
      <c r="E7" s="13" t="str">
        <f>+HYPERLINK("http://trademark.i-assist.jp/data/china/image_1910th/66307510.pdf","66307510")</f>
        <v>66307510</v>
      </c>
      <c r="F7" s="9" t="s">
        <v>210</v>
      </c>
      <c r="G7" s="11" t="s">
        <v>211</v>
      </c>
      <c r="H7" s="9" t="s">
        <v>212</v>
      </c>
      <c r="I7" s="10">
        <v>44773</v>
      </c>
    </row>
    <row r="8" spans="1:9" x14ac:dyDescent="0.15">
      <c r="A8" s="9">
        <v>7</v>
      </c>
      <c r="B8" s="9" t="s">
        <v>9</v>
      </c>
      <c r="C8" s="9">
        <v>1910</v>
      </c>
      <c r="D8" s="10">
        <v>45602</v>
      </c>
      <c r="E8" s="13" t="str">
        <f>+HYPERLINK("http://trademark.i-assist.jp/data/china/image_1910th/66602490.pdf","66602490")</f>
        <v>66602490</v>
      </c>
      <c r="F8" s="11" t="s">
        <v>19</v>
      </c>
      <c r="G8" s="11" t="s">
        <v>213</v>
      </c>
      <c r="H8" s="9" t="s">
        <v>18</v>
      </c>
      <c r="I8" s="10">
        <v>44788</v>
      </c>
    </row>
    <row r="9" spans="1:9" x14ac:dyDescent="0.15">
      <c r="A9" s="9">
        <v>8</v>
      </c>
      <c r="B9" s="9" t="s">
        <v>9</v>
      </c>
      <c r="C9" s="9">
        <v>1910</v>
      </c>
      <c r="D9" s="10">
        <v>45602</v>
      </c>
      <c r="E9" s="13" t="str">
        <f>+HYPERLINK("http://trademark.i-assist.jp/data/china/image_1910th/66666576.pdf","66666576")</f>
        <v>66666576</v>
      </c>
      <c r="F9" s="11" t="s">
        <v>214</v>
      </c>
      <c r="G9" s="11" t="s">
        <v>209</v>
      </c>
      <c r="H9" s="9" t="s">
        <v>215</v>
      </c>
      <c r="I9" s="10">
        <v>44790</v>
      </c>
    </row>
    <row r="10" spans="1:9" x14ac:dyDescent="0.15">
      <c r="A10" s="9">
        <v>9</v>
      </c>
      <c r="B10" s="9" t="s">
        <v>9</v>
      </c>
      <c r="C10" s="9">
        <v>1910</v>
      </c>
      <c r="D10" s="10">
        <v>45602</v>
      </c>
      <c r="E10" s="13" t="str">
        <f>+HYPERLINK("http://trademark.i-assist.jp/data/china/image_1910th/66673852.pdf","66673852")</f>
        <v>66673852</v>
      </c>
      <c r="F10" s="9" t="s">
        <v>202</v>
      </c>
      <c r="G10" s="9" t="s">
        <v>203</v>
      </c>
      <c r="H10" s="9" t="s">
        <v>216</v>
      </c>
      <c r="I10" s="10">
        <v>44791</v>
      </c>
    </row>
    <row r="11" spans="1:9" x14ac:dyDescent="0.15">
      <c r="A11" s="9">
        <v>10</v>
      </c>
      <c r="B11" s="9" t="s">
        <v>9</v>
      </c>
      <c r="C11" s="9">
        <v>1910</v>
      </c>
      <c r="D11" s="10">
        <v>45602</v>
      </c>
      <c r="E11" s="13" t="str">
        <f>+HYPERLINK("http://trademark.i-assist.jp/data/china/image_1910th/67092302.pdf","67092302")</f>
        <v>67092302</v>
      </c>
      <c r="F11" s="11" t="s">
        <v>217</v>
      </c>
      <c r="G11" s="9" t="s">
        <v>218</v>
      </c>
      <c r="H11" s="9" t="s">
        <v>219</v>
      </c>
      <c r="I11" s="10">
        <v>44812</v>
      </c>
    </row>
    <row r="12" spans="1:9" x14ac:dyDescent="0.15">
      <c r="A12" s="9">
        <v>11</v>
      </c>
      <c r="B12" s="9" t="s">
        <v>9</v>
      </c>
      <c r="C12" s="9">
        <v>1910</v>
      </c>
      <c r="D12" s="10">
        <v>45602</v>
      </c>
      <c r="E12" s="13" t="str">
        <f>+HYPERLINK("http://trademark.i-assist.jp/data/china/image_1910th/67363072.pdf","67363072")</f>
        <v>67363072</v>
      </c>
      <c r="F12" s="9" t="s">
        <v>220</v>
      </c>
      <c r="G12" s="9" t="s">
        <v>221</v>
      </c>
      <c r="H12" s="9" t="s">
        <v>222</v>
      </c>
      <c r="I12" s="10">
        <v>44826</v>
      </c>
    </row>
    <row r="13" spans="1:9" x14ac:dyDescent="0.15">
      <c r="A13" s="9">
        <v>12</v>
      </c>
      <c r="B13" s="9" t="s">
        <v>9</v>
      </c>
      <c r="C13" s="9">
        <v>1910</v>
      </c>
      <c r="D13" s="10">
        <v>45602</v>
      </c>
      <c r="E13" s="13" t="str">
        <f>+HYPERLINK("http://trademark.i-assist.jp/data/china/image_1910th/67375468.pdf","67375468")</f>
        <v>67375468</v>
      </c>
      <c r="F13" s="9" t="s">
        <v>223</v>
      </c>
      <c r="G13" s="9" t="s">
        <v>221</v>
      </c>
      <c r="H13" s="9" t="s">
        <v>224</v>
      </c>
      <c r="I13" s="10">
        <v>44826</v>
      </c>
    </row>
    <row r="14" spans="1:9" x14ac:dyDescent="0.15">
      <c r="A14" s="9">
        <v>13</v>
      </c>
      <c r="B14" s="9" t="s">
        <v>9</v>
      </c>
      <c r="C14" s="9">
        <v>1910</v>
      </c>
      <c r="D14" s="10">
        <v>45602</v>
      </c>
      <c r="E14" s="13" t="str">
        <f>+HYPERLINK("http://trademark.i-assist.jp/data/china/image_1910th/68198672.pdf","68198672")</f>
        <v>68198672</v>
      </c>
      <c r="F14" s="9" t="s">
        <v>225</v>
      </c>
      <c r="G14" s="9" t="s">
        <v>226</v>
      </c>
      <c r="H14" s="9" t="s">
        <v>227</v>
      </c>
      <c r="I14" s="10">
        <v>44872</v>
      </c>
    </row>
    <row r="15" spans="1:9" x14ac:dyDescent="0.15">
      <c r="A15" s="9">
        <v>14</v>
      </c>
      <c r="B15" s="9" t="s">
        <v>9</v>
      </c>
      <c r="C15" s="9">
        <v>1910</v>
      </c>
      <c r="D15" s="10">
        <v>45602</v>
      </c>
      <c r="E15" s="13" t="str">
        <f>+HYPERLINK("http://trademark.i-assist.jp/data/china/image_1910th/68211388.pdf","68211388")</f>
        <v>68211388</v>
      </c>
      <c r="F15" s="9" t="s">
        <v>228</v>
      </c>
      <c r="G15" s="11" t="s">
        <v>209</v>
      </c>
      <c r="H15" s="9" t="s">
        <v>229</v>
      </c>
      <c r="I15" s="10">
        <v>44873</v>
      </c>
    </row>
    <row r="16" spans="1:9" x14ac:dyDescent="0.15">
      <c r="A16" s="9">
        <v>15</v>
      </c>
      <c r="B16" s="9" t="s">
        <v>9</v>
      </c>
      <c r="C16" s="9">
        <v>1910</v>
      </c>
      <c r="D16" s="10">
        <v>45602</v>
      </c>
      <c r="E16" s="13" t="str">
        <f>+HYPERLINK("http://trademark.i-assist.jp/data/china/image_1910th/68355242.pdf","68355242")</f>
        <v>68355242</v>
      </c>
      <c r="F16" s="9" t="s">
        <v>230</v>
      </c>
      <c r="G16" s="11" t="s">
        <v>209</v>
      </c>
      <c r="H16" s="9" t="s">
        <v>231</v>
      </c>
      <c r="I16" s="10">
        <v>44880</v>
      </c>
    </row>
    <row r="17" spans="1:9" x14ac:dyDescent="0.15">
      <c r="A17" s="9">
        <v>16</v>
      </c>
      <c r="B17" s="9" t="s">
        <v>9</v>
      </c>
      <c r="C17" s="9">
        <v>1910</v>
      </c>
      <c r="D17" s="10">
        <v>45602</v>
      </c>
      <c r="E17" s="13" t="str">
        <f>+HYPERLINK("http://trademark.i-assist.jp/data/china/image_1910th/68410107.pdf","68410107")</f>
        <v>68410107</v>
      </c>
      <c r="F17" s="9" t="s">
        <v>232</v>
      </c>
      <c r="G17" s="9" t="s">
        <v>233</v>
      </c>
      <c r="H17" s="9" t="s">
        <v>234</v>
      </c>
      <c r="I17" s="10">
        <v>44882</v>
      </c>
    </row>
    <row r="18" spans="1:9" x14ac:dyDescent="0.15">
      <c r="A18" s="9">
        <v>17</v>
      </c>
      <c r="B18" s="9" t="s">
        <v>9</v>
      </c>
      <c r="C18" s="9">
        <v>1910</v>
      </c>
      <c r="D18" s="10">
        <v>45602</v>
      </c>
      <c r="E18" s="13" t="str">
        <f>+HYPERLINK("http://trademark.i-assist.jp/data/china/image_1910th/68608093.pdf","68608093")</f>
        <v>68608093</v>
      </c>
      <c r="F18" s="9" t="s">
        <v>235</v>
      </c>
      <c r="G18" s="9" t="s">
        <v>17</v>
      </c>
      <c r="H18" s="9" t="s">
        <v>18</v>
      </c>
      <c r="I18" s="10">
        <v>44894</v>
      </c>
    </row>
    <row r="19" spans="1:9" x14ac:dyDescent="0.15">
      <c r="A19" s="9">
        <v>18</v>
      </c>
      <c r="B19" s="9" t="s">
        <v>9</v>
      </c>
      <c r="C19" s="9">
        <v>1910</v>
      </c>
      <c r="D19" s="10">
        <v>45602</v>
      </c>
      <c r="E19" s="13" t="str">
        <f>+HYPERLINK("http://trademark.i-assist.jp/data/china/image_1910th/69161324.pdf","69161324")</f>
        <v>69161324</v>
      </c>
      <c r="F19" s="9" t="s">
        <v>236</v>
      </c>
      <c r="G19" s="11" t="s">
        <v>237</v>
      </c>
      <c r="H19" s="9" t="s">
        <v>18</v>
      </c>
      <c r="I19" s="10">
        <v>44935</v>
      </c>
    </row>
    <row r="20" spans="1:9" x14ac:dyDescent="0.15">
      <c r="A20" s="9">
        <v>19</v>
      </c>
      <c r="B20" s="9" t="s">
        <v>9</v>
      </c>
      <c r="C20" s="9">
        <v>1910</v>
      </c>
      <c r="D20" s="10">
        <v>45602</v>
      </c>
      <c r="E20" s="13" t="str">
        <f>+HYPERLINK("http://trademark.i-assist.jp/data/china/image_1910th/69369920.pdf","69369920")</f>
        <v>69369920</v>
      </c>
      <c r="F20" s="9" t="s">
        <v>238</v>
      </c>
      <c r="G20" s="9" t="s">
        <v>239</v>
      </c>
      <c r="H20" s="9" t="s">
        <v>240</v>
      </c>
      <c r="I20" s="10">
        <v>44959</v>
      </c>
    </row>
    <row r="21" spans="1:9" x14ac:dyDescent="0.15">
      <c r="A21" s="9">
        <v>20</v>
      </c>
      <c r="B21" s="9" t="s">
        <v>9</v>
      </c>
      <c r="C21" s="9">
        <v>1910</v>
      </c>
      <c r="D21" s="10">
        <v>45602</v>
      </c>
      <c r="E21" s="13" t="str">
        <f>+HYPERLINK("http://trademark.i-assist.jp/data/china/image_1910th/69502007.pdf","69502007")</f>
        <v>69502007</v>
      </c>
      <c r="F21" s="9" t="s">
        <v>241</v>
      </c>
      <c r="G21" s="9" t="s">
        <v>242</v>
      </c>
      <c r="H21" s="9" t="s">
        <v>243</v>
      </c>
      <c r="I21" s="10">
        <v>44967</v>
      </c>
    </row>
    <row r="22" spans="1:9" x14ac:dyDescent="0.15">
      <c r="A22" s="9">
        <v>21</v>
      </c>
      <c r="B22" s="9" t="s">
        <v>9</v>
      </c>
      <c r="C22" s="9">
        <v>1910</v>
      </c>
      <c r="D22" s="10">
        <v>45602</v>
      </c>
      <c r="E22" s="13" t="str">
        <f>+HYPERLINK("http://trademark.i-assist.jp/data/china/image_1910th/69541534.pdf","69541534")</f>
        <v>69541534</v>
      </c>
      <c r="F22" s="9" t="s">
        <v>244</v>
      </c>
      <c r="G22" s="11" t="s">
        <v>245</v>
      </c>
      <c r="H22" s="9" t="s">
        <v>246</v>
      </c>
      <c r="I22" s="10">
        <v>44970</v>
      </c>
    </row>
    <row r="23" spans="1:9" x14ac:dyDescent="0.15">
      <c r="A23" s="9">
        <v>22</v>
      </c>
      <c r="B23" s="9" t="s">
        <v>9</v>
      </c>
      <c r="C23" s="9">
        <v>1910</v>
      </c>
      <c r="D23" s="10">
        <v>45602</v>
      </c>
      <c r="E23" s="13" t="str">
        <f>+HYPERLINK("http://trademark.i-assist.jp/data/china/image_1910th/69552432.pdf","69552432")</f>
        <v>69552432</v>
      </c>
      <c r="F23" s="9" t="s">
        <v>247</v>
      </c>
      <c r="G23" s="11" t="s">
        <v>209</v>
      </c>
      <c r="H23" s="9" t="s">
        <v>18</v>
      </c>
      <c r="I23" s="10">
        <v>44971</v>
      </c>
    </row>
    <row r="24" spans="1:9" x14ac:dyDescent="0.15">
      <c r="A24" s="9">
        <v>23</v>
      </c>
      <c r="B24" s="9" t="s">
        <v>9</v>
      </c>
      <c r="C24" s="9">
        <v>1910</v>
      </c>
      <c r="D24" s="10">
        <v>45602</v>
      </c>
      <c r="E24" s="13" t="str">
        <f>+HYPERLINK("http://trademark.i-assist.jp/data/china/image_1910th/69685316.pdf","69685316")</f>
        <v>69685316</v>
      </c>
      <c r="F24" s="9" t="s">
        <v>248</v>
      </c>
      <c r="G24" s="9" t="s">
        <v>249</v>
      </c>
      <c r="H24" s="9" t="s">
        <v>250</v>
      </c>
      <c r="I24" s="10">
        <v>44977</v>
      </c>
    </row>
    <row r="25" spans="1:9" x14ac:dyDescent="0.15">
      <c r="A25" s="9">
        <v>24</v>
      </c>
      <c r="B25" s="9" t="s">
        <v>9</v>
      </c>
      <c r="C25" s="9">
        <v>1910</v>
      </c>
      <c r="D25" s="10">
        <v>45602</v>
      </c>
      <c r="E25" s="13" t="str">
        <f>+HYPERLINK("http://trademark.i-assist.jp/data/china/image_1910th/69735547.pdf","69735547")</f>
        <v>69735547</v>
      </c>
      <c r="F25" s="9" t="s">
        <v>251</v>
      </c>
      <c r="G25" s="11" t="s">
        <v>252</v>
      </c>
      <c r="H25" s="9" t="s">
        <v>253</v>
      </c>
      <c r="I25" s="10">
        <v>44979</v>
      </c>
    </row>
    <row r="26" spans="1:9" x14ac:dyDescent="0.15">
      <c r="A26" s="9">
        <v>25</v>
      </c>
      <c r="B26" s="9" t="s">
        <v>9</v>
      </c>
      <c r="C26" s="9">
        <v>1910</v>
      </c>
      <c r="D26" s="10">
        <v>45602</v>
      </c>
      <c r="E26" s="13" t="str">
        <f>+HYPERLINK("http://trademark.i-assist.jp/data/china/image_1910th/70323471.pdf","70323471")</f>
        <v>70323471</v>
      </c>
      <c r="F26" s="11" t="s">
        <v>254</v>
      </c>
      <c r="G26" s="9" t="s">
        <v>255</v>
      </c>
      <c r="H26" s="9" t="s">
        <v>256</v>
      </c>
      <c r="I26" s="10">
        <v>45005</v>
      </c>
    </row>
    <row r="27" spans="1:9" x14ac:dyDescent="0.15">
      <c r="A27" s="9">
        <v>26</v>
      </c>
      <c r="B27" s="9" t="s">
        <v>9</v>
      </c>
      <c r="C27" s="9">
        <v>1910</v>
      </c>
      <c r="D27" s="10">
        <v>45602</v>
      </c>
      <c r="E27" s="13" t="str">
        <f>+HYPERLINK("http://trademark.i-assist.jp/data/china/image_1910th/70411999.pdf","70411999")</f>
        <v>70411999</v>
      </c>
      <c r="F27" s="9" t="s">
        <v>257</v>
      </c>
      <c r="G27" s="9" t="s">
        <v>258</v>
      </c>
      <c r="H27" s="9" t="s">
        <v>259</v>
      </c>
      <c r="I27" s="10">
        <v>45008</v>
      </c>
    </row>
    <row r="28" spans="1:9" x14ac:dyDescent="0.15">
      <c r="A28" s="9">
        <v>27</v>
      </c>
      <c r="B28" s="9" t="s">
        <v>9</v>
      </c>
      <c r="C28" s="9">
        <v>1910</v>
      </c>
      <c r="D28" s="10">
        <v>45602</v>
      </c>
      <c r="E28" s="13" t="str">
        <f>+HYPERLINK("http://trademark.i-assist.jp/data/china/image_1910th/70638532.pdf","70638532")</f>
        <v>70638532</v>
      </c>
      <c r="F28" s="9" t="s">
        <v>260</v>
      </c>
      <c r="G28" s="9" t="s">
        <v>261</v>
      </c>
      <c r="H28" s="9" t="s">
        <v>262</v>
      </c>
      <c r="I28" s="10">
        <v>45019</v>
      </c>
    </row>
    <row r="29" spans="1:9" x14ac:dyDescent="0.15">
      <c r="A29" s="9">
        <v>28</v>
      </c>
      <c r="B29" s="9" t="s">
        <v>9</v>
      </c>
      <c r="C29" s="9">
        <v>1910</v>
      </c>
      <c r="D29" s="10">
        <v>45602</v>
      </c>
      <c r="E29" s="13" t="str">
        <f>+HYPERLINK("http://trademark.i-assist.jp/data/china/image_1910th/71317845.pdf","71317845")</f>
        <v>71317845</v>
      </c>
      <c r="F29" s="9" t="s">
        <v>263</v>
      </c>
      <c r="G29" s="9" t="s">
        <v>264</v>
      </c>
      <c r="H29" s="9" t="s">
        <v>265</v>
      </c>
      <c r="I29" s="10">
        <v>45050</v>
      </c>
    </row>
    <row r="30" spans="1:9" x14ac:dyDescent="0.15">
      <c r="A30" s="9">
        <v>29</v>
      </c>
      <c r="B30" s="9" t="s">
        <v>9</v>
      </c>
      <c r="C30" s="9">
        <v>1910</v>
      </c>
      <c r="D30" s="10">
        <v>45602</v>
      </c>
      <c r="E30" s="13" t="str">
        <f>+HYPERLINK("http://trademark.i-assist.jp/data/china/image_1910th/71330081.pdf","71330081")</f>
        <v>71330081</v>
      </c>
      <c r="F30" s="9" t="s">
        <v>266</v>
      </c>
      <c r="G30" s="9" t="s">
        <v>267</v>
      </c>
      <c r="H30" s="9" t="s">
        <v>268</v>
      </c>
      <c r="I30" s="10">
        <v>45051</v>
      </c>
    </row>
    <row r="31" spans="1:9" x14ac:dyDescent="0.15">
      <c r="A31" s="9">
        <v>30</v>
      </c>
      <c r="B31" s="9" t="s">
        <v>9</v>
      </c>
      <c r="C31" s="9">
        <v>1910</v>
      </c>
      <c r="D31" s="10">
        <v>45602</v>
      </c>
      <c r="E31" s="13" t="str">
        <f>+HYPERLINK("http://trademark.i-assist.jp/data/china/image_1910th/71443755.pdf","71443755")</f>
        <v>71443755</v>
      </c>
      <c r="F31" s="9" t="s">
        <v>269</v>
      </c>
      <c r="G31" s="9" t="s">
        <v>270</v>
      </c>
      <c r="H31" s="9" t="s">
        <v>271</v>
      </c>
      <c r="I31" s="10">
        <v>45056</v>
      </c>
    </row>
    <row r="32" spans="1:9" x14ac:dyDescent="0.15">
      <c r="A32" s="9">
        <v>31</v>
      </c>
      <c r="B32" s="9" t="s">
        <v>9</v>
      </c>
      <c r="C32" s="9">
        <v>1910</v>
      </c>
      <c r="D32" s="10">
        <v>45602</v>
      </c>
      <c r="E32" s="13" t="str">
        <f>+HYPERLINK("http://trademark.i-assist.jp/data/china/image_1910th/71476284.pdf","71476284")</f>
        <v>71476284</v>
      </c>
      <c r="F32" s="9" t="s">
        <v>272</v>
      </c>
      <c r="G32" s="9" t="s">
        <v>273</v>
      </c>
      <c r="H32" s="9" t="s">
        <v>274</v>
      </c>
      <c r="I32" s="10">
        <v>45057</v>
      </c>
    </row>
    <row r="33" spans="1:9" x14ac:dyDescent="0.15">
      <c r="A33" s="9">
        <v>32</v>
      </c>
      <c r="B33" s="9" t="s">
        <v>9</v>
      </c>
      <c r="C33" s="9">
        <v>1910</v>
      </c>
      <c r="D33" s="10">
        <v>45602</v>
      </c>
      <c r="E33" s="13" t="str">
        <f>+HYPERLINK("http://trademark.i-assist.jp/data/china/image_1910th/71595388.pdf","71595388")</f>
        <v>71595388</v>
      </c>
      <c r="F33" s="9" t="s">
        <v>275</v>
      </c>
      <c r="G33" s="9" t="s">
        <v>276</v>
      </c>
      <c r="H33" s="9" t="s">
        <v>277</v>
      </c>
      <c r="I33" s="10">
        <v>45062</v>
      </c>
    </row>
    <row r="34" spans="1:9" x14ac:dyDescent="0.15">
      <c r="A34" s="9">
        <v>33</v>
      </c>
      <c r="B34" s="9" t="s">
        <v>9</v>
      </c>
      <c r="C34" s="9">
        <v>1910</v>
      </c>
      <c r="D34" s="10">
        <v>45602</v>
      </c>
      <c r="E34" s="13" t="str">
        <f>+HYPERLINK("http://trademark.i-assist.jp/data/china/image_1910th/71599087.pdf","71599087")</f>
        <v>71599087</v>
      </c>
      <c r="F34" s="9" t="s">
        <v>275</v>
      </c>
      <c r="G34" s="9" t="s">
        <v>276</v>
      </c>
      <c r="H34" s="11" t="s">
        <v>278</v>
      </c>
      <c r="I34" s="10">
        <v>45062</v>
      </c>
    </row>
    <row r="35" spans="1:9" x14ac:dyDescent="0.15">
      <c r="A35" s="9">
        <v>34</v>
      </c>
      <c r="B35" s="9" t="s">
        <v>9</v>
      </c>
      <c r="C35" s="9">
        <v>1910</v>
      </c>
      <c r="D35" s="10">
        <v>45602</v>
      </c>
      <c r="E35" s="13" t="str">
        <f>+HYPERLINK("http://trademark.i-assist.jp/data/china/image_1910th/71756336.pdf","71756336")</f>
        <v>71756336</v>
      </c>
      <c r="F35" s="9" t="s">
        <v>279</v>
      </c>
      <c r="G35" s="9" t="s">
        <v>280</v>
      </c>
      <c r="H35" s="9" t="s">
        <v>281</v>
      </c>
      <c r="I35" s="10">
        <v>45069</v>
      </c>
    </row>
    <row r="36" spans="1:9" x14ac:dyDescent="0.15">
      <c r="A36" s="9">
        <v>35</v>
      </c>
      <c r="B36" s="9" t="s">
        <v>9</v>
      </c>
      <c r="C36" s="9">
        <v>1910</v>
      </c>
      <c r="D36" s="10">
        <v>45602</v>
      </c>
      <c r="E36" s="13" t="str">
        <f>+HYPERLINK("http://trademark.i-assist.jp/data/china/image_1910th/71800061.pdf","71800061")</f>
        <v>71800061</v>
      </c>
      <c r="F36" s="9" t="s">
        <v>282</v>
      </c>
      <c r="G36" s="11" t="s">
        <v>209</v>
      </c>
      <c r="H36" s="9" t="s">
        <v>283</v>
      </c>
      <c r="I36" s="10">
        <v>45071</v>
      </c>
    </row>
    <row r="37" spans="1:9" x14ac:dyDescent="0.15">
      <c r="A37" s="9">
        <v>36</v>
      </c>
      <c r="B37" s="9" t="s">
        <v>9</v>
      </c>
      <c r="C37" s="9">
        <v>1910</v>
      </c>
      <c r="D37" s="10">
        <v>45602</v>
      </c>
      <c r="E37" s="13" t="str">
        <f>+HYPERLINK("http://trademark.i-assist.jp/data/china/image_1910th/71821643.pdf","71821643")</f>
        <v>71821643</v>
      </c>
      <c r="F37" s="9" t="s">
        <v>284</v>
      </c>
      <c r="G37" s="9" t="s">
        <v>285</v>
      </c>
      <c r="H37" s="9" t="s">
        <v>286</v>
      </c>
      <c r="I37" s="10">
        <v>45071</v>
      </c>
    </row>
    <row r="38" spans="1:9" x14ac:dyDescent="0.15">
      <c r="A38" s="9">
        <v>37</v>
      </c>
      <c r="B38" s="9" t="s">
        <v>9</v>
      </c>
      <c r="C38" s="9">
        <v>1910</v>
      </c>
      <c r="D38" s="10">
        <v>45602</v>
      </c>
      <c r="E38" s="13" t="str">
        <f>+HYPERLINK("http://trademark.i-assist.jp/data/china/image_1910th/71844118.pdf","71844118")</f>
        <v>71844118</v>
      </c>
      <c r="F38" s="9" t="s">
        <v>287</v>
      </c>
      <c r="G38" s="9" t="s">
        <v>288</v>
      </c>
      <c r="H38" s="9" t="s">
        <v>289</v>
      </c>
      <c r="I38" s="10">
        <v>45072</v>
      </c>
    </row>
    <row r="39" spans="1:9" x14ac:dyDescent="0.15">
      <c r="A39" s="9">
        <v>38</v>
      </c>
      <c r="B39" s="9" t="s">
        <v>9</v>
      </c>
      <c r="C39" s="9">
        <v>1910</v>
      </c>
      <c r="D39" s="10">
        <v>45602</v>
      </c>
      <c r="E39" s="13" t="str">
        <f>+HYPERLINK("http://trademark.i-assist.jp/data/china/image_1910th/71896254.pdf","71896254")</f>
        <v>71896254</v>
      </c>
      <c r="F39" s="9" t="s">
        <v>290</v>
      </c>
      <c r="G39" s="11" t="s">
        <v>291</v>
      </c>
      <c r="H39" s="9" t="s">
        <v>292</v>
      </c>
      <c r="I39" s="10">
        <v>45075</v>
      </c>
    </row>
    <row r="40" spans="1:9" x14ac:dyDescent="0.15">
      <c r="A40" s="9">
        <v>39</v>
      </c>
      <c r="B40" s="9" t="s">
        <v>9</v>
      </c>
      <c r="C40" s="9">
        <v>1910</v>
      </c>
      <c r="D40" s="10">
        <v>45602</v>
      </c>
      <c r="E40" s="13" t="str">
        <f>+HYPERLINK("http://trademark.i-assist.jp/data/china/image_1910th/72126969.pdf","72126969")</f>
        <v>72126969</v>
      </c>
      <c r="F40" s="9" t="s">
        <v>293</v>
      </c>
      <c r="G40" s="9" t="s">
        <v>294</v>
      </c>
      <c r="H40" s="9" t="s">
        <v>295</v>
      </c>
      <c r="I40" s="10">
        <v>45086</v>
      </c>
    </row>
    <row r="41" spans="1:9" x14ac:dyDescent="0.15">
      <c r="A41" s="9">
        <v>40</v>
      </c>
      <c r="B41" s="9" t="s">
        <v>9</v>
      </c>
      <c r="C41" s="9">
        <v>1910</v>
      </c>
      <c r="D41" s="10">
        <v>45602</v>
      </c>
      <c r="E41" s="13" t="str">
        <f>+HYPERLINK("http://trademark.i-assist.jp/data/china/image_1910th/72175469.pdf","72175469")</f>
        <v>72175469</v>
      </c>
      <c r="F41" s="9" t="s">
        <v>296</v>
      </c>
      <c r="G41" s="9" t="s">
        <v>297</v>
      </c>
      <c r="H41" s="11" t="s">
        <v>298</v>
      </c>
      <c r="I41" s="10">
        <v>45089</v>
      </c>
    </row>
    <row r="42" spans="1:9" x14ac:dyDescent="0.15">
      <c r="A42" s="9">
        <v>41</v>
      </c>
      <c r="B42" s="9" t="s">
        <v>9</v>
      </c>
      <c r="C42" s="9">
        <v>1910</v>
      </c>
      <c r="D42" s="10">
        <v>45602</v>
      </c>
      <c r="E42" s="13" t="str">
        <f>+HYPERLINK("http://trademark.i-assist.jp/data/china/image_1910th/72328939.pdf","72328939")</f>
        <v>72328939</v>
      </c>
      <c r="F42" s="9" t="s">
        <v>299</v>
      </c>
      <c r="G42" s="9" t="s">
        <v>300</v>
      </c>
      <c r="H42" s="9" t="s">
        <v>10</v>
      </c>
      <c r="I42" s="10">
        <v>45096</v>
      </c>
    </row>
    <row r="43" spans="1:9" x14ac:dyDescent="0.15">
      <c r="A43" s="9">
        <v>42</v>
      </c>
      <c r="B43" s="9" t="s">
        <v>9</v>
      </c>
      <c r="C43" s="9">
        <v>1910</v>
      </c>
      <c r="D43" s="10">
        <v>45602</v>
      </c>
      <c r="E43" s="13" t="str">
        <f>+HYPERLINK("http://trademark.i-assist.jp/data/china/image_1910th/72353017.pdf","72353017")</f>
        <v>72353017</v>
      </c>
      <c r="F43" s="9" t="s">
        <v>301</v>
      </c>
      <c r="G43" s="11" t="s">
        <v>302</v>
      </c>
      <c r="H43" s="9" t="s">
        <v>303</v>
      </c>
      <c r="I43" s="10">
        <v>45097</v>
      </c>
    </row>
    <row r="44" spans="1:9" x14ac:dyDescent="0.15">
      <c r="A44" s="9">
        <v>43</v>
      </c>
      <c r="B44" s="9" t="s">
        <v>9</v>
      </c>
      <c r="C44" s="9">
        <v>1910</v>
      </c>
      <c r="D44" s="10">
        <v>45602</v>
      </c>
      <c r="E44" s="13" t="str">
        <f>+HYPERLINK("http://trademark.i-assist.jp/data/china/image_1910th/72388046.pdf","72388046")</f>
        <v>72388046</v>
      </c>
      <c r="F44" s="11" t="s">
        <v>19</v>
      </c>
      <c r="G44" s="9" t="s">
        <v>304</v>
      </c>
      <c r="H44" s="9" t="s">
        <v>305</v>
      </c>
      <c r="I44" s="10">
        <v>45098</v>
      </c>
    </row>
    <row r="45" spans="1:9" x14ac:dyDescent="0.15">
      <c r="A45" s="9">
        <v>44</v>
      </c>
      <c r="B45" s="9" t="s">
        <v>9</v>
      </c>
      <c r="C45" s="9">
        <v>1910</v>
      </c>
      <c r="D45" s="10">
        <v>45602</v>
      </c>
      <c r="E45" s="13" t="str">
        <f>+HYPERLINK("http://trademark.i-assist.jp/data/china/image_1910th/72481828.pdf","72481828")</f>
        <v>72481828</v>
      </c>
      <c r="F45" s="11" t="s">
        <v>19</v>
      </c>
      <c r="G45" s="9" t="s">
        <v>306</v>
      </c>
      <c r="H45" s="9" t="s">
        <v>307</v>
      </c>
      <c r="I45" s="10">
        <v>45104</v>
      </c>
    </row>
    <row r="46" spans="1:9" x14ac:dyDescent="0.15">
      <c r="A46" s="9">
        <v>45</v>
      </c>
      <c r="B46" s="9" t="s">
        <v>9</v>
      </c>
      <c r="C46" s="9">
        <v>1910</v>
      </c>
      <c r="D46" s="10">
        <v>45602</v>
      </c>
      <c r="E46" s="13" t="str">
        <f>+HYPERLINK("http://trademark.i-assist.jp/data/china/image_1910th/72527521.pdf","72527521")</f>
        <v>72527521</v>
      </c>
      <c r="F46" s="9" t="s">
        <v>308</v>
      </c>
      <c r="G46" s="9" t="s">
        <v>309</v>
      </c>
      <c r="H46" s="9" t="s">
        <v>310</v>
      </c>
      <c r="I46" s="10">
        <v>45106</v>
      </c>
    </row>
    <row r="47" spans="1:9" x14ac:dyDescent="0.15">
      <c r="A47" s="9">
        <v>46</v>
      </c>
      <c r="B47" s="9" t="s">
        <v>9</v>
      </c>
      <c r="C47" s="9">
        <v>1910</v>
      </c>
      <c r="D47" s="10">
        <v>45602</v>
      </c>
      <c r="E47" s="13" t="str">
        <f>+HYPERLINK("http://trademark.i-assist.jp/data/china/image_1910th/72551297.pdf","72551297")</f>
        <v>72551297</v>
      </c>
      <c r="F47" s="9" t="s">
        <v>311</v>
      </c>
      <c r="G47" s="9" t="s">
        <v>312</v>
      </c>
      <c r="H47" s="9" t="s">
        <v>313</v>
      </c>
      <c r="I47" s="10">
        <v>45107</v>
      </c>
    </row>
    <row r="48" spans="1:9" x14ac:dyDescent="0.15">
      <c r="A48" s="9">
        <v>47</v>
      </c>
      <c r="B48" s="9" t="s">
        <v>9</v>
      </c>
      <c r="C48" s="9">
        <v>1910</v>
      </c>
      <c r="D48" s="10">
        <v>45602</v>
      </c>
      <c r="E48" s="13" t="str">
        <f>+HYPERLINK("http://trademark.i-assist.jp/data/china/image_1910th/72667068.pdf","72667068")</f>
        <v>72667068</v>
      </c>
      <c r="F48" s="11" t="s">
        <v>314</v>
      </c>
      <c r="G48" s="9" t="s">
        <v>315</v>
      </c>
      <c r="H48" s="9" t="s">
        <v>316</v>
      </c>
      <c r="I48" s="10">
        <v>45113</v>
      </c>
    </row>
    <row r="49" spans="1:9" x14ac:dyDescent="0.15">
      <c r="A49" s="9">
        <v>48</v>
      </c>
      <c r="B49" s="9" t="s">
        <v>9</v>
      </c>
      <c r="C49" s="9">
        <v>1910</v>
      </c>
      <c r="D49" s="10">
        <v>45602</v>
      </c>
      <c r="E49" s="13" t="str">
        <f>+HYPERLINK("http://trademark.i-assist.jp/data/china/image_1910th/72685579.pdf","72685579")</f>
        <v>72685579</v>
      </c>
      <c r="F49" s="9" t="s">
        <v>317</v>
      </c>
      <c r="G49" s="9" t="s">
        <v>318</v>
      </c>
      <c r="H49" s="9" t="s">
        <v>10</v>
      </c>
      <c r="I49" s="10">
        <v>45113</v>
      </c>
    </row>
    <row r="50" spans="1:9" x14ac:dyDescent="0.15">
      <c r="A50" s="9">
        <v>49</v>
      </c>
      <c r="B50" s="9" t="s">
        <v>9</v>
      </c>
      <c r="C50" s="9">
        <v>1910</v>
      </c>
      <c r="D50" s="10">
        <v>45602</v>
      </c>
      <c r="E50" s="13" t="str">
        <f>+HYPERLINK("http://trademark.i-assist.jp/data/china/image_1910th/72863605.pdf","72863605")</f>
        <v>72863605</v>
      </c>
      <c r="F50" s="11" t="s">
        <v>19</v>
      </c>
      <c r="G50" s="9" t="s">
        <v>319</v>
      </c>
      <c r="H50" s="9" t="s">
        <v>320</v>
      </c>
      <c r="I50" s="10">
        <v>45122</v>
      </c>
    </row>
    <row r="51" spans="1:9" x14ac:dyDescent="0.15">
      <c r="A51" s="9">
        <v>50</v>
      </c>
      <c r="B51" s="9" t="s">
        <v>9</v>
      </c>
      <c r="C51" s="9">
        <v>1910</v>
      </c>
      <c r="D51" s="10">
        <v>45602</v>
      </c>
      <c r="E51" s="13" t="str">
        <f>+HYPERLINK("http://trademark.i-assist.jp/data/china/image_1910th/72880274.pdf","72880274")</f>
        <v>72880274</v>
      </c>
      <c r="F51" s="9" t="s">
        <v>321</v>
      </c>
      <c r="G51" s="9" t="s">
        <v>322</v>
      </c>
      <c r="H51" s="9" t="s">
        <v>323</v>
      </c>
      <c r="I51" s="10">
        <v>45124</v>
      </c>
    </row>
    <row r="52" spans="1:9" x14ac:dyDescent="0.15">
      <c r="A52" s="9">
        <v>51</v>
      </c>
      <c r="B52" s="9" t="s">
        <v>9</v>
      </c>
      <c r="C52" s="9">
        <v>1910</v>
      </c>
      <c r="D52" s="10">
        <v>45602</v>
      </c>
      <c r="E52" s="13" t="str">
        <f>+HYPERLINK("http://trademark.i-assist.jp/data/china/image_1910th/72955321.pdf","72955321")</f>
        <v>72955321</v>
      </c>
      <c r="F52" s="9" t="s">
        <v>324</v>
      </c>
      <c r="G52" s="9" t="s">
        <v>325</v>
      </c>
      <c r="H52" s="9" t="s">
        <v>326</v>
      </c>
      <c r="I52" s="10">
        <v>45127</v>
      </c>
    </row>
    <row r="53" spans="1:9" x14ac:dyDescent="0.15">
      <c r="A53" s="9">
        <v>52</v>
      </c>
      <c r="B53" s="9" t="s">
        <v>9</v>
      </c>
      <c r="C53" s="9">
        <v>1910</v>
      </c>
      <c r="D53" s="10">
        <v>45602</v>
      </c>
      <c r="E53" s="13" t="str">
        <f>+HYPERLINK("http://trademark.i-assist.jp/data/china/image_1910th/73054419.pdf","73054419")</f>
        <v>73054419</v>
      </c>
      <c r="F53" s="9" t="s">
        <v>327</v>
      </c>
      <c r="G53" s="11" t="s">
        <v>328</v>
      </c>
      <c r="H53" s="9" t="s">
        <v>329</v>
      </c>
      <c r="I53" s="10">
        <v>45132</v>
      </c>
    </row>
    <row r="54" spans="1:9" x14ac:dyDescent="0.15">
      <c r="A54" s="9">
        <v>53</v>
      </c>
      <c r="B54" s="9" t="s">
        <v>9</v>
      </c>
      <c r="C54" s="9">
        <v>1910</v>
      </c>
      <c r="D54" s="10">
        <v>45602</v>
      </c>
      <c r="E54" s="13" t="str">
        <f>+HYPERLINK("http://trademark.i-assist.jp/data/china/image_1910th/73113871.pdf","73113871")</f>
        <v>73113871</v>
      </c>
      <c r="F54" s="9" t="s">
        <v>330</v>
      </c>
      <c r="G54" s="11" t="s">
        <v>331</v>
      </c>
      <c r="H54" s="9" t="s">
        <v>332</v>
      </c>
      <c r="I54" s="10">
        <v>45134</v>
      </c>
    </row>
    <row r="55" spans="1:9" x14ac:dyDescent="0.15">
      <c r="A55" s="9">
        <v>54</v>
      </c>
      <c r="B55" s="9" t="s">
        <v>9</v>
      </c>
      <c r="C55" s="9">
        <v>1910</v>
      </c>
      <c r="D55" s="10">
        <v>45602</v>
      </c>
      <c r="E55" s="13" t="str">
        <f>+HYPERLINK("http://trademark.i-assist.jp/data/china/image_1910th/73114379.pdf","73114379")</f>
        <v>73114379</v>
      </c>
      <c r="F55" s="11" t="s">
        <v>333</v>
      </c>
      <c r="G55" s="11" t="s">
        <v>334</v>
      </c>
      <c r="H55" s="9" t="s">
        <v>335</v>
      </c>
      <c r="I55" s="10">
        <v>45134</v>
      </c>
    </row>
    <row r="56" spans="1:9" x14ac:dyDescent="0.15">
      <c r="A56" s="9">
        <v>55</v>
      </c>
      <c r="B56" s="9" t="s">
        <v>9</v>
      </c>
      <c r="C56" s="9">
        <v>1910</v>
      </c>
      <c r="D56" s="10">
        <v>45602</v>
      </c>
      <c r="E56" s="13" t="str">
        <f>+HYPERLINK("http://trademark.i-assist.jp/data/china/image_1910th/73229007.pdf","73229007")</f>
        <v>73229007</v>
      </c>
      <c r="F56" s="9" t="s">
        <v>336</v>
      </c>
      <c r="G56" s="9" t="s">
        <v>337</v>
      </c>
      <c r="H56" s="9" t="s">
        <v>338</v>
      </c>
      <c r="I56" s="10">
        <v>45140</v>
      </c>
    </row>
    <row r="57" spans="1:9" x14ac:dyDescent="0.15">
      <c r="A57" s="9">
        <v>56</v>
      </c>
      <c r="B57" s="9" t="s">
        <v>9</v>
      </c>
      <c r="C57" s="9">
        <v>1910</v>
      </c>
      <c r="D57" s="10">
        <v>45602</v>
      </c>
      <c r="E57" s="13" t="str">
        <f>+HYPERLINK("http://trademark.i-assist.jp/data/china/image_1910th/73234162.pdf","73234162")</f>
        <v>73234162</v>
      </c>
      <c r="F57" s="11" t="s">
        <v>339</v>
      </c>
      <c r="G57" s="9" t="s">
        <v>340</v>
      </c>
      <c r="H57" s="9" t="s">
        <v>341</v>
      </c>
      <c r="I57" s="10">
        <v>45140</v>
      </c>
    </row>
    <row r="58" spans="1:9" x14ac:dyDescent="0.15">
      <c r="A58" s="9">
        <v>57</v>
      </c>
      <c r="B58" s="9" t="s">
        <v>9</v>
      </c>
      <c r="C58" s="9">
        <v>1910</v>
      </c>
      <c r="D58" s="10">
        <v>45602</v>
      </c>
      <c r="E58" s="13" t="str">
        <f>+HYPERLINK("http://trademark.i-assist.jp/data/china/image_1910th/73272326.pdf","73272326")</f>
        <v>73272326</v>
      </c>
      <c r="F58" s="9" t="s">
        <v>342</v>
      </c>
      <c r="G58" s="11" t="s">
        <v>343</v>
      </c>
      <c r="H58" s="9" t="s">
        <v>344</v>
      </c>
      <c r="I58" s="10">
        <v>45142</v>
      </c>
    </row>
    <row r="59" spans="1:9" x14ac:dyDescent="0.15">
      <c r="A59" s="9">
        <v>58</v>
      </c>
      <c r="B59" s="9" t="s">
        <v>9</v>
      </c>
      <c r="C59" s="9">
        <v>1910</v>
      </c>
      <c r="D59" s="10">
        <v>45602</v>
      </c>
      <c r="E59" s="13" t="str">
        <f>+HYPERLINK("http://trademark.i-assist.jp/data/china/image_1910th/73309741.pdf","73309741")</f>
        <v>73309741</v>
      </c>
      <c r="F59" s="9" t="s">
        <v>345</v>
      </c>
      <c r="G59" s="9" t="s">
        <v>346</v>
      </c>
      <c r="H59" s="9" t="s">
        <v>347</v>
      </c>
      <c r="I59" s="10">
        <v>45145</v>
      </c>
    </row>
    <row r="60" spans="1:9" x14ac:dyDescent="0.15">
      <c r="A60" s="9">
        <v>59</v>
      </c>
      <c r="B60" s="9" t="s">
        <v>9</v>
      </c>
      <c r="C60" s="9">
        <v>1910</v>
      </c>
      <c r="D60" s="10">
        <v>45602</v>
      </c>
      <c r="E60" s="13" t="str">
        <f>+HYPERLINK("http://trademark.i-assist.jp/data/china/image_1910th/73353892.pdf","73353892")</f>
        <v>73353892</v>
      </c>
      <c r="F60" s="11" t="s">
        <v>348</v>
      </c>
      <c r="G60" s="11" t="s">
        <v>349</v>
      </c>
      <c r="H60" s="11" t="s">
        <v>350</v>
      </c>
      <c r="I60" s="10">
        <v>45146</v>
      </c>
    </row>
    <row r="61" spans="1:9" x14ac:dyDescent="0.15">
      <c r="A61" s="9">
        <v>60</v>
      </c>
      <c r="B61" s="9" t="s">
        <v>9</v>
      </c>
      <c r="C61" s="9">
        <v>1910</v>
      </c>
      <c r="D61" s="10">
        <v>45602</v>
      </c>
      <c r="E61" s="13" t="str">
        <f>+HYPERLINK("http://trademark.i-assist.jp/data/china/image_1910th/73404088.pdf","73404088")</f>
        <v>73404088</v>
      </c>
      <c r="F61" s="9" t="s">
        <v>351</v>
      </c>
      <c r="G61" s="11" t="s">
        <v>352</v>
      </c>
      <c r="H61" s="11" t="s">
        <v>353</v>
      </c>
      <c r="I61" s="10">
        <v>45148</v>
      </c>
    </row>
    <row r="62" spans="1:9" x14ac:dyDescent="0.15">
      <c r="A62" s="9">
        <v>61</v>
      </c>
      <c r="B62" s="9" t="s">
        <v>9</v>
      </c>
      <c r="C62" s="9">
        <v>1910</v>
      </c>
      <c r="D62" s="10">
        <v>45602</v>
      </c>
      <c r="E62" s="13" t="str">
        <f>+HYPERLINK("http://trademark.i-assist.jp/data/china/image_1910th/73469062.pdf","73469062")</f>
        <v>73469062</v>
      </c>
      <c r="F62" s="11" t="s">
        <v>354</v>
      </c>
      <c r="G62" s="9" t="s">
        <v>355</v>
      </c>
      <c r="H62" s="9" t="s">
        <v>356</v>
      </c>
      <c r="I62" s="10">
        <v>45152</v>
      </c>
    </row>
    <row r="63" spans="1:9" x14ac:dyDescent="0.15">
      <c r="A63" s="9">
        <v>62</v>
      </c>
      <c r="B63" s="9" t="s">
        <v>9</v>
      </c>
      <c r="C63" s="9">
        <v>1910</v>
      </c>
      <c r="D63" s="10">
        <v>45602</v>
      </c>
      <c r="E63" s="13" t="str">
        <f>+HYPERLINK("http://trademark.i-assist.jp/data/china/image_1910th/73525159.pdf","73525159")</f>
        <v>73525159</v>
      </c>
      <c r="F63" s="9" t="s">
        <v>357</v>
      </c>
      <c r="G63" s="9" t="s">
        <v>358</v>
      </c>
      <c r="H63" s="9" t="s">
        <v>359</v>
      </c>
      <c r="I63" s="10">
        <v>45155</v>
      </c>
    </row>
    <row r="64" spans="1:9" x14ac:dyDescent="0.15">
      <c r="A64" s="9">
        <v>63</v>
      </c>
      <c r="B64" s="9" t="s">
        <v>9</v>
      </c>
      <c r="C64" s="9">
        <v>1910</v>
      </c>
      <c r="D64" s="10">
        <v>45602</v>
      </c>
      <c r="E64" s="13" t="str">
        <f>+HYPERLINK("http://trademark.i-assist.jp/data/china/image_1910th/73541137.pdf","73541137")</f>
        <v>73541137</v>
      </c>
      <c r="F64" s="9" t="s">
        <v>360</v>
      </c>
      <c r="G64" s="9" t="s">
        <v>361</v>
      </c>
      <c r="H64" s="9" t="s">
        <v>362</v>
      </c>
      <c r="I64" s="10">
        <v>45155</v>
      </c>
    </row>
    <row r="65" spans="1:9" x14ac:dyDescent="0.15">
      <c r="A65" s="9">
        <v>64</v>
      </c>
      <c r="B65" s="9" t="s">
        <v>9</v>
      </c>
      <c r="C65" s="9">
        <v>1910</v>
      </c>
      <c r="D65" s="10">
        <v>45602</v>
      </c>
      <c r="E65" s="13" t="str">
        <f>+HYPERLINK("http://trademark.i-assist.jp/data/china/image_1910th/73645124.pdf","73645124")</f>
        <v>73645124</v>
      </c>
      <c r="F65" s="9" t="s">
        <v>363</v>
      </c>
      <c r="G65" s="9" t="s">
        <v>364</v>
      </c>
      <c r="H65" s="9" t="s">
        <v>365</v>
      </c>
      <c r="I65" s="10">
        <v>45161</v>
      </c>
    </row>
    <row r="66" spans="1:9" x14ac:dyDescent="0.15">
      <c r="A66" s="9">
        <v>65</v>
      </c>
      <c r="B66" s="9" t="s">
        <v>9</v>
      </c>
      <c r="C66" s="9">
        <v>1910</v>
      </c>
      <c r="D66" s="10">
        <v>45602</v>
      </c>
      <c r="E66" s="13" t="str">
        <f>+HYPERLINK("http://trademark.i-assist.jp/data/china/image_1910th/73654007.pdf","73654007")</f>
        <v>73654007</v>
      </c>
      <c r="F66" s="9" t="s">
        <v>366</v>
      </c>
      <c r="G66" s="11" t="s">
        <v>367</v>
      </c>
      <c r="H66" s="9" t="s">
        <v>368</v>
      </c>
      <c r="I66" s="10">
        <v>45161</v>
      </c>
    </row>
    <row r="67" spans="1:9" x14ac:dyDescent="0.15">
      <c r="A67" s="9">
        <v>66</v>
      </c>
      <c r="B67" s="9" t="s">
        <v>9</v>
      </c>
      <c r="C67" s="9">
        <v>1910</v>
      </c>
      <c r="D67" s="10">
        <v>45602</v>
      </c>
      <c r="E67" s="13" t="str">
        <f>+HYPERLINK("http://trademark.i-assist.jp/data/china/image_1910th/73697346.pdf","73697346")</f>
        <v>73697346</v>
      </c>
      <c r="F67" s="11" t="s">
        <v>369</v>
      </c>
      <c r="G67" s="9" t="s">
        <v>370</v>
      </c>
      <c r="H67" s="9" t="s">
        <v>371</v>
      </c>
      <c r="I67" s="10">
        <v>45163</v>
      </c>
    </row>
    <row r="68" spans="1:9" x14ac:dyDescent="0.15">
      <c r="A68" s="9">
        <v>67</v>
      </c>
      <c r="B68" s="9" t="s">
        <v>9</v>
      </c>
      <c r="C68" s="9">
        <v>1910</v>
      </c>
      <c r="D68" s="10">
        <v>45602</v>
      </c>
      <c r="E68" s="13" t="str">
        <f>+HYPERLINK("http://trademark.i-assist.jp/data/china/image_1910th/73785405.pdf","73785405")</f>
        <v>73785405</v>
      </c>
      <c r="F68" s="9" t="s">
        <v>372</v>
      </c>
      <c r="G68" s="9" t="s">
        <v>373</v>
      </c>
      <c r="H68" s="11" t="s">
        <v>374</v>
      </c>
      <c r="I68" s="10">
        <v>45168</v>
      </c>
    </row>
    <row r="69" spans="1:9" x14ac:dyDescent="0.15">
      <c r="A69" s="9">
        <v>68</v>
      </c>
      <c r="B69" s="9" t="s">
        <v>9</v>
      </c>
      <c r="C69" s="9">
        <v>1910</v>
      </c>
      <c r="D69" s="10">
        <v>45602</v>
      </c>
      <c r="E69" s="13" t="str">
        <f>+HYPERLINK("http://trademark.i-assist.jp/data/china/image_1910th/73785574.pdf","73785574")</f>
        <v>73785574</v>
      </c>
      <c r="F69" s="9" t="s">
        <v>375</v>
      </c>
      <c r="G69" s="9" t="s">
        <v>376</v>
      </c>
      <c r="H69" s="9" t="s">
        <v>377</v>
      </c>
      <c r="I69" s="10">
        <v>45168</v>
      </c>
    </row>
    <row r="70" spans="1:9" x14ac:dyDescent="0.15">
      <c r="A70" s="9">
        <v>69</v>
      </c>
      <c r="B70" s="9" t="s">
        <v>9</v>
      </c>
      <c r="C70" s="9">
        <v>1910</v>
      </c>
      <c r="D70" s="10">
        <v>45602</v>
      </c>
      <c r="E70" s="13" t="str">
        <f>+HYPERLINK("http://trademark.i-assist.jp/data/china/image_1910th/73830748.pdf","73830748")</f>
        <v>73830748</v>
      </c>
      <c r="F70" s="9" t="s">
        <v>378</v>
      </c>
      <c r="G70" s="9" t="s">
        <v>379</v>
      </c>
      <c r="H70" s="9" t="s">
        <v>380</v>
      </c>
      <c r="I70" s="10">
        <v>45170</v>
      </c>
    </row>
    <row r="71" spans="1:9" x14ac:dyDescent="0.15">
      <c r="A71" s="9">
        <v>70</v>
      </c>
      <c r="B71" s="9" t="s">
        <v>9</v>
      </c>
      <c r="C71" s="9">
        <v>1910</v>
      </c>
      <c r="D71" s="10">
        <v>45602</v>
      </c>
      <c r="E71" s="13" t="str">
        <f>+HYPERLINK("http://trademark.i-assist.jp/data/china/image_1910th/73891281.pdf","73891281")</f>
        <v>73891281</v>
      </c>
      <c r="F71" s="9" t="s">
        <v>381</v>
      </c>
      <c r="G71" s="9" t="s">
        <v>382</v>
      </c>
      <c r="H71" s="9" t="s">
        <v>383</v>
      </c>
      <c r="I71" s="10">
        <v>45174</v>
      </c>
    </row>
    <row r="72" spans="1:9" x14ac:dyDescent="0.15">
      <c r="A72" s="9">
        <v>71</v>
      </c>
      <c r="B72" s="9" t="s">
        <v>9</v>
      </c>
      <c r="C72" s="9">
        <v>1910</v>
      </c>
      <c r="D72" s="10">
        <v>45602</v>
      </c>
      <c r="E72" s="13" t="str">
        <f>+HYPERLINK("http://trademark.i-assist.jp/data/china/image_1910th/73929181.pdf","73929181")</f>
        <v>73929181</v>
      </c>
      <c r="F72" s="9" t="s">
        <v>384</v>
      </c>
      <c r="G72" s="9" t="s">
        <v>385</v>
      </c>
      <c r="H72" s="9" t="s">
        <v>386</v>
      </c>
      <c r="I72" s="10">
        <v>45175</v>
      </c>
    </row>
    <row r="73" spans="1:9" x14ac:dyDescent="0.15">
      <c r="A73" s="9">
        <v>72</v>
      </c>
      <c r="B73" s="9" t="s">
        <v>9</v>
      </c>
      <c r="C73" s="9">
        <v>1910</v>
      </c>
      <c r="D73" s="10">
        <v>45602</v>
      </c>
      <c r="E73" s="13" t="str">
        <f>+HYPERLINK("http://trademark.i-assist.jp/data/china/image_1910th/73931872.pdf","73931872")</f>
        <v>73931872</v>
      </c>
      <c r="F73" s="11" t="s">
        <v>19</v>
      </c>
      <c r="G73" s="11" t="s">
        <v>387</v>
      </c>
      <c r="H73" s="9" t="s">
        <v>388</v>
      </c>
      <c r="I73" s="10">
        <v>45175</v>
      </c>
    </row>
    <row r="74" spans="1:9" x14ac:dyDescent="0.15">
      <c r="A74" s="9">
        <v>73</v>
      </c>
      <c r="B74" s="9" t="s">
        <v>9</v>
      </c>
      <c r="C74" s="9">
        <v>1910</v>
      </c>
      <c r="D74" s="10">
        <v>45602</v>
      </c>
      <c r="E74" s="13" t="str">
        <f>+HYPERLINK("http://trademark.i-assist.jp/data/china/image_1910th/73952435.pdf","73952435")</f>
        <v>73952435</v>
      </c>
      <c r="F74" s="11" t="s">
        <v>389</v>
      </c>
      <c r="G74" s="9" t="s">
        <v>390</v>
      </c>
      <c r="H74" s="9" t="s">
        <v>391</v>
      </c>
      <c r="I74" s="10">
        <v>45176</v>
      </c>
    </row>
    <row r="75" spans="1:9" x14ac:dyDescent="0.15">
      <c r="A75" s="9">
        <v>74</v>
      </c>
      <c r="B75" s="9" t="s">
        <v>9</v>
      </c>
      <c r="C75" s="9">
        <v>1910</v>
      </c>
      <c r="D75" s="10">
        <v>45602</v>
      </c>
      <c r="E75" s="13" t="str">
        <f>+HYPERLINK("http://trademark.i-assist.jp/data/china/image_1910th/73960012.pdf","73960012")</f>
        <v>73960012</v>
      </c>
      <c r="F75" s="9" t="s">
        <v>392</v>
      </c>
      <c r="G75" s="9" t="s">
        <v>393</v>
      </c>
      <c r="H75" s="9" t="s">
        <v>30</v>
      </c>
      <c r="I75" s="10">
        <v>45177</v>
      </c>
    </row>
    <row r="76" spans="1:9" x14ac:dyDescent="0.15">
      <c r="A76" s="9">
        <v>75</v>
      </c>
      <c r="B76" s="9" t="s">
        <v>9</v>
      </c>
      <c r="C76" s="9">
        <v>1910</v>
      </c>
      <c r="D76" s="10">
        <v>45602</v>
      </c>
      <c r="E76" s="13" t="str">
        <f>+HYPERLINK("http://trademark.i-assist.jp/data/china/image_1910th/73999292.pdf","73999292")</f>
        <v>73999292</v>
      </c>
      <c r="F76" s="9" t="s">
        <v>394</v>
      </c>
      <c r="G76" s="9" t="s">
        <v>395</v>
      </c>
      <c r="H76" s="9" t="s">
        <v>396</v>
      </c>
      <c r="I76" s="10">
        <v>45180</v>
      </c>
    </row>
    <row r="77" spans="1:9" x14ac:dyDescent="0.15">
      <c r="A77" s="9">
        <v>76</v>
      </c>
      <c r="B77" s="9" t="s">
        <v>9</v>
      </c>
      <c r="C77" s="9">
        <v>1910</v>
      </c>
      <c r="D77" s="10">
        <v>45602</v>
      </c>
      <c r="E77" s="13" t="str">
        <f>+HYPERLINK("http://trademark.i-assist.jp/data/china/image_1910th/74080305.pdf","74080305")</f>
        <v>74080305</v>
      </c>
      <c r="F77" s="9" t="s">
        <v>397</v>
      </c>
      <c r="G77" s="11" t="s">
        <v>398</v>
      </c>
      <c r="H77" s="9" t="s">
        <v>399</v>
      </c>
      <c r="I77" s="10">
        <v>45183</v>
      </c>
    </row>
    <row r="78" spans="1:9" x14ac:dyDescent="0.15">
      <c r="A78" s="9">
        <v>77</v>
      </c>
      <c r="B78" s="9" t="s">
        <v>9</v>
      </c>
      <c r="C78" s="9">
        <v>1910</v>
      </c>
      <c r="D78" s="10">
        <v>45602</v>
      </c>
      <c r="E78" s="13" t="str">
        <f>+HYPERLINK("http://trademark.i-assist.jp/data/china/image_1910th/74112366.pdf","74112366")</f>
        <v>74112366</v>
      </c>
      <c r="F78" s="9" t="s">
        <v>400</v>
      </c>
      <c r="G78" s="9" t="s">
        <v>401</v>
      </c>
      <c r="H78" s="9" t="s">
        <v>402</v>
      </c>
      <c r="I78" s="10">
        <v>45184</v>
      </c>
    </row>
    <row r="79" spans="1:9" x14ac:dyDescent="0.15">
      <c r="A79" s="9">
        <v>78</v>
      </c>
      <c r="B79" s="9" t="s">
        <v>9</v>
      </c>
      <c r="C79" s="9">
        <v>1910</v>
      </c>
      <c r="D79" s="10">
        <v>45602</v>
      </c>
      <c r="E79" s="13" t="str">
        <f>+HYPERLINK("http://trademark.i-assist.jp/data/china/image_1910th/74213662.pdf","74213662")</f>
        <v>74213662</v>
      </c>
      <c r="F79" s="11" t="s">
        <v>403</v>
      </c>
      <c r="G79" s="9" t="s">
        <v>404</v>
      </c>
      <c r="H79" s="9" t="s">
        <v>405</v>
      </c>
      <c r="I79" s="10">
        <v>45190</v>
      </c>
    </row>
    <row r="80" spans="1:9" x14ac:dyDescent="0.15">
      <c r="A80" s="9">
        <v>79</v>
      </c>
      <c r="B80" s="9" t="s">
        <v>9</v>
      </c>
      <c r="C80" s="9">
        <v>1910</v>
      </c>
      <c r="D80" s="10">
        <v>45602</v>
      </c>
      <c r="E80" s="13" t="str">
        <f>+HYPERLINK("http://trademark.i-assist.jp/data/china/image_1910th/74214827.pdf","74214827")</f>
        <v>74214827</v>
      </c>
      <c r="F80" s="9" t="s">
        <v>406</v>
      </c>
      <c r="G80" s="11" t="s">
        <v>407</v>
      </c>
      <c r="H80" s="11" t="s">
        <v>408</v>
      </c>
      <c r="I80" s="10">
        <v>45190</v>
      </c>
    </row>
    <row r="81" spans="1:9" x14ac:dyDescent="0.15">
      <c r="A81" s="9">
        <v>80</v>
      </c>
      <c r="B81" s="9" t="s">
        <v>9</v>
      </c>
      <c r="C81" s="9">
        <v>1910</v>
      </c>
      <c r="D81" s="10">
        <v>45602</v>
      </c>
      <c r="E81" s="13" t="str">
        <f>+HYPERLINK("http://trademark.i-assist.jp/data/china/image_1910th/74252585.pdf","74252585")</f>
        <v>74252585</v>
      </c>
      <c r="F81" s="9" t="s">
        <v>409</v>
      </c>
      <c r="G81" s="11" t="s">
        <v>410</v>
      </c>
      <c r="H81" s="9" t="s">
        <v>411</v>
      </c>
      <c r="I81" s="10">
        <v>45191</v>
      </c>
    </row>
    <row r="82" spans="1:9" x14ac:dyDescent="0.15">
      <c r="A82" s="9">
        <v>81</v>
      </c>
      <c r="B82" s="9" t="s">
        <v>9</v>
      </c>
      <c r="C82" s="9">
        <v>1910</v>
      </c>
      <c r="D82" s="10">
        <v>45602</v>
      </c>
      <c r="E82" s="13" t="str">
        <f>+HYPERLINK("http://trademark.i-assist.jp/data/china/image_1910th/74266199.pdf","74266199")</f>
        <v>74266199</v>
      </c>
      <c r="F82" s="11" t="s">
        <v>412</v>
      </c>
      <c r="G82" s="11" t="s">
        <v>413</v>
      </c>
      <c r="H82" s="9" t="s">
        <v>414</v>
      </c>
      <c r="I82" s="10">
        <v>45192</v>
      </c>
    </row>
    <row r="83" spans="1:9" x14ac:dyDescent="0.15">
      <c r="A83" s="9">
        <v>82</v>
      </c>
      <c r="B83" s="9" t="s">
        <v>9</v>
      </c>
      <c r="C83" s="9">
        <v>1910</v>
      </c>
      <c r="D83" s="10">
        <v>45602</v>
      </c>
      <c r="E83" s="13" t="str">
        <f>+HYPERLINK("http://trademark.i-assist.jp/data/china/image_1910th/74269945.pdf","74269945")</f>
        <v>74269945</v>
      </c>
      <c r="F83" s="9" t="s">
        <v>415</v>
      </c>
      <c r="G83" s="11" t="s">
        <v>413</v>
      </c>
      <c r="H83" s="11" t="s">
        <v>416</v>
      </c>
      <c r="I83" s="10">
        <v>45193</v>
      </c>
    </row>
    <row r="84" spans="1:9" x14ac:dyDescent="0.15">
      <c r="A84" s="9">
        <v>83</v>
      </c>
      <c r="B84" s="9" t="s">
        <v>9</v>
      </c>
      <c r="C84" s="9">
        <v>1910</v>
      </c>
      <c r="D84" s="10">
        <v>45602</v>
      </c>
      <c r="E84" s="13" t="str">
        <f>+HYPERLINK("http://trademark.i-assist.jp/data/china/image_1910th/74270929.pdf","74270929")</f>
        <v>74270929</v>
      </c>
      <c r="F84" s="9" t="s">
        <v>417</v>
      </c>
      <c r="G84" s="11" t="s">
        <v>94</v>
      </c>
      <c r="H84" s="9" t="s">
        <v>418</v>
      </c>
      <c r="I84" s="10">
        <v>45194</v>
      </c>
    </row>
    <row r="85" spans="1:9" x14ac:dyDescent="0.15">
      <c r="A85" s="9">
        <v>84</v>
      </c>
      <c r="B85" s="9" t="s">
        <v>9</v>
      </c>
      <c r="C85" s="9">
        <v>1910</v>
      </c>
      <c r="D85" s="10">
        <v>45602</v>
      </c>
      <c r="E85" s="13" t="str">
        <f>+HYPERLINK("http://trademark.i-assist.jp/data/china/image_1910th/74295672.pdf","74295672")</f>
        <v>74295672</v>
      </c>
      <c r="F85" s="9" t="s">
        <v>419</v>
      </c>
      <c r="G85" s="9" t="s">
        <v>23</v>
      </c>
      <c r="H85" s="9" t="s">
        <v>420</v>
      </c>
      <c r="I85" s="10">
        <v>45194</v>
      </c>
    </row>
    <row r="86" spans="1:9" x14ac:dyDescent="0.15">
      <c r="A86" s="9">
        <v>85</v>
      </c>
      <c r="B86" s="9" t="s">
        <v>9</v>
      </c>
      <c r="C86" s="9">
        <v>1910</v>
      </c>
      <c r="D86" s="10">
        <v>45602</v>
      </c>
      <c r="E86" s="13" t="str">
        <f>+HYPERLINK("http://trademark.i-assist.jp/data/china/image_1910th/74300212.pdf","74300212")</f>
        <v>74300212</v>
      </c>
      <c r="F86" s="9" t="s">
        <v>421</v>
      </c>
      <c r="G86" s="9" t="s">
        <v>422</v>
      </c>
      <c r="H86" s="9" t="s">
        <v>423</v>
      </c>
      <c r="I86" s="10">
        <v>45195</v>
      </c>
    </row>
    <row r="87" spans="1:9" x14ac:dyDescent="0.15">
      <c r="A87" s="9">
        <v>86</v>
      </c>
      <c r="B87" s="9" t="s">
        <v>9</v>
      </c>
      <c r="C87" s="9">
        <v>1910</v>
      </c>
      <c r="D87" s="10">
        <v>45602</v>
      </c>
      <c r="E87" s="13" t="str">
        <f>+HYPERLINK("http://trademark.i-assist.jp/data/china/image_1910th/74310486.pdf","74310486")</f>
        <v>74310486</v>
      </c>
      <c r="F87" s="9" t="s">
        <v>406</v>
      </c>
      <c r="G87" s="11" t="s">
        <v>407</v>
      </c>
      <c r="H87" s="9" t="s">
        <v>424</v>
      </c>
      <c r="I87" s="10">
        <v>45195</v>
      </c>
    </row>
    <row r="88" spans="1:9" x14ac:dyDescent="0.15">
      <c r="A88" s="9">
        <v>87</v>
      </c>
      <c r="B88" s="9" t="s">
        <v>9</v>
      </c>
      <c r="C88" s="9">
        <v>1910</v>
      </c>
      <c r="D88" s="10">
        <v>45602</v>
      </c>
      <c r="E88" s="13" t="str">
        <f>+HYPERLINK("http://trademark.i-assist.jp/data/china/image_1910th/74315849.pdf","74315849")</f>
        <v>74315849</v>
      </c>
      <c r="F88" s="9" t="s">
        <v>425</v>
      </c>
      <c r="G88" s="11" t="s">
        <v>426</v>
      </c>
      <c r="H88" s="9" t="s">
        <v>427</v>
      </c>
      <c r="I88" s="10">
        <v>45195</v>
      </c>
    </row>
    <row r="89" spans="1:9" x14ac:dyDescent="0.15">
      <c r="A89" s="9">
        <v>88</v>
      </c>
      <c r="B89" s="9" t="s">
        <v>9</v>
      </c>
      <c r="C89" s="9">
        <v>1910</v>
      </c>
      <c r="D89" s="10">
        <v>45602</v>
      </c>
      <c r="E89" s="13" t="str">
        <f>+HYPERLINK("http://trademark.i-assist.jp/data/china/image_1910th/74317350.pdf","74317350")</f>
        <v>74317350</v>
      </c>
      <c r="F89" s="9" t="s">
        <v>406</v>
      </c>
      <c r="G89" s="11" t="s">
        <v>407</v>
      </c>
      <c r="H89" s="9" t="s">
        <v>428</v>
      </c>
      <c r="I89" s="10">
        <v>45195</v>
      </c>
    </row>
    <row r="90" spans="1:9" x14ac:dyDescent="0.15">
      <c r="A90" s="9">
        <v>89</v>
      </c>
      <c r="B90" s="9" t="s">
        <v>9</v>
      </c>
      <c r="C90" s="9">
        <v>1910</v>
      </c>
      <c r="D90" s="10">
        <v>45602</v>
      </c>
      <c r="E90" s="13" t="str">
        <f>+HYPERLINK("http://trademark.i-assist.jp/data/china/image_1910th/74323293.pdf","74323293")</f>
        <v>74323293</v>
      </c>
      <c r="F90" s="9" t="s">
        <v>406</v>
      </c>
      <c r="G90" s="11" t="s">
        <v>407</v>
      </c>
      <c r="H90" s="9" t="s">
        <v>429</v>
      </c>
      <c r="I90" s="10">
        <v>45195</v>
      </c>
    </row>
    <row r="91" spans="1:9" x14ac:dyDescent="0.15">
      <c r="A91" s="9">
        <v>90</v>
      </c>
      <c r="B91" s="9" t="s">
        <v>9</v>
      </c>
      <c r="C91" s="9">
        <v>1910</v>
      </c>
      <c r="D91" s="10">
        <v>45602</v>
      </c>
      <c r="E91" s="13" t="str">
        <f>+HYPERLINK("http://trademark.i-assist.jp/data/china/image_1910th/74323998.pdf","74323998")</f>
        <v>74323998</v>
      </c>
      <c r="F91" s="9" t="s">
        <v>430</v>
      </c>
      <c r="G91" s="9" t="s">
        <v>431</v>
      </c>
      <c r="H91" s="9" t="s">
        <v>432</v>
      </c>
      <c r="I91" s="10">
        <v>45196</v>
      </c>
    </row>
    <row r="92" spans="1:9" x14ac:dyDescent="0.15">
      <c r="A92" s="9">
        <v>91</v>
      </c>
      <c r="B92" s="9" t="s">
        <v>9</v>
      </c>
      <c r="C92" s="9">
        <v>1910</v>
      </c>
      <c r="D92" s="10">
        <v>45602</v>
      </c>
      <c r="E92" s="13" t="str">
        <f>+HYPERLINK("http://trademark.i-assist.jp/data/china/image_1910th/74369438.pdf","74369438")</f>
        <v>74369438</v>
      </c>
      <c r="F92" s="9" t="s">
        <v>433</v>
      </c>
      <c r="G92" s="9" t="s">
        <v>434</v>
      </c>
      <c r="H92" s="9" t="s">
        <v>435</v>
      </c>
      <c r="I92" s="10">
        <v>45197</v>
      </c>
    </row>
    <row r="93" spans="1:9" x14ac:dyDescent="0.15">
      <c r="A93" s="9">
        <v>92</v>
      </c>
      <c r="B93" s="9" t="s">
        <v>9</v>
      </c>
      <c r="C93" s="9">
        <v>1910</v>
      </c>
      <c r="D93" s="10">
        <v>45602</v>
      </c>
      <c r="E93" s="13" t="str">
        <f>+HYPERLINK("http://trademark.i-assist.jp/data/china/image_1910th/74406778.pdf","74406778")</f>
        <v>74406778</v>
      </c>
      <c r="F93" s="11" t="s">
        <v>436</v>
      </c>
      <c r="G93" s="9" t="s">
        <v>437</v>
      </c>
      <c r="H93" s="9" t="s">
        <v>438</v>
      </c>
      <c r="I93" s="10">
        <v>45206</v>
      </c>
    </row>
    <row r="94" spans="1:9" x14ac:dyDescent="0.15">
      <c r="A94" s="9">
        <v>93</v>
      </c>
      <c r="B94" s="9" t="s">
        <v>9</v>
      </c>
      <c r="C94" s="9">
        <v>1910</v>
      </c>
      <c r="D94" s="10">
        <v>45602</v>
      </c>
      <c r="E94" s="13" t="str">
        <f>+HYPERLINK("http://trademark.i-assist.jp/data/china/image_1910th/74490862.pdf","74490862")</f>
        <v>74490862</v>
      </c>
      <c r="F94" s="9" t="s">
        <v>439</v>
      </c>
      <c r="G94" s="9" t="s">
        <v>440</v>
      </c>
      <c r="H94" s="9" t="s">
        <v>441</v>
      </c>
      <c r="I94" s="10">
        <v>45209</v>
      </c>
    </row>
    <row r="95" spans="1:9" x14ac:dyDescent="0.15">
      <c r="A95" s="9">
        <v>94</v>
      </c>
      <c r="B95" s="9" t="s">
        <v>9</v>
      </c>
      <c r="C95" s="9">
        <v>1910</v>
      </c>
      <c r="D95" s="10">
        <v>45602</v>
      </c>
      <c r="E95" s="13" t="str">
        <f>+HYPERLINK("http://trademark.i-assist.jp/data/china/image_1910th/74512328.pdf","74512328")</f>
        <v>74512328</v>
      </c>
      <c r="F95" s="9" t="s">
        <v>442</v>
      </c>
      <c r="G95" s="11" t="s">
        <v>443</v>
      </c>
      <c r="H95" s="9" t="s">
        <v>444</v>
      </c>
      <c r="I95" s="10">
        <v>45210</v>
      </c>
    </row>
    <row r="96" spans="1:9" x14ac:dyDescent="0.15">
      <c r="A96" s="9">
        <v>95</v>
      </c>
      <c r="B96" s="9" t="s">
        <v>9</v>
      </c>
      <c r="C96" s="9">
        <v>1910</v>
      </c>
      <c r="D96" s="10">
        <v>45602</v>
      </c>
      <c r="E96" s="13" t="str">
        <f>+HYPERLINK("http://trademark.i-assist.jp/data/china/image_1910th/74539246.pdf","74539246")</f>
        <v>74539246</v>
      </c>
      <c r="F96" s="9" t="s">
        <v>445</v>
      </c>
      <c r="G96" s="9" t="s">
        <v>446</v>
      </c>
      <c r="H96" s="9" t="s">
        <v>447</v>
      </c>
      <c r="I96" s="10">
        <v>45211</v>
      </c>
    </row>
    <row r="97" spans="1:9" x14ac:dyDescent="0.15">
      <c r="A97" s="9">
        <v>96</v>
      </c>
      <c r="B97" s="9" t="s">
        <v>9</v>
      </c>
      <c r="C97" s="9">
        <v>1910</v>
      </c>
      <c r="D97" s="10">
        <v>45602</v>
      </c>
      <c r="E97" s="13" t="str">
        <f>+HYPERLINK("http://trademark.i-assist.jp/data/china/image_1910th/74547771.pdf","74547771")</f>
        <v>74547771</v>
      </c>
      <c r="F97" s="11" t="s">
        <v>19</v>
      </c>
      <c r="G97" s="9" t="s">
        <v>448</v>
      </c>
      <c r="H97" s="9" t="s">
        <v>449</v>
      </c>
      <c r="I97" s="10">
        <v>45212</v>
      </c>
    </row>
    <row r="98" spans="1:9" x14ac:dyDescent="0.15">
      <c r="A98" s="9">
        <v>97</v>
      </c>
      <c r="B98" s="9" t="s">
        <v>9</v>
      </c>
      <c r="C98" s="9">
        <v>1910</v>
      </c>
      <c r="D98" s="10">
        <v>45602</v>
      </c>
      <c r="E98" s="13" t="str">
        <f>+HYPERLINK("http://trademark.i-assist.jp/data/china/image_1910th/74587740.pdf","74587740")</f>
        <v>74587740</v>
      </c>
      <c r="F98" s="12" t="s">
        <v>450</v>
      </c>
      <c r="G98" s="12" t="s">
        <v>451</v>
      </c>
      <c r="H98" s="9" t="s">
        <v>452</v>
      </c>
      <c r="I98" s="10">
        <v>45215</v>
      </c>
    </row>
    <row r="99" spans="1:9" x14ac:dyDescent="0.15">
      <c r="A99" s="9">
        <v>98</v>
      </c>
      <c r="B99" s="9" t="s">
        <v>9</v>
      </c>
      <c r="C99" s="9">
        <v>1910</v>
      </c>
      <c r="D99" s="10">
        <v>45602</v>
      </c>
      <c r="E99" s="13" t="str">
        <f>+HYPERLINK("http://trademark.i-assist.jp/data/china/image_1910th/74653209.pdf","74653209")</f>
        <v>74653209</v>
      </c>
      <c r="F99" s="9" t="s">
        <v>453</v>
      </c>
      <c r="G99" s="9" t="s">
        <v>454</v>
      </c>
      <c r="H99" s="9" t="s">
        <v>455</v>
      </c>
      <c r="I99" s="10">
        <v>45218</v>
      </c>
    </row>
    <row r="100" spans="1:9" x14ac:dyDescent="0.15">
      <c r="A100" s="9">
        <v>99</v>
      </c>
      <c r="B100" s="9" t="s">
        <v>9</v>
      </c>
      <c r="C100" s="9">
        <v>1910</v>
      </c>
      <c r="D100" s="10">
        <v>45602</v>
      </c>
      <c r="E100" s="13" t="str">
        <f>+HYPERLINK("http://trademark.i-assist.jp/data/china/image_1910th/74691005.pdf","74691005")</f>
        <v>74691005</v>
      </c>
      <c r="F100" s="9" t="s">
        <v>456</v>
      </c>
      <c r="G100" s="11" t="s">
        <v>457</v>
      </c>
      <c r="H100" s="9" t="s">
        <v>458</v>
      </c>
      <c r="I100" s="10">
        <v>45219</v>
      </c>
    </row>
    <row r="101" spans="1:9" x14ac:dyDescent="0.15">
      <c r="A101" s="9">
        <v>100</v>
      </c>
      <c r="B101" s="9" t="s">
        <v>9</v>
      </c>
      <c r="C101" s="9">
        <v>1910</v>
      </c>
      <c r="D101" s="10">
        <v>45602</v>
      </c>
      <c r="E101" s="13" t="str">
        <f>+HYPERLINK("http://trademark.i-assist.jp/data/china/image_1910th/74755784.pdf","74755784")</f>
        <v>74755784</v>
      </c>
      <c r="F101" s="9" t="s">
        <v>459</v>
      </c>
      <c r="G101" s="11" t="s">
        <v>460</v>
      </c>
      <c r="H101" s="9" t="s">
        <v>461</v>
      </c>
      <c r="I101" s="10">
        <v>45223</v>
      </c>
    </row>
    <row r="102" spans="1:9" x14ac:dyDescent="0.15">
      <c r="A102" s="9">
        <v>101</v>
      </c>
      <c r="B102" s="9" t="s">
        <v>9</v>
      </c>
      <c r="C102" s="9">
        <v>1910</v>
      </c>
      <c r="D102" s="10">
        <v>45602</v>
      </c>
      <c r="E102" s="13" t="str">
        <f>+HYPERLINK("http://trademark.i-assist.jp/data/china/image_1910th/74838169.pdf","74838169")</f>
        <v>74838169</v>
      </c>
      <c r="F102" s="9" t="s">
        <v>462</v>
      </c>
      <c r="G102" s="11" t="s">
        <v>463</v>
      </c>
      <c r="H102" s="9" t="s">
        <v>464</v>
      </c>
      <c r="I102" s="10">
        <v>45227</v>
      </c>
    </row>
    <row r="103" spans="1:9" x14ac:dyDescent="0.15">
      <c r="A103" s="9">
        <v>102</v>
      </c>
      <c r="B103" s="9" t="s">
        <v>9</v>
      </c>
      <c r="C103" s="9">
        <v>1910</v>
      </c>
      <c r="D103" s="10">
        <v>45602</v>
      </c>
      <c r="E103" s="13" t="str">
        <f>+HYPERLINK("http://trademark.i-assist.jp/data/china/image_1910th/74838675.pdf","74838675")</f>
        <v>74838675</v>
      </c>
      <c r="F103" s="9" t="s">
        <v>465</v>
      </c>
      <c r="G103" s="11" t="s">
        <v>463</v>
      </c>
      <c r="H103" s="9" t="s">
        <v>466</v>
      </c>
      <c r="I103" s="10">
        <v>45227</v>
      </c>
    </row>
    <row r="104" spans="1:9" x14ac:dyDescent="0.15">
      <c r="A104" s="9">
        <v>103</v>
      </c>
      <c r="B104" s="9" t="s">
        <v>9</v>
      </c>
      <c r="C104" s="9">
        <v>1910</v>
      </c>
      <c r="D104" s="10">
        <v>45602</v>
      </c>
      <c r="E104" s="13" t="str">
        <f>+HYPERLINK("http://trademark.i-assist.jp/data/china/image_1910th/74839926.pdf","74839926")</f>
        <v>74839926</v>
      </c>
      <c r="F104" s="11" t="s">
        <v>467</v>
      </c>
      <c r="G104" s="11" t="s">
        <v>468</v>
      </c>
      <c r="H104" s="9" t="s">
        <v>469</v>
      </c>
      <c r="I104" s="10">
        <v>45227</v>
      </c>
    </row>
    <row r="105" spans="1:9" x14ac:dyDescent="0.15">
      <c r="A105" s="9">
        <v>104</v>
      </c>
      <c r="B105" s="9" t="s">
        <v>9</v>
      </c>
      <c r="C105" s="9">
        <v>1910</v>
      </c>
      <c r="D105" s="10">
        <v>45602</v>
      </c>
      <c r="E105" s="13" t="str">
        <f>+HYPERLINK("http://trademark.i-assist.jp/data/china/image_1910th/74843120.pdf","74843120")</f>
        <v>74843120</v>
      </c>
      <c r="F105" s="11" t="s">
        <v>470</v>
      </c>
      <c r="G105" s="11" t="s">
        <v>463</v>
      </c>
      <c r="H105" s="9" t="s">
        <v>471</v>
      </c>
      <c r="I105" s="10">
        <v>45227</v>
      </c>
    </row>
    <row r="106" spans="1:9" x14ac:dyDescent="0.15">
      <c r="A106" s="9">
        <v>105</v>
      </c>
      <c r="B106" s="9" t="s">
        <v>9</v>
      </c>
      <c r="C106" s="9">
        <v>1910</v>
      </c>
      <c r="D106" s="10">
        <v>45602</v>
      </c>
      <c r="E106" s="13" t="str">
        <f>+HYPERLINK("http://trademark.i-assist.jp/data/china/image_1910th/74871638.pdf","74871638")</f>
        <v>74871638</v>
      </c>
      <c r="F106" s="9" t="s">
        <v>472</v>
      </c>
      <c r="G106" s="11" t="s">
        <v>209</v>
      </c>
      <c r="H106" s="9" t="s">
        <v>473</v>
      </c>
      <c r="I106" s="10">
        <v>45229</v>
      </c>
    </row>
    <row r="107" spans="1:9" x14ac:dyDescent="0.15">
      <c r="A107" s="9">
        <v>106</v>
      </c>
      <c r="B107" s="9" t="s">
        <v>9</v>
      </c>
      <c r="C107" s="9">
        <v>1910</v>
      </c>
      <c r="D107" s="10">
        <v>45602</v>
      </c>
      <c r="E107" s="13" t="str">
        <f>+HYPERLINK("http://trademark.i-assist.jp/data/china/image_1910th/74875668.pdf","74875668")</f>
        <v>74875668</v>
      </c>
      <c r="F107" s="9" t="s">
        <v>474</v>
      </c>
      <c r="G107" s="9" t="s">
        <v>475</v>
      </c>
      <c r="H107" s="9" t="s">
        <v>476</v>
      </c>
      <c r="I107" s="10">
        <v>45230</v>
      </c>
    </row>
    <row r="108" spans="1:9" x14ac:dyDescent="0.15">
      <c r="A108" s="9">
        <v>107</v>
      </c>
      <c r="B108" s="9" t="s">
        <v>9</v>
      </c>
      <c r="C108" s="9">
        <v>1910</v>
      </c>
      <c r="D108" s="10">
        <v>45602</v>
      </c>
      <c r="E108" s="13" t="str">
        <f>+HYPERLINK("http://trademark.i-assist.jp/data/china/image_1910th/74887249.pdf","74887249")</f>
        <v>74887249</v>
      </c>
      <c r="F108" s="9" t="s">
        <v>477</v>
      </c>
      <c r="G108" s="9" t="s">
        <v>478</v>
      </c>
      <c r="H108" s="9" t="s">
        <v>479</v>
      </c>
      <c r="I108" s="10">
        <v>45230</v>
      </c>
    </row>
    <row r="109" spans="1:9" x14ac:dyDescent="0.15">
      <c r="A109" s="9">
        <v>108</v>
      </c>
      <c r="B109" s="9" t="s">
        <v>9</v>
      </c>
      <c r="C109" s="9">
        <v>1910</v>
      </c>
      <c r="D109" s="10">
        <v>45602</v>
      </c>
      <c r="E109" s="13" t="str">
        <f>+HYPERLINK("http://trademark.i-assist.jp/data/china/image_1910th/74901223.pdf","74901223")</f>
        <v>74901223</v>
      </c>
      <c r="F109" s="11" t="s">
        <v>480</v>
      </c>
      <c r="G109" s="9" t="s">
        <v>481</v>
      </c>
      <c r="H109" s="9" t="s">
        <v>482</v>
      </c>
      <c r="I109" s="10">
        <v>45230</v>
      </c>
    </row>
    <row r="110" spans="1:9" x14ac:dyDescent="0.15">
      <c r="A110" s="9">
        <v>109</v>
      </c>
      <c r="B110" s="9" t="s">
        <v>9</v>
      </c>
      <c r="C110" s="9">
        <v>1910</v>
      </c>
      <c r="D110" s="10">
        <v>45602</v>
      </c>
      <c r="E110" s="13" t="str">
        <f>+HYPERLINK("http://trademark.i-assist.jp/data/china/image_1910th/74907409.pdf","74907409")</f>
        <v>74907409</v>
      </c>
      <c r="F110" s="11" t="s">
        <v>483</v>
      </c>
      <c r="G110" s="11" t="s">
        <v>484</v>
      </c>
      <c r="H110" s="9" t="s">
        <v>485</v>
      </c>
      <c r="I110" s="10">
        <v>45231</v>
      </c>
    </row>
    <row r="111" spans="1:9" x14ac:dyDescent="0.15">
      <c r="A111" s="9">
        <v>110</v>
      </c>
      <c r="B111" s="9" t="s">
        <v>9</v>
      </c>
      <c r="C111" s="9">
        <v>1910</v>
      </c>
      <c r="D111" s="10">
        <v>45602</v>
      </c>
      <c r="E111" s="13" t="str">
        <f>+HYPERLINK("http://trademark.i-assist.jp/data/china/image_1910th/74914262.pdf","74914262")</f>
        <v>74914262</v>
      </c>
      <c r="F111" s="9" t="s">
        <v>486</v>
      </c>
      <c r="G111" s="11" t="s">
        <v>487</v>
      </c>
      <c r="H111" s="9" t="s">
        <v>488</v>
      </c>
      <c r="I111" s="10">
        <v>45231</v>
      </c>
    </row>
    <row r="112" spans="1:9" x14ac:dyDescent="0.15">
      <c r="A112" s="9">
        <v>111</v>
      </c>
      <c r="B112" s="9" t="s">
        <v>9</v>
      </c>
      <c r="C112" s="9">
        <v>1910</v>
      </c>
      <c r="D112" s="10">
        <v>45602</v>
      </c>
      <c r="E112" s="13" t="str">
        <f>+HYPERLINK("http://trademark.i-assist.jp/data/china/image_1910th/74919331.pdf","74919331")</f>
        <v>74919331</v>
      </c>
      <c r="F112" s="11" t="s">
        <v>489</v>
      </c>
      <c r="G112" s="11" t="s">
        <v>487</v>
      </c>
      <c r="H112" s="9" t="s">
        <v>490</v>
      </c>
      <c r="I112" s="10">
        <v>45231</v>
      </c>
    </row>
    <row r="113" spans="1:9" x14ac:dyDescent="0.15">
      <c r="A113" s="9">
        <v>112</v>
      </c>
      <c r="B113" s="9" t="s">
        <v>9</v>
      </c>
      <c r="C113" s="9">
        <v>1910</v>
      </c>
      <c r="D113" s="10">
        <v>45602</v>
      </c>
      <c r="E113" s="13" t="str">
        <f>+HYPERLINK("http://trademark.i-assist.jp/data/china/image_1910th/74935597.pdf","74935597")</f>
        <v>74935597</v>
      </c>
      <c r="F113" s="11" t="s">
        <v>491</v>
      </c>
      <c r="G113" s="9" t="s">
        <v>492</v>
      </c>
      <c r="H113" s="9" t="s">
        <v>493</v>
      </c>
      <c r="I113" s="10">
        <v>45232</v>
      </c>
    </row>
    <row r="114" spans="1:9" x14ac:dyDescent="0.15">
      <c r="A114" s="9">
        <v>113</v>
      </c>
      <c r="B114" s="9" t="s">
        <v>9</v>
      </c>
      <c r="C114" s="9">
        <v>1910</v>
      </c>
      <c r="D114" s="10">
        <v>45602</v>
      </c>
      <c r="E114" s="13" t="str">
        <f>+HYPERLINK("http://trademark.i-assist.jp/data/china/image_1910th/74959037.pdf","74959037")</f>
        <v>74959037</v>
      </c>
      <c r="F114" s="9" t="s">
        <v>494</v>
      </c>
      <c r="G114" s="9" t="s">
        <v>495</v>
      </c>
      <c r="H114" s="9" t="s">
        <v>496</v>
      </c>
      <c r="I114" s="10">
        <v>45233</v>
      </c>
    </row>
    <row r="115" spans="1:9" x14ac:dyDescent="0.15">
      <c r="A115" s="9">
        <v>114</v>
      </c>
      <c r="B115" s="9" t="s">
        <v>9</v>
      </c>
      <c r="C115" s="9">
        <v>1910</v>
      </c>
      <c r="D115" s="10">
        <v>45602</v>
      </c>
      <c r="E115" s="13" t="str">
        <f>+HYPERLINK("http://trademark.i-assist.jp/data/china/image_1910th/74959981.pdf","74959981")</f>
        <v>74959981</v>
      </c>
      <c r="F115" s="9" t="s">
        <v>497</v>
      </c>
      <c r="G115" s="11" t="s">
        <v>498</v>
      </c>
      <c r="H115" s="9" t="s">
        <v>499</v>
      </c>
      <c r="I115" s="10">
        <v>45233</v>
      </c>
    </row>
    <row r="116" spans="1:9" x14ac:dyDescent="0.15">
      <c r="A116" s="9">
        <v>115</v>
      </c>
      <c r="B116" s="9" t="s">
        <v>9</v>
      </c>
      <c r="C116" s="9">
        <v>1910</v>
      </c>
      <c r="D116" s="10">
        <v>45602</v>
      </c>
      <c r="E116" s="13" t="str">
        <f>+HYPERLINK("http://trademark.i-assist.jp/data/china/image_1910th/74973212.pdf","74973212")</f>
        <v>74973212</v>
      </c>
      <c r="F116" s="9" t="s">
        <v>500</v>
      </c>
      <c r="G116" s="9" t="s">
        <v>501</v>
      </c>
      <c r="H116" s="9" t="s">
        <v>502</v>
      </c>
      <c r="I116" s="10">
        <v>45233</v>
      </c>
    </row>
    <row r="117" spans="1:9" x14ac:dyDescent="0.15">
      <c r="A117" s="9">
        <v>116</v>
      </c>
      <c r="B117" s="9" t="s">
        <v>9</v>
      </c>
      <c r="C117" s="9">
        <v>1910</v>
      </c>
      <c r="D117" s="10">
        <v>45602</v>
      </c>
      <c r="E117" s="13" t="str">
        <f>+HYPERLINK("http://trademark.i-assist.jp/data/china/image_1910th/74990357.pdf","74990357")</f>
        <v>74990357</v>
      </c>
      <c r="F117" s="12" t="s">
        <v>503</v>
      </c>
      <c r="G117" s="11" t="s">
        <v>504</v>
      </c>
      <c r="H117" s="9" t="s">
        <v>505</v>
      </c>
      <c r="I117" s="10">
        <v>45236</v>
      </c>
    </row>
    <row r="118" spans="1:9" x14ac:dyDescent="0.15">
      <c r="A118" s="9">
        <v>117</v>
      </c>
      <c r="B118" s="9" t="s">
        <v>9</v>
      </c>
      <c r="C118" s="9">
        <v>1910</v>
      </c>
      <c r="D118" s="10">
        <v>45602</v>
      </c>
      <c r="E118" s="13" t="str">
        <f>+HYPERLINK("http://trademark.i-assist.jp/data/china/image_1910th/74994979.pdf","74994979")</f>
        <v>74994979</v>
      </c>
      <c r="F118" s="11" t="s">
        <v>506</v>
      </c>
      <c r="G118" s="9" t="s">
        <v>507</v>
      </c>
      <c r="H118" s="11" t="s">
        <v>508</v>
      </c>
      <c r="I118" s="10">
        <v>45236</v>
      </c>
    </row>
    <row r="119" spans="1:9" x14ac:dyDescent="0.15">
      <c r="A119" s="9">
        <v>118</v>
      </c>
      <c r="B119" s="9" t="s">
        <v>9</v>
      </c>
      <c r="C119" s="9">
        <v>1910</v>
      </c>
      <c r="D119" s="10">
        <v>45602</v>
      </c>
      <c r="E119" s="13" t="str">
        <f>+HYPERLINK("http://trademark.i-assist.jp/data/china/image_1910th/74998967.pdf","74998967")</f>
        <v>74998967</v>
      </c>
      <c r="F119" s="9" t="s">
        <v>509</v>
      </c>
      <c r="G119" s="9" t="s">
        <v>510</v>
      </c>
      <c r="H119" s="9" t="s">
        <v>511</v>
      </c>
      <c r="I119" s="10">
        <v>45236</v>
      </c>
    </row>
    <row r="120" spans="1:9" x14ac:dyDescent="0.15">
      <c r="A120" s="9">
        <v>119</v>
      </c>
      <c r="B120" s="9" t="s">
        <v>9</v>
      </c>
      <c r="C120" s="9">
        <v>1910</v>
      </c>
      <c r="D120" s="10">
        <v>45602</v>
      </c>
      <c r="E120" s="13" t="str">
        <f>+HYPERLINK("http://trademark.i-assist.jp/data/china/image_1910th/75005818.pdf","75005818")</f>
        <v>75005818</v>
      </c>
      <c r="F120" s="9" t="s">
        <v>512</v>
      </c>
      <c r="G120" s="11" t="s">
        <v>513</v>
      </c>
      <c r="H120" s="9" t="s">
        <v>514</v>
      </c>
      <c r="I120" s="10">
        <v>45236</v>
      </c>
    </row>
    <row r="121" spans="1:9" x14ac:dyDescent="0.15">
      <c r="A121" s="9">
        <v>120</v>
      </c>
      <c r="B121" s="9" t="s">
        <v>9</v>
      </c>
      <c r="C121" s="9">
        <v>1910</v>
      </c>
      <c r="D121" s="10">
        <v>45602</v>
      </c>
      <c r="E121" s="13" t="str">
        <f>+HYPERLINK("http://trademark.i-assist.jp/data/china/image_1910th/75008238.pdf","75008238")</f>
        <v>75008238</v>
      </c>
      <c r="F121" s="9" t="s">
        <v>515</v>
      </c>
      <c r="G121" s="9" t="s">
        <v>157</v>
      </c>
      <c r="H121" s="9" t="s">
        <v>516</v>
      </c>
      <c r="I121" s="10">
        <v>45236</v>
      </c>
    </row>
    <row r="122" spans="1:9" x14ac:dyDescent="0.15">
      <c r="A122" s="9">
        <v>121</v>
      </c>
      <c r="B122" s="9" t="s">
        <v>9</v>
      </c>
      <c r="C122" s="9">
        <v>1910</v>
      </c>
      <c r="D122" s="10">
        <v>45602</v>
      </c>
      <c r="E122" s="13" t="str">
        <f>+HYPERLINK("http://trademark.i-assist.jp/data/china/image_1910th/75033134.pdf","75033134")</f>
        <v>75033134</v>
      </c>
      <c r="F122" s="9" t="s">
        <v>517</v>
      </c>
      <c r="G122" s="9" t="s">
        <v>518</v>
      </c>
      <c r="H122" s="9" t="s">
        <v>519</v>
      </c>
      <c r="I122" s="10">
        <v>45237</v>
      </c>
    </row>
    <row r="123" spans="1:9" x14ac:dyDescent="0.15">
      <c r="A123" s="9">
        <v>122</v>
      </c>
      <c r="B123" s="9" t="s">
        <v>9</v>
      </c>
      <c r="C123" s="9">
        <v>1910</v>
      </c>
      <c r="D123" s="10">
        <v>45602</v>
      </c>
      <c r="E123" s="13" t="str">
        <f>+HYPERLINK("http://trademark.i-assist.jp/data/china/image_1910th/75033909.pdf","75033909")</f>
        <v>75033909</v>
      </c>
      <c r="F123" s="9" t="s">
        <v>520</v>
      </c>
      <c r="G123" s="11" t="s">
        <v>521</v>
      </c>
      <c r="H123" s="9" t="s">
        <v>522</v>
      </c>
      <c r="I123" s="10">
        <v>45237</v>
      </c>
    </row>
    <row r="124" spans="1:9" x14ac:dyDescent="0.15">
      <c r="A124" s="9">
        <v>123</v>
      </c>
      <c r="B124" s="9" t="s">
        <v>9</v>
      </c>
      <c r="C124" s="9">
        <v>1910</v>
      </c>
      <c r="D124" s="10">
        <v>45602</v>
      </c>
      <c r="E124" s="13" t="str">
        <f>+HYPERLINK("http://trademark.i-assist.jp/data/china/image_1910th/75040412.pdf","75040412")</f>
        <v>75040412</v>
      </c>
      <c r="F124" s="9" t="s">
        <v>523</v>
      </c>
      <c r="G124" s="9" t="s">
        <v>524</v>
      </c>
      <c r="H124" s="9" t="s">
        <v>525</v>
      </c>
      <c r="I124" s="10">
        <v>45238</v>
      </c>
    </row>
    <row r="125" spans="1:9" x14ac:dyDescent="0.15">
      <c r="A125" s="9">
        <v>124</v>
      </c>
      <c r="B125" s="9" t="s">
        <v>9</v>
      </c>
      <c r="C125" s="9">
        <v>1910</v>
      </c>
      <c r="D125" s="10">
        <v>45602</v>
      </c>
      <c r="E125" s="13" t="str">
        <f>+HYPERLINK("http://trademark.i-assist.jp/data/china/image_1910th/75067736.pdf","75067736")</f>
        <v>75067736</v>
      </c>
      <c r="F125" s="9" t="s">
        <v>526</v>
      </c>
      <c r="G125" s="11" t="s">
        <v>527</v>
      </c>
      <c r="H125" s="11" t="s">
        <v>528</v>
      </c>
      <c r="I125" s="10">
        <v>45239</v>
      </c>
    </row>
    <row r="126" spans="1:9" x14ac:dyDescent="0.15">
      <c r="A126" s="9">
        <v>125</v>
      </c>
      <c r="B126" s="9" t="s">
        <v>9</v>
      </c>
      <c r="C126" s="9">
        <v>1910</v>
      </c>
      <c r="D126" s="10">
        <v>45602</v>
      </c>
      <c r="E126" s="13" t="str">
        <f>+HYPERLINK("http://trademark.i-assist.jp/data/china/image_1910th/75074774.pdf","75074774")</f>
        <v>75074774</v>
      </c>
      <c r="F126" s="9" t="s">
        <v>526</v>
      </c>
      <c r="G126" s="11" t="s">
        <v>527</v>
      </c>
      <c r="H126" s="9" t="s">
        <v>529</v>
      </c>
      <c r="I126" s="10">
        <v>45239</v>
      </c>
    </row>
    <row r="127" spans="1:9" x14ac:dyDescent="0.15">
      <c r="A127" s="9">
        <v>126</v>
      </c>
      <c r="B127" s="9" t="s">
        <v>9</v>
      </c>
      <c r="C127" s="9">
        <v>1910</v>
      </c>
      <c r="D127" s="10">
        <v>45602</v>
      </c>
      <c r="E127" s="13" t="str">
        <f>+HYPERLINK("http://trademark.i-assist.jp/data/china/image_1910th/75075746.pdf","75075746")</f>
        <v>75075746</v>
      </c>
      <c r="F127" s="9" t="s">
        <v>530</v>
      </c>
      <c r="G127" s="9" t="s">
        <v>531</v>
      </c>
      <c r="H127" s="9" t="s">
        <v>532</v>
      </c>
      <c r="I127" s="10">
        <v>45239</v>
      </c>
    </row>
    <row r="128" spans="1:9" x14ac:dyDescent="0.15">
      <c r="A128" s="9">
        <v>127</v>
      </c>
      <c r="B128" s="9" t="s">
        <v>9</v>
      </c>
      <c r="C128" s="9">
        <v>1910</v>
      </c>
      <c r="D128" s="10">
        <v>45602</v>
      </c>
      <c r="E128" s="13" t="str">
        <f>+HYPERLINK("http://trademark.i-assist.jp/data/china/image_1910th/75081183.pdf","75081183")</f>
        <v>75081183</v>
      </c>
      <c r="F128" s="9" t="s">
        <v>533</v>
      </c>
      <c r="G128" s="11" t="s">
        <v>209</v>
      </c>
      <c r="H128" s="9" t="s">
        <v>534</v>
      </c>
      <c r="I128" s="10">
        <v>45239</v>
      </c>
    </row>
    <row r="129" spans="1:9" x14ac:dyDescent="0.15">
      <c r="A129" s="9">
        <v>128</v>
      </c>
      <c r="B129" s="9" t="s">
        <v>9</v>
      </c>
      <c r="C129" s="9">
        <v>1910</v>
      </c>
      <c r="D129" s="10">
        <v>45602</v>
      </c>
      <c r="E129" s="13" t="str">
        <f>+HYPERLINK("http://trademark.i-assist.jp/data/china/image_1910th/75106795.pdf","75106795")</f>
        <v>75106795</v>
      </c>
      <c r="F129" s="9" t="s">
        <v>58</v>
      </c>
      <c r="G129" s="9" t="s">
        <v>59</v>
      </c>
      <c r="H129" s="11" t="s">
        <v>535</v>
      </c>
      <c r="I129" s="10">
        <v>45240</v>
      </c>
    </row>
    <row r="130" spans="1:9" x14ac:dyDescent="0.15">
      <c r="A130" s="9">
        <v>129</v>
      </c>
      <c r="B130" s="9" t="s">
        <v>9</v>
      </c>
      <c r="C130" s="9">
        <v>1910</v>
      </c>
      <c r="D130" s="10">
        <v>45602</v>
      </c>
      <c r="E130" s="13" t="str">
        <f>+HYPERLINK("http://trademark.i-assist.jp/data/china/image_1910th/75116601.pdf","75116601")</f>
        <v>75116601</v>
      </c>
      <c r="F130" s="9" t="s">
        <v>536</v>
      </c>
      <c r="G130" s="9" t="s">
        <v>537</v>
      </c>
      <c r="H130" s="9" t="s">
        <v>538</v>
      </c>
      <c r="I130" s="10">
        <v>45240</v>
      </c>
    </row>
    <row r="131" spans="1:9" x14ac:dyDescent="0.15">
      <c r="A131" s="9">
        <v>130</v>
      </c>
      <c r="B131" s="9" t="s">
        <v>9</v>
      </c>
      <c r="C131" s="9">
        <v>1910</v>
      </c>
      <c r="D131" s="10">
        <v>45602</v>
      </c>
      <c r="E131" s="13" t="str">
        <f>+HYPERLINK("http://trademark.i-assist.jp/data/china/image_1910th/75133640.pdf","75133640")</f>
        <v>75133640</v>
      </c>
      <c r="F131" s="9" t="s">
        <v>539</v>
      </c>
      <c r="G131" s="11" t="s">
        <v>540</v>
      </c>
      <c r="H131" s="9" t="s">
        <v>541</v>
      </c>
      <c r="I131" s="10">
        <v>45243</v>
      </c>
    </row>
    <row r="132" spans="1:9" x14ac:dyDescent="0.15">
      <c r="A132" s="9">
        <v>131</v>
      </c>
      <c r="B132" s="9" t="s">
        <v>9</v>
      </c>
      <c r="C132" s="9">
        <v>1910</v>
      </c>
      <c r="D132" s="10">
        <v>45602</v>
      </c>
      <c r="E132" s="13" t="str">
        <f>+HYPERLINK("http://trademark.i-assist.jp/data/china/image_1910th/75148100.pdf","75148100")</f>
        <v>75148100</v>
      </c>
      <c r="F132" s="9" t="s">
        <v>542</v>
      </c>
      <c r="G132" s="11" t="s">
        <v>543</v>
      </c>
      <c r="H132" s="9" t="s">
        <v>544</v>
      </c>
      <c r="I132" s="10">
        <v>45243</v>
      </c>
    </row>
    <row r="133" spans="1:9" x14ac:dyDescent="0.15">
      <c r="A133" s="9">
        <v>132</v>
      </c>
      <c r="B133" s="9" t="s">
        <v>9</v>
      </c>
      <c r="C133" s="9">
        <v>1910</v>
      </c>
      <c r="D133" s="10">
        <v>45602</v>
      </c>
      <c r="E133" s="13" t="str">
        <f>+HYPERLINK("http://trademark.i-assist.jp/data/china/image_1910th/75173666.pdf","75173666")</f>
        <v>75173666</v>
      </c>
      <c r="F133" s="9" t="s">
        <v>545</v>
      </c>
      <c r="G133" s="9" t="s">
        <v>546</v>
      </c>
      <c r="H133" s="9" t="s">
        <v>547</v>
      </c>
      <c r="I133" s="10">
        <v>45244</v>
      </c>
    </row>
    <row r="134" spans="1:9" x14ac:dyDescent="0.15">
      <c r="A134" s="9">
        <v>133</v>
      </c>
      <c r="B134" s="9" t="s">
        <v>9</v>
      </c>
      <c r="C134" s="9">
        <v>1910</v>
      </c>
      <c r="D134" s="10">
        <v>45602</v>
      </c>
      <c r="E134" s="13" t="str">
        <f>+HYPERLINK("http://trademark.i-assist.jp/data/china/image_1910th/75175272.pdf","75175272")</f>
        <v>75175272</v>
      </c>
      <c r="F134" s="9" t="s">
        <v>548</v>
      </c>
      <c r="G134" s="9" t="s">
        <v>549</v>
      </c>
      <c r="H134" s="9" t="s">
        <v>550</v>
      </c>
      <c r="I134" s="10">
        <v>45244</v>
      </c>
    </row>
    <row r="135" spans="1:9" x14ac:dyDescent="0.15">
      <c r="A135" s="9">
        <v>134</v>
      </c>
      <c r="B135" s="9" t="s">
        <v>9</v>
      </c>
      <c r="C135" s="9">
        <v>1910</v>
      </c>
      <c r="D135" s="10">
        <v>45602</v>
      </c>
      <c r="E135" s="13" t="str">
        <f>+HYPERLINK("http://trademark.i-assist.jp/data/china/image_1910th/75198826.pdf","75198826")</f>
        <v>75198826</v>
      </c>
      <c r="F135" s="9" t="s">
        <v>551</v>
      </c>
      <c r="G135" s="9" t="s">
        <v>552</v>
      </c>
      <c r="H135" s="9" t="s">
        <v>553</v>
      </c>
      <c r="I135" s="10">
        <v>45245</v>
      </c>
    </row>
    <row r="136" spans="1:9" x14ac:dyDescent="0.15">
      <c r="A136" s="9">
        <v>135</v>
      </c>
      <c r="B136" s="9" t="s">
        <v>9</v>
      </c>
      <c r="C136" s="9">
        <v>1910</v>
      </c>
      <c r="D136" s="10">
        <v>45602</v>
      </c>
      <c r="E136" s="13" t="str">
        <f>+HYPERLINK("http://trademark.i-assist.jp/data/china/image_1910th/75207494.pdf","75207494")</f>
        <v>75207494</v>
      </c>
      <c r="F136" s="9" t="s">
        <v>554</v>
      </c>
      <c r="G136" s="9" t="s">
        <v>555</v>
      </c>
      <c r="H136" s="11" t="s">
        <v>556</v>
      </c>
      <c r="I136" s="10">
        <v>45246</v>
      </c>
    </row>
    <row r="137" spans="1:9" x14ac:dyDescent="0.15">
      <c r="A137" s="9">
        <v>136</v>
      </c>
      <c r="B137" s="9" t="s">
        <v>9</v>
      </c>
      <c r="C137" s="9">
        <v>1910</v>
      </c>
      <c r="D137" s="10">
        <v>45602</v>
      </c>
      <c r="E137" s="13" t="str">
        <f>+HYPERLINK("http://trademark.i-assist.jp/data/china/image_1910th/75220849.pdf","75220849")</f>
        <v>75220849</v>
      </c>
      <c r="F137" s="9" t="s">
        <v>557</v>
      </c>
      <c r="G137" s="9" t="s">
        <v>558</v>
      </c>
      <c r="H137" s="9" t="s">
        <v>559</v>
      </c>
      <c r="I137" s="10">
        <v>45246</v>
      </c>
    </row>
    <row r="138" spans="1:9" x14ac:dyDescent="0.15">
      <c r="A138" s="9">
        <v>137</v>
      </c>
      <c r="B138" s="9" t="s">
        <v>9</v>
      </c>
      <c r="C138" s="9">
        <v>1910</v>
      </c>
      <c r="D138" s="10">
        <v>45602</v>
      </c>
      <c r="E138" s="13" t="str">
        <f>+HYPERLINK("http://trademark.i-assist.jp/data/china/image_1910th/75221481.pdf","75221481")</f>
        <v>75221481</v>
      </c>
      <c r="F138" s="9" t="s">
        <v>560</v>
      </c>
      <c r="G138" s="9" t="s">
        <v>561</v>
      </c>
      <c r="H138" s="9" t="s">
        <v>562</v>
      </c>
      <c r="I138" s="10">
        <v>45246</v>
      </c>
    </row>
    <row r="139" spans="1:9" x14ac:dyDescent="0.15">
      <c r="A139" s="9">
        <v>138</v>
      </c>
      <c r="B139" s="9" t="s">
        <v>9</v>
      </c>
      <c r="C139" s="9">
        <v>1910</v>
      </c>
      <c r="D139" s="10">
        <v>45602</v>
      </c>
      <c r="E139" s="13" t="str">
        <f>+HYPERLINK("http://trademark.i-assist.jp/data/china/image_1910th/75231908.pdf","75231908")</f>
        <v>75231908</v>
      </c>
      <c r="F139" s="9" t="s">
        <v>563</v>
      </c>
      <c r="G139" s="9" t="s">
        <v>564</v>
      </c>
      <c r="H139" s="9" t="s">
        <v>565</v>
      </c>
      <c r="I139" s="10">
        <v>45247</v>
      </c>
    </row>
    <row r="140" spans="1:9" x14ac:dyDescent="0.15">
      <c r="A140" s="9">
        <v>139</v>
      </c>
      <c r="B140" s="9" t="s">
        <v>9</v>
      </c>
      <c r="C140" s="9">
        <v>1910</v>
      </c>
      <c r="D140" s="10">
        <v>45602</v>
      </c>
      <c r="E140" s="13" t="str">
        <f>+HYPERLINK("http://trademark.i-assist.jp/data/china/image_1910th/75271652.pdf","75271652")</f>
        <v>75271652</v>
      </c>
      <c r="F140" s="11" t="s">
        <v>566</v>
      </c>
      <c r="G140" s="9" t="s">
        <v>567</v>
      </c>
      <c r="H140" s="9" t="s">
        <v>568</v>
      </c>
      <c r="I140" s="10">
        <v>45250</v>
      </c>
    </row>
    <row r="141" spans="1:9" x14ac:dyDescent="0.15">
      <c r="A141" s="9">
        <v>140</v>
      </c>
      <c r="B141" s="9" t="s">
        <v>9</v>
      </c>
      <c r="C141" s="9">
        <v>1910</v>
      </c>
      <c r="D141" s="10">
        <v>45602</v>
      </c>
      <c r="E141" s="13" t="str">
        <f>+HYPERLINK("http://trademark.i-assist.jp/data/china/image_1910th/75294048.pdf","75294048")</f>
        <v>75294048</v>
      </c>
      <c r="F141" s="11" t="s">
        <v>569</v>
      </c>
      <c r="G141" s="9" t="s">
        <v>570</v>
      </c>
      <c r="H141" s="9" t="s">
        <v>571</v>
      </c>
      <c r="I141" s="10">
        <v>45250</v>
      </c>
    </row>
    <row r="142" spans="1:9" x14ac:dyDescent="0.15">
      <c r="A142" s="9">
        <v>141</v>
      </c>
      <c r="B142" s="9" t="s">
        <v>9</v>
      </c>
      <c r="C142" s="9">
        <v>1910</v>
      </c>
      <c r="D142" s="10">
        <v>45602</v>
      </c>
      <c r="E142" s="13" t="str">
        <f>+HYPERLINK("http://trademark.i-assist.jp/data/china/image_1910th/75379700.pdf","75379700")</f>
        <v>75379700</v>
      </c>
      <c r="F142" s="11" t="s">
        <v>572</v>
      </c>
      <c r="G142" s="9" t="s">
        <v>573</v>
      </c>
      <c r="H142" s="9" t="s">
        <v>574</v>
      </c>
      <c r="I142" s="10">
        <v>45254</v>
      </c>
    </row>
    <row r="143" spans="1:9" x14ac:dyDescent="0.15">
      <c r="A143" s="9">
        <v>142</v>
      </c>
      <c r="B143" s="9" t="s">
        <v>9</v>
      </c>
      <c r="C143" s="9">
        <v>1910</v>
      </c>
      <c r="D143" s="10">
        <v>45602</v>
      </c>
      <c r="E143" s="13" t="str">
        <f>+HYPERLINK("http://trademark.i-assist.jp/data/china/image_1910th/75383345.pdf","75383345")</f>
        <v>75383345</v>
      </c>
      <c r="F143" s="9" t="s">
        <v>575</v>
      </c>
      <c r="G143" s="9" t="s">
        <v>576</v>
      </c>
      <c r="H143" s="9" t="s">
        <v>577</v>
      </c>
      <c r="I143" s="10">
        <v>45254</v>
      </c>
    </row>
    <row r="144" spans="1:9" x14ac:dyDescent="0.15">
      <c r="A144" s="9">
        <v>143</v>
      </c>
      <c r="B144" s="9" t="s">
        <v>9</v>
      </c>
      <c r="C144" s="9">
        <v>1910</v>
      </c>
      <c r="D144" s="10">
        <v>45602</v>
      </c>
      <c r="E144" s="13" t="str">
        <f>+HYPERLINK("http://trademark.i-assist.jp/data/china/image_1910th/75390690.pdf","75390690")</f>
        <v>75390690</v>
      </c>
      <c r="F144" s="9" t="s">
        <v>578</v>
      </c>
      <c r="G144" s="9" t="s">
        <v>579</v>
      </c>
      <c r="H144" s="9" t="s">
        <v>580</v>
      </c>
      <c r="I144" s="10">
        <v>45254</v>
      </c>
    </row>
    <row r="145" spans="1:9" x14ac:dyDescent="0.15">
      <c r="A145" s="9">
        <v>144</v>
      </c>
      <c r="B145" s="9" t="s">
        <v>9</v>
      </c>
      <c r="C145" s="9">
        <v>1910</v>
      </c>
      <c r="D145" s="10">
        <v>45602</v>
      </c>
      <c r="E145" s="13" t="str">
        <f>+HYPERLINK("http://trademark.i-assist.jp/data/china/image_1910th/75416818.pdf","75416818")</f>
        <v>75416818</v>
      </c>
      <c r="F145" s="9" t="s">
        <v>581</v>
      </c>
      <c r="G145" s="9" t="s">
        <v>582</v>
      </c>
      <c r="H145" s="9" t="s">
        <v>583</v>
      </c>
      <c r="I145" s="10">
        <v>45257</v>
      </c>
    </row>
    <row r="146" spans="1:9" x14ac:dyDescent="0.15">
      <c r="A146" s="9">
        <v>145</v>
      </c>
      <c r="B146" s="9" t="s">
        <v>9</v>
      </c>
      <c r="C146" s="9">
        <v>1910</v>
      </c>
      <c r="D146" s="10">
        <v>45602</v>
      </c>
      <c r="E146" s="13" t="str">
        <f>+HYPERLINK("http://trademark.i-assist.jp/data/china/image_1910th/75423279.pdf","75423279")</f>
        <v>75423279</v>
      </c>
      <c r="F146" s="9" t="s">
        <v>584</v>
      </c>
      <c r="G146" s="9" t="s">
        <v>585</v>
      </c>
      <c r="H146" s="9" t="s">
        <v>586</v>
      </c>
      <c r="I146" s="10">
        <v>45257</v>
      </c>
    </row>
    <row r="147" spans="1:9" x14ac:dyDescent="0.15">
      <c r="A147" s="9">
        <v>146</v>
      </c>
      <c r="B147" s="9" t="s">
        <v>9</v>
      </c>
      <c r="C147" s="9">
        <v>1910</v>
      </c>
      <c r="D147" s="10">
        <v>45602</v>
      </c>
      <c r="E147" s="13" t="str">
        <f>+HYPERLINK("http://trademark.i-assist.jp/data/china/image_1910th/75427011.pdf","75427011")</f>
        <v>75427011</v>
      </c>
      <c r="F147" s="9" t="s">
        <v>587</v>
      </c>
      <c r="G147" s="9" t="s">
        <v>588</v>
      </c>
      <c r="H147" s="9" t="s">
        <v>589</v>
      </c>
      <c r="I147" s="10">
        <v>45257</v>
      </c>
    </row>
    <row r="148" spans="1:9" x14ac:dyDescent="0.15">
      <c r="A148" s="9">
        <v>147</v>
      </c>
      <c r="B148" s="9" t="s">
        <v>9</v>
      </c>
      <c r="C148" s="9">
        <v>1910</v>
      </c>
      <c r="D148" s="10">
        <v>45602</v>
      </c>
      <c r="E148" s="13" t="str">
        <f>+HYPERLINK("http://trademark.i-assist.jp/data/china/image_1910th/75431051.pdf","75431051")</f>
        <v>75431051</v>
      </c>
      <c r="F148" s="11" t="s">
        <v>19</v>
      </c>
      <c r="G148" s="9" t="s">
        <v>590</v>
      </c>
      <c r="H148" s="9" t="s">
        <v>591</v>
      </c>
      <c r="I148" s="10">
        <v>45257</v>
      </c>
    </row>
    <row r="149" spans="1:9" x14ac:dyDescent="0.15">
      <c r="A149" s="9">
        <v>148</v>
      </c>
      <c r="B149" s="9" t="s">
        <v>9</v>
      </c>
      <c r="C149" s="9">
        <v>1910</v>
      </c>
      <c r="D149" s="10">
        <v>45602</v>
      </c>
      <c r="E149" s="13" t="str">
        <f>+HYPERLINK("http://trademark.i-assist.jp/data/china/image_1910th/75431422.pdf","75431422")</f>
        <v>75431422</v>
      </c>
      <c r="F149" s="11" t="s">
        <v>592</v>
      </c>
      <c r="G149" s="9" t="s">
        <v>576</v>
      </c>
      <c r="H149" s="9" t="s">
        <v>593</v>
      </c>
      <c r="I149" s="10">
        <v>45257</v>
      </c>
    </row>
    <row r="150" spans="1:9" x14ac:dyDescent="0.15">
      <c r="A150" s="9">
        <v>149</v>
      </c>
      <c r="B150" s="9" t="s">
        <v>9</v>
      </c>
      <c r="C150" s="9">
        <v>1910</v>
      </c>
      <c r="D150" s="10">
        <v>45602</v>
      </c>
      <c r="E150" s="13" t="str">
        <f>+HYPERLINK("http://trademark.i-assist.jp/data/china/image_1910th/75457026.pdf","75457026")</f>
        <v>75457026</v>
      </c>
      <c r="F150" s="9" t="s">
        <v>594</v>
      </c>
      <c r="G150" s="9" t="s">
        <v>595</v>
      </c>
      <c r="H150" s="9" t="s">
        <v>596</v>
      </c>
      <c r="I150" s="10">
        <v>45258</v>
      </c>
    </row>
    <row r="151" spans="1:9" x14ac:dyDescent="0.15">
      <c r="A151" s="9">
        <v>150</v>
      </c>
      <c r="B151" s="9" t="s">
        <v>9</v>
      </c>
      <c r="C151" s="9">
        <v>1910</v>
      </c>
      <c r="D151" s="10">
        <v>45602</v>
      </c>
      <c r="E151" s="13" t="str">
        <f>+HYPERLINK("http://trademark.i-assist.jp/data/china/image_1910th/75486315.pdf","75486315")</f>
        <v>75486315</v>
      </c>
      <c r="F151" s="9" t="s">
        <v>597</v>
      </c>
      <c r="G151" s="11" t="s">
        <v>598</v>
      </c>
      <c r="H151" s="9" t="s">
        <v>599</v>
      </c>
      <c r="I151" s="10">
        <v>45259</v>
      </c>
    </row>
    <row r="152" spans="1:9" x14ac:dyDescent="0.15">
      <c r="A152" s="9">
        <v>151</v>
      </c>
      <c r="B152" s="9" t="s">
        <v>9</v>
      </c>
      <c r="C152" s="9">
        <v>1910</v>
      </c>
      <c r="D152" s="10">
        <v>45602</v>
      </c>
      <c r="E152" s="13" t="str">
        <f>+HYPERLINK("http://trademark.i-assist.jp/data/china/image_1910th/75500154.pdf","75500154")</f>
        <v>75500154</v>
      </c>
      <c r="F152" s="9" t="s">
        <v>600</v>
      </c>
      <c r="G152" s="9" t="s">
        <v>601</v>
      </c>
      <c r="H152" s="9" t="s">
        <v>602</v>
      </c>
      <c r="I152" s="10">
        <v>45260</v>
      </c>
    </row>
    <row r="153" spans="1:9" x14ac:dyDescent="0.15">
      <c r="A153" s="9">
        <v>152</v>
      </c>
      <c r="B153" s="9" t="s">
        <v>9</v>
      </c>
      <c r="C153" s="9">
        <v>1910</v>
      </c>
      <c r="D153" s="10">
        <v>45602</v>
      </c>
      <c r="E153" s="13" t="str">
        <f>+HYPERLINK("http://trademark.i-assist.jp/data/china/image_1910th/75516166.pdf","75516166")</f>
        <v>75516166</v>
      </c>
      <c r="F153" s="9" t="s">
        <v>603</v>
      </c>
      <c r="G153" s="9" t="s">
        <v>68</v>
      </c>
      <c r="H153" s="9" t="s">
        <v>604</v>
      </c>
      <c r="I153" s="10">
        <v>45260</v>
      </c>
    </row>
    <row r="154" spans="1:9" x14ac:dyDescent="0.15">
      <c r="A154" s="9">
        <v>153</v>
      </c>
      <c r="B154" s="9" t="s">
        <v>9</v>
      </c>
      <c r="C154" s="9">
        <v>1910</v>
      </c>
      <c r="D154" s="10">
        <v>45602</v>
      </c>
      <c r="E154" s="13" t="str">
        <f>+HYPERLINK("http://trademark.i-assist.jp/data/china/image_1910th/75535034.pdf","75535034")</f>
        <v>75535034</v>
      </c>
      <c r="F154" s="9" t="s">
        <v>605</v>
      </c>
      <c r="G154" s="11" t="s">
        <v>606</v>
      </c>
      <c r="H154" s="9" t="s">
        <v>607</v>
      </c>
      <c r="I154" s="10">
        <v>45261</v>
      </c>
    </row>
    <row r="155" spans="1:9" x14ac:dyDescent="0.15">
      <c r="A155" s="9">
        <v>154</v>
      </c>
      <c r="B155" s="9" t="s">
        <v>9</v>
      </c>
      <c r="C155" s="9">
        <v>1910</v>
      </c>
      <c r="D155" s="10">
        <v>45602</v>
      </c>
      <c r="E155" s="13" t="str">
        <f>+HYPERLINK("http://trademark.i-assist.jp/data/china/image_1910th/75578812.pdf","75578812")</f>
        <v>75578812</v>
      </c>
      <c r="F155" s="9" t="s">
        <v>608</v>
      </c>
      <c r="G155" s="9" t="s">
        <v>609</v>
      </c>
      <c r="H155" s="9" t="s">
        <v>610</v>
      </c>
      <c r="I155" s="10">
        <v>45264</v>
      </c>
    </row>
    <row r="156" spans="1:9" x14ac:dyDescent="0.15">
      <c r="A156" s="9">
        <v>155</v>
      </c>
      <c r="B156" s="9" t="s">
        <v>9</v>
      </c>
      <c r="C156" s="9">
        <v>1910</v>
      </c>
      <c r="D156" s="10">
        <v>45602</v>
      </c>
      <c r="E156" s="13" t="str">
        <f>+HYPERLINK("http://trademark.i-assist.jp/data/china/image_1910th/75579874.pdf","75579874")</f>
        <v>75579874</v>
      </c>
      <c r="F156" s="9" t="s">
        <v>611</v>
      </c>
      <c r="G156" s="9" t="s">
        <v>612</v>
      </c>
      <c r="H156" s="9" t="s">
        <v>613</v>
      </c>
      <c r="I156" s="10">
        <v>45264</v>
      </c>
    </row>
    <row r="157" spans="1:9" x14ac:dyDescent="0.15">
      <c r="A157" s="9">
        <v>156</v>
      </c>
      <c r="B157" s="9" t="s">
        <v>9</v>
      </c>
      <c r="C157" s="9">
        <v>1910</v>
      </c>
      <c r="D157" s="10">
        <v>45602</v>
      </c>
      <c r="E157" s="13" t="str">
        <f>+HYPERLINK("http://trademark.i-assist.jp/data/china/image_1910th/75582127.pdf","75582127")</f>
        <v>75582127</v>
      </c>
      <c r="F157" s="11" t="s">
        <v>614</v>
      </c>
      <c r="G157" s="9" t="s">
        <v>21</v>
      </c>
      <c r="H157" s="9" t="s">
        <v>615</v>
      </c>
      <c r="I157" s="10">
        <v>45264</v>
      </c>
    </row>
    <row r="158" spans="1:9" x14ac:dyDescent="0.15">
      <c r="A158" s="9">
        <v>157</v>
      </c>
      <c r="B158" s="9" t="s">
        <v>9</v>
      </c>
      <c r="C158" s="9">
        <v>1910</v>
      </c>
      <c r="D158" s="10">
        <v>45602</v>
      </c>
      <c r="E158" s="13" t="str">
        <f>+HYPERLINK("http://trademark.i-assist.jp/data/china/image_1910th/75587899.pdf","75587899")</f>
        <v>75587899</v>
      </c>
      <c r="F158" s="9" t="s">
        <v>616</v>
      </c>
      <c r="G158" s="9" t="s">
        <v>617</v>
      </c>
      <c r="H158" s="9" t="s">
        <v>618</v>
      </c>
      <c r="I158" s="10">
        <v>45265</v>
      </c>
    </row>
    <row r="159" spans="1:9" x14ac:dyDescent="0.15">
      <c r="A159" s="9">
        <v>158</v>
      </c>
      <c r="B159" s="9" t="s">
        <v>9</v>
      </c>
      <c r="C159" s="9">
        <v>1910</v>
      </c>
      <c r="D159" s="10">
        <v>45602</v>
      </c>
      <c r="E159" s="13" t="str">
        <f>+HYPERLINK("http://trademark.i-assist.jp/data/china/image_1910th/75588842.pdf","75588842")</f>
        <v>75588842</v>
      </c>
      <c r="F159" s="9" t="s">
        <v>619</v>
      </c>
      <c r="G159" s="9" t="s">
        <v>620</v>
      </c>
      <c r="H159" s="9" t="s">
        <v>621</v>
      </c>
      <c r="I159" s="10">
        <v>45265</v>
      </c>
    </row>
    <row r="160" spans="1:9" x14ac:dyDescent="0.15">
      <c r="A160" s="9">
        <v>159</v>
      </c>
      <c r="B160" s="9" t="s">
        <v>9</v>
      </c>
      <c r="C160" s="9">
        <v>1910</v>
      </c>
      <c r="D160" s="10">
        <v>45602</v>
      </c>
      <c r="E160" s="13" t="str">
        <f>+HYPERLINK("http://trademark.i-assist.jp/data/china/image_1910th/75591781.pdf","75591781")</f>
        <v>75591781</v>
      </c>
      <c r="F160" s="9" t="s">
        <v>622</v>
      </c>
      <c r="G160" s="9" t="s">
        <v>623</v>
      </c>
      <c r="H160" s="9" t="s">
        <v>624</v>
      </c>
      <c r="I160" s="10">
        <v>45265</v>
      </c>
    </row>
    <row r="161" spans="1:9" x14ac:dyDescent="0.15">
      <c r="A161" s="9">
        <v>160</v>
      </c>
      <c r="B161" s="9" t="s">
        <v>9</v>
      </c>
      <c r="C161" s="9">
        <v>1910</v>
      </c>
      <c r="D161" s="10">
        <v>45602</v>
      </c>
      <c r="E161" s="13" t="str">
        <f>+HYPERLINK("http://trademark.i-assist.jp/data/china/image_1910th/75651288.pdf","75651288")</f>
        <v>75651288</v>
      </c>
      <c r="F161" s="9">
        <v>929</v>
      </c>
      <c r="G161" s="9" t="s">
        <v>625</v>
      </c>
      <c r="H161" s="11" t="s">
        <v>626</v>
      </c>
      <c r="I161" s="10">
        <v>45267</v>
      </c>
    </row>
    <row r="162" spans="1:9" x14ac:dyDescent="0.15">
      <c r="A162" s="9">
        <v>161</v>
      </c>
      <c r="B162" s="9" t="s">
        <v>9</v>
      </c>
      <c r="C162" s="9">
        <v>1910</v>
      </c>
      <c r="D162" s="10">
        <v>45602</v>
      </c>
      <c r="E162" s="13" t="str">
        <f>+HYPERLINK("http://trademark.i-assist.jp/data/china/image_1910th/75659315.pdf","75659315")</f>
        <v>75659315</v>
      </c>
      <c r="F162" s="9" t="s">
        <v>627</v>
      </c>
      <c r="G162" s="9" t="s">
        <v>628</v>
      </c>
      <c r="H162" s="11" t="s">
        <v>629</v>
      </c>
      <c r="I162" s="10">
        <v>45267</v>
      </c>
    </row>
    <row r="163" spans="1:9" x14ac:dyDescent="0.15">
      <c r="A163" s="9">
        <v>162</v>
      </c>
      <c r="B163" s="9" t="s">
        <v>9</v>
      </c>
      <c r="C163" s="9">
        <v>1910</v>
      </c>
      <c r="D163" s="10">
        <v>45602</v>
      </c>
      <c r="E163" s="13" t="str">
        <f>+HYPERLINK("http://trademark.i-assist.jp/data/china/image_1910th/75660154.pdf","75660154")</f>
        <v>75660154</v>
      </c>
      <c r="F163" s="9" t="s">
        <v>630</v>
      </c>
      <c r="G163" s="9" t="s">
        <v>631</v>
      </c>
      <c r="H163" s="9" t="s">
        <v>632</v>
      </c>
      <c r="I163" s="10">
        <v>45267</v>
      </c>
    </row>
    <row r="164" spans="1:9" x14ac:dyDescent="0.15">
      <c r="A164" s="9">
        <v>163</v>
      </c>
      <c r="B164" s="9" t="s">
        <v>9</v>
      </c>
      <c r="C164" s="9">
        <v>1910</v>
      </c>
      <c r="D164" s="10">
        <v>45602</v>
      </c>
      <c r="E164" s="13" t="str">
        <f>+HYPERLINK("http://trademark.i-assist.jp/data/china/image_1910th/75669485.pdf","75669485")</f>
        <v>75669485</v>
      </c>
      <c r="F164" s="9" t="s">
        <v>633</v>
      </c>
      <c r="G164" s="11" t="s">
        <v>634</v>
      </c>
      <c r="H164" s="9" t="s">
        <v>635</v>
      </c>
      <c r="I164" s="10">
        <v>45268</v>
      </c>
    </row>
    <row r="165" spans="1:9" x14ac:dyDescent="0.15">
      <c r="A165" s="9">
        <v>164</v>
      </c>
      <c r="B165" s="9" t="s">
        <v>9</v>
      </c>
      <c r="C165" s="9">
        <v>1910</v>
      </c>
      <c r="D165" s="10">
        <v>45602</v>
      </c>
      <c r="E165" s="13" t="str">
        <f>+HYPERLINK("http://trademark.i-assist.jp/data/china/image_1910th/75671638.pdf","75671638")</f>
        <v>75671638</v>
      </c>
      <c r="F165" s="9" t="s">
        <v>636</v>
      </c>
      <c r="G165" s="9" t="s">
        <v>637</v>
      </c>
      <c r="H165" s="9" t="s">
        <v>638</v>
      </c>
      <c r="I165" s="10">
        <v>45268</v>
      </c>
    </row>
    <row r="166" spans="1:9" x14ac:dyDescent="0.15">
      <c r="A166" s="9">
        <v>165</v>
      </c>
      <c r="B166" s="9" t="s">
        <v>9</v>
      </c>
      <c r="C166" s="9">
        <v>1910</v>
      </c>
      <c r="D166" s="10">
        <v>45602</v>
      </c>
      <c r="E166" s="13" t="str">
        <f>+HYPERLINK("http://trademark.i-assist.jp/data/china/image_1910th/75697802.pdf","75697802")</f>
        <v>75697802</v>
      </c>
      <c r="F166" s="9" t="s">
        <v>639</v>
      </c>
      <c r="G166" s="11" t="s">
        <v>640</v>
      </c>
      <c r="H166" s="9" t="s">
        <v>641</v>
      </c>
      <c r="I166" s="10">
        <v>45269</v>
      </c>
    </row>
    <row r="167" spans="1:9" x14ac:dyDescent="0.15">
      <c r="A167" s="9">
        <v>166</v>
      </c>
      <c r="B167" s="9" t="s">
        <v>9</v>
      </c>
      <c r="C167" s="9">
        <v>1910</v>
      </c>
      <c r="D167" s="10">
        <v>45602</v>
      </c>
      <c r="E167" s="13" t="str">
        <f>+HYPERLINK("http://trademark.i-assist.jp/data/china/image_1910th/75697963.pdf","75697963")</f>
        <v>75697963</v>
      </c>
      <c r="F167" s="9" t="s">
        <v>642</v>
      </c>
      <c r="G167" s="9" t="s">
        <v>643</v>
      </c>
      <c r="H167" s="9" t="s">
        <v>644</v>
      </c>
      <c r="I167" s="10">
        <v>45269</v>
      </c>
    </row>
    <row r="168" spans="1:9" x14ac:dyDescent="0.15">
      <c r="A168" s="9">
        <v>167</v>
      </c>
      <c r="B168" s="9" t="s">
        <v>9</v>
      </c>
      <c r="C168" s="9">
        <v>1910</v>
      </c>
      <c r="D168" s="10">
        <v>45602</v>
      </c>
      <c r="E168" s="13" t="str">
        <f>+HYPERLINK("http://trademark.i-assist.jp/data/china/image_1910th/75736766.pdf","75736766")</f>
        <v>75736766</v>
      </c>
      <c r="F168" s="9" t="s">
        <v>645</v>
      </c>
      <c r="G168" s="11" t="s">
        <v>646</v>
      </c>
      <c r="H168" s="9" t="s">
        <v>647</v>
      </c>
      <c r="I168" s="10">
        <v>45272</v>
      </c>
    </row>
    <row r="169" spans="1:9" x14ac:dyDescent="0.15">
      <c r="A169" s="9">
        <v>168</v>
      </c>
      <c r="B169" s="9" t="s">
        <v>9</v>
      </c>
      <c r="C169" s="9">
        <v>1910</v>
      </c>
      <c r="D169" s="10">
        <v>45602</v>
      </c>
      <c r="E169" s="13" t="str">
        <f>+HYPERLINK("http://trademark.i-assist.jp/data/china/image_1910th/75737922.pdf","75737922")</f>
        <v>75737922</v>
      </c>
      <c r="F169" s="9" t="s">
        <v>648</v>
      </c>
      <c r="G169" s="11" t="s">
        <v>649</v>
      </c>
      <c r="H169" s="11" t="s">
        <v>650</v>
      </c>
      <c r="I169" s="10">
        <v>45272</v>
      </c>
    </row>
    <row r="170" spans="1:9" x14ac:dyDescent="0.15">
      <c r="A170" s="9">
        <v>169</v>
      </c>
      <c r="B170" s="9" t="s">
        <v>9</v>
      </c>
      <c r="C170" s="9">
        <v>1910</v>
      </c>
      <c r="D170" s="10">
        <v>45602</v>
      </c>
      <c r="E170" s="13" t="str">
        <f>+HYPERLINK("http://trademark.i-assist.jp/data/china/image_1910th/75739741.pdf","75739741")</f>
        <v>75739741</v>
      </c>
      <c r="F170" s="9" t="s">
        <v>651</v>
      </c>
      <c r="G170" s="11" t="s">
        <v>652</v>
      </c>
      <c r="H170" s="9" t="s">
        <v>653</v>
      </c>
      <c r="I170" s="10">
        <v>45272</v>
      </c>
    </row>
    <row r="171" spans="1:9" x14ac:dyDescent="0.15">
      <c r="A171" s="9">
        <v>170</v>
      </c>
      <c r="B171" s="9" t="s">
        <v>9</v>
      </c>
      <c r="C171" s="9">
        <v>1910</v>
      </c>
      <c r="D171" s="10">
        <v>45602</v>
      </c>
      <c r="E171" s="13" t="str">
        <f>+HYPERLINK("http://trademark.i-assist.jp/data/china/image_1910th/75742710.pdf","75742710")</f>
        <v>75742710</v>
      </c>
      <c r="F171" s="9" t="s">
        <v>654</v>
      </c>
      <c r="G171" s="9" t="s">
        <v>655</v>
      </c>
      <c r="H171" s="11" t="s">
        <v>656</v>
      </c>
      <c r="I171" s="10">
        <v>45272</v>
      </c>
    </row>
    <row r="172" spans="1:9" x14ac:dyDescent="0.15">
      <c r="A172" s="9">
        <v>171</v>
      </c>
      <c r="B172" s="9" t="s">
        <v>9</v>
      </c>
      <c r="C172" s="9">
        <v>1910</v>
      </c>
      <c r="D172" s="10">
        <v>45602</v>
      </c>
      <c r="E172" s="13" t="str">
        <f>+HYPERLINK("http://trademark.i-assist.jp/data/china/image_1910th/75754470.pdf","75754470")</f>
        <v>75754470</v>
      </c>
      <c r="F172" s="9" t="s">
        <v>657</v>
      </c>
      <c r="G172" s="11" t="s">
        <v>209</v>
      </c>
      <c r="H172" s="9" t="s">
        <v>658</v>
      </c>
      <c r="I172" s="10">
        <v>45272</v>
      </c>
    </row>
    <row r="173" spans="1:9" x14ac:dyDescent="0.15">
      <c r="A173" s="9">
        <v>172</v>
      </c>
      <c r="B173" s="9" t="s">
        <v>9</v>
      </c>
      <c r="C173" s="9">
        <v>1910</v>
      </c>
      <c r="D173" s="10">
        <v>45602</v>
      </c>
      <c r="E173" s="13" t="str">
        <f>+HYPERLINK("http://trademark.i-assist.jp/data/china/image_1910th/75767514.pdf","75767514")</f>
        <v>75767514</v>
      </c>
      <c r="F173" s="9" t="s">
        <v>659</v>
      </c>
      <c r="G173" s="9" t="s">
        <v>41</v>
      </c>
      <c r="H173" s="11" t="s">
        <v>660</v>
      </c>
      <c r="I173" s="10">
        <v>45273</v>
      </c>
    </row>
    <row r="174" spans="1:9" x14ac:dyDescent="0.15">
      <c r="A174" s="9">
        <v>173</v>
      </c>
      <c r="B174" s="9" t="s">
        <v>9</v>
      </c>
      <c r="C174" s="9">
        <v>1910</v>
      </c>
      <c r="D174" s="10">
        <v>45602</v>
      </c>
      <c r="E174" s="13" t="str">
        <f>+HYPERLINK("http://trademark.i-assist.jp/data/china/image_1910th/75776627.pdf","75776627")</f>
        <v>75776627</v>
      </c>
      <c r="F174" s="9" t="s">
        <v>661</v>
      </c>
      <c r="G174" s="11" t="s">
        <v>662</v>
      </c>
      <c r="H174" s="9" t="s">
        <v>663</v>
      </c>
      <c r="I174" s="10">
        <v>45273</v>
      </c>
    </row>
    <row r="175" spans="1:9" x14ac:dyDescent="0.15">
      <c r="A175" s="9">
        <v>174</v>
      </c>
      <c r="B175" s="9" t="s">
        <v>9</v>
      </c>
      <c r="C175" s="9">
        <v>1910</v>
      </c>
      <c r="D175" s="10">
        <v>45602</v>
      </c>
      <c r="E175" s="13" t="str">
        <f>+HYPERLINK("http://trademark.i-assist.jp/data/china/image_1910th/75851340.pdf","75851340")</f>
        <v>75851340</v>
      </c>
      <c r="F175" s="9" t="s">
        <v>664</v>
      </c>
      <c r="G175" s="11" t="s">
        <v>665</v>
      </c>
      <c r="H175" s="9" t="s">
        <v>666</v>
      </c>
      <c r="I175" s="10">
        <v>45278</v>
      </c>
    </row>
    <row r="176" spans="1:9" x14ac:dyDescent="0.15">
      <c r="A176" s="9">
        <v>175</v>
      </c>
      <c r="B176" s="9" t="s">
        <v>9</v>
      </c>
      <c r="C176" s="9">
        <v>1910</v>
      </c>
      <c r="D176" s="10">
        <v>45602</v>
      </c>
      <c r="E176" s="13" t="str">
        <f>+HYPERLINK("http://trademark.i-assist.jp/data/china/image_1910th/75878065.pdf","75878065")</f>
        <v>75878065</v>
      </c>
      <c r="F176" s="9" t="s">
        <v>667</v>
      </c>
      <c r="G176" s="11" t="s">
        <v>668</v>
      </c>
      <c r="H176" s="9" t="s">
        <v>669</v>
      </c>
      <c r="I176" s="10">
        <v>45279</v>
      </c>
    </row>
    <row r="177" spans="1:9" x14ac:dyDescent="0.15">
      <c r="A177" s="9">
        <v>176</v>
      </c>
      <c r="B177" s="9" t="s">
        <v>9</v>
      </c>
      <c r="C177" s="9">
        <v>1910</v>
      </c>
      <c r="D177" s="10">
        <v>45602</v>
      </c>
      <c r="E177" s="13" t="str">
        <f>+HYPERLINK("http://trademark.i-assist.jp/data/china/image_1910th/75895475.pdf","75895475")</f>
        <v>75895475</v>
      </c>
      <c r="F177" s="11" t="s">
        <v>670</v>
      </c>
      <c r="G177" s="9" t="s">
        <v>671</v>
      </c>
      <c r="H177" s="9" t="s">
        <v>672</v>
      </c>
      <c r="I177" s="10">
        <v>45279</v>
      </c>
    </row>
    <row r="178" spans="1:9" x14ac:dyDescent="0.15">
      <c r="A178" s="9">
        <v>177</v>
      </c>
      <c r="B178" s="9" t="s">
        <v>9</v>
      </c>
      <c r="C178" s="9">
        <v>1910</v>
      </c>
      <c r="D178" s="10">
        <v>45602</v>
      </c>
      <c r="E178" s="13" t="str">
        <f>+HYPERLINK("http://trademark.i-assist.jp/data/china/image_1910th/75949097.pdf","75949097")</f>
        <v>75949097</v>
      </c>
      <c r="F178" s="11" t="s">
        <v>673</v>
      </c>
      <c r="G178" s="9" t="s">
        <v>674</v>
      </c>
      <c r="H178" s="9" t="s">
        <v>675</v>
      </c>
      <c r="I178" s="10">
        <v>45282</v>
      </c>
    </row>
    <row r="179" spans="1:9" x14ac:dyDescent="0.15">
      <c r="A179" s="9">
        <v>178</v>
      </c>
      <c r="B179" s="9" t="s">
        <v>9</v>
      </c>
      <c r="C179" s="9">
        <v>1910</v>
      </c>
      <c r="D179" s="10">
        <v>45602</v>
      </c>
      <c r="E179" s="13" t="str">
        <f>+HYPERLINK("http://trademark.i-assist.jp/data/china/image_1910th/75957652.pdf","75957652")</f>
        <v>75957652</v>
      </c>
      <c r="F179" s="11" t="s">
        <v>676</v>
      </c>
      <c r="G179" s="11" t="s">
        <v>677</v>
      </c>
      <c r="H179" s="9" t="s">
        <v>678</v>
      </c>
      <c r="I179" s="10">
        <v>45282</v>
      </c>
    </row>
    <row r="180" spans="1:9" x14ac:dyDescent="0.15">
      <c r="A180" s="9">
        <v>179</v>
      </c>
      <c r="B180" s="9" t="s">
        <v>9</v>
      </c>
      <c r="C180" s="9">
        <v>1910</v>
      </c>
      <c r="D180" s="10">
        <v>45602</v>
      </c>
      <c r="E180" s="13" t="str">
        <f>+HYPERLINK("http://trademark.i-assist.jp/data/china/image_1910th/75989767.pdf","75989767")</f>
        <v>75989767</v>
      </c>
      <c r="F180" s="9" t="s">
        <v>679</v>
      </c>
      <c r="G180" s="11" t="s">
        <v>291</v>
      </c>
      <c r="H180" s="9" t="s">
        <v>680</v>
      </c>
      <c r="I180" s="10">
        <v>45285</v>
      </c>
    </row>
    <row r="181" spans="1:9" x14ac:dyDescent="0.15">
      <c r="A181" s="9">
        <v>180</v>
      </c>
      <c r="B181" s="9" t="s">
        <v>9</v>
      </c>
      <c r="C181" s="9">
        <v>1910</v>
      </c>
      <c r="D181" s="10">
        <v>45602</v>
      </c>
      <c r="E181" s="13" t="str">
        <f>+HYPERLINK("http://trademark.i-assist.jp/data/china/image_1910th/75994141.pdf","75994141")</f>
        <v>75994141</v>
      </c>
      <c r="F181" s="9" t="s">
        <v>681</v>
      </c>
      <c r="G181" s="9" t="s">
        <v>682</v>
      </c>
      <c r="H181" s="11" t="s">
        <v>683</v>
      </c>
      <c r="I181" s="10">
        <v>45286</v>
      </c>
    </row>
    <row r="182" spans="1:9" x14ac:dyDescent="0.15">
      <c r="A182" s="9">
        <v>181</v>
      </c>
      <c r="B182" s="9" t="s">
        <v>9</v>
      </c>
      <c r="C182" s="9">
        <v>1910</v>
      </c>
      <c r="D182" s="10">
        <v>45602</v>
      </c>
      <c r="E182" s="13" t="str">
        <f>+HYPERLINK("http://trademark.i-assist.jp/data/china/image_1910th/76019453.pdf","76019453")</f>
        <v>76019453</v>
      </c>
      <c r="F182" s="9" t="s">
        <v>684</v>
      </c>
      <c r="G182" s="11" t="s">
        <v>685</v>
      </c>
      <c r="H182" s="9" t="s">
        <v>686</v>
      </c>
      <c r="I182" s="10">
        <v>45285</v>
      </c>
    </row>
    <row r="183" spans="1:9" x14ac:dyDescent="0.15">
      <c r="A183" s="9">
        <v>182</v>
      </c>
      <c r="B183" s="9" t="s">
        <v>9</v>
      </c>
      <c r="C183" s="9">
        <v>1910</v>
      </c>
      <c r="D183" s="10">
        <v>45602</v>
      </c>
      <c r="E183" s="13" t="str">
        <f>+HYPERLINK("http://trademark.i-assist.jp/data/china/image_1910th/76020710.pdf","76020710")</f>
        <v>76020710</v>
      </c>
      <c r="F183" s="9" t="s">
        <v>687</v>
      </c>
      <c r="G183" s="11" t="s">
        <v>688</v>
      </c>
      <c r="H183" s="9" t="s">
        <v>689</v>
      </c>
      <c r="I183" s="10">
        <v>45285</v>
      </c>
    </row>
    <row r="184" spans="1:9" x14ac:dyDescent="0.15">
      <c r="A184" s="9">
        <v>183</v>
      </c>
      <c r="B184" s="9" t="s">
        <v>9</v>
      </c>
      <c r="C184" s="9">
        <v>1910</v>
      </c>
      <c r="D184" s="10">
        <v>45602</v>
      </c>
      <c r="E184" s="13" t="str">
        <f>+HYPERLINK("http://trademark.i-assist.jp/data/china/image_1910th/76021776.pdf","76021776")</f>
        <v>76021776</v>
      </c>
      <c r="F184" s="9" t="s">
        <v>690</v>
      </c>
      <c r="G184" s="9" t="s">
        <v>691</v>
      </c>
      <c r="H184" s="9" t="s">
        <v>692</v>
      </c>
      <c r="I184" s="10">
        <v>45286</v>
      </c>
    </row>
    <row r="185" spans="1:9" x14ac:dyDescent="0.15">
      <c r="A185" s="9">
        <v>184</v>
      </c>
      <c r="B185" s="9" t="s">
        <v>9</v>
      </c>
      <c r="C185" s="9">
        <v>1910</v>
      </c>
      <c r="D185" s="10">
        <v>45602</v>
      </c>
      <c r="E185" s="13" t="str">
        <f>+HYPERLINK("http://trademark.i-assist.jp/data/china/image_1910th/76034953.pdf","76034953")</f>
        <v>76034953</v>
      </c>
      <c r="F185" s="9" t="s">
        <v>693</v>
      </c>
      <c r="G185" s="11" t="s">
        <v>694</v>
      </c>
      <c r="H185" s="9" t="s">
        <v>695</v>
      </c>
      <c r="I185" s="10">
        <v>45286</v>
      </c>
    </row>
    <row r="186" spans="1:9" x14ac:dyDescent="0.15">
      <c r="A186" s="9">
        <v>185</v>
      </c>
      <c r="B186" s="9" t="s">
        <v>9</v>
      </c>
      <c r="C186" s="9">
        <v>1910</v>
      </c>
      <c r="D186" s="10">
        <v>45602</v>
      </c>
      <c r="E186" s="13" t="str">
        <f>+HYPERLINK("http://trademark.i-assist.jp/data/china/image_1910th/76047026.pdf","76047026")</f>
        <v>76047026</v>
      </c>
      <c r="F186" s="9" t="s">
        <v>696</v>
      </c>
      <c r="G186" s="9" t="s">
        <v>697</v>
      </c>
      <c r="H186" s="9" t="s">
        <v>698</v>
      </c>
      <c r="I186" s="10">
        <v>45287</v>
      </c>
    </row>
    <row r="187" spans="1:9" x14ac:dyDescent="0.15">
      <c r="A187" s="9">
        <v>186</v>
      </c>
      <c r="B187" s="9" t="s">
        <v>9</v>
      </c>
      <c r="C187" s="9">
        <v>1910</v>
      </c>
      <c r="D187" s="10">
        <v>45602</v>
      </c>
      <c r="E187" s="13" t="str">
        <f>+HYPERLINK("http://trademark.i-assist.jp/data/china/image_1910th/76088426.pdf","76088426")</f>
        <v>76088426</v>
      </c>
      <c r="F187" s="11" t="s">
        <v>19</v>
      </c>
      <c r="G187" s="9" t="s">
        <v>699</v>
      </c>
      <c r="H187" s="9" t="s">
        <v>700</v>
      </c>
      <c r="I187" s="10">
        <v>45288</v>
      </c>
    </row>
    <row r="188" spans="1:9" x14ac:dyDescent="0.15">
      <c r="A188" s="9">
        <v>187</v>
      </c>
      <c r="B188" s="9" t="s">
        <v>9</v>
      </c>
      <c r="C188" s="9">
        <v>1910</v>
      </c>
      <c r="D188" s="10">
        <v>45602</v>
      </c>
      <c r="E188" s="13" t="str">
        <f>+HYPERLINK("http://trademark.i-assist.jp/data/china/image_1910th/76097483.pdf","76097483")</f>
        <v>76097483</v>
      </c>
      <c r="F188" s="9" t="s">
        <v>701</v>
      </c>
      <c r="G188" s="9" t="s">
        <v>702</v>
      </c>
      <c r="H188" s="9" t="s">
        <v>703</v>
      </c>
      <c r="I188" s="10">
        <v>45289</v>
      </c>
    </row>
    <row r="189" spans="1:9" x14ac:dyDescent="0.15">
      <c r="A189" s="9">
        <v>188</v>
      </c>
      <c r="B189" s="9" t="s">
        <v>9</v>
      </c>
      <c r="C189" s="9">
        <v>1910</v>
      </c>
      <c r="D189" s="10">
        <v>45602</v>
      </c>
      <c r="E189" s="13" t="str">
        <f>+HYPERLINK("http://trademark.i-assist.jp/data/china/image_1910th/76176604.pdf","76176604")</f>
        <v>76176604</v>
      </c>
      <c r="F189" s="9" t="s">
        <v>704</v>
      </c>
      <c r="G189" s="11" t="s">
        <v>705</v>
      </c>
      <c r="H189" s="9" t="s">
        <v>706</v>
      </c>
      <c r="I189" s="10">
        <v>45294</v>
      </c>
    </row>
    <row r="190" spans="1:9" x14ac:dyDescent="0.15">
      <c r="A190" s="9">
        <v>189</v>
      </c>
      <c r="B190" s="9" t="s">
        <v>9</v>
      </c>
      <c r="C190" s="9">
        <v>1910</v>
      </c>
      <c r="D190" s="10">
        <v>45602</v>
      </c>
      <c r="E190" s="13" t="str">
        <f>+HYPERLINK("http://trademark.i-assist.jp/data/china/image_1910th/76210252.pdf","76210252")</f>
        <v>76210252</v>
      </c>
      <c r="F190" s="9" t="s">
        <v>707</v>
      </c>
      <c r="G190" s="9" t="s">
        <v>708</v>
      </c>
      <c r="H190" s="9" t="s">
        <v>709</v>
      </c>
      <c r="I190" s="10">
        <v>45296</v>
      </c>
    </row>
    <row r="191" spans="1:9" x14ac:dyDescent="0.15">
      <c r="A191" s="9">
        <v>190</v>
      </c>
      <c r="B191" s="9" t="s">
        <v>9</v>
      </c>
      <c r="C191" s="9">
        <v>1910</v>
      </c>
      <c r="D191" s="10">
        <v>45602</v>
      </c>
      <c r="E191" s="13" t="str">
        <f>+HYPERLINK("http://trademark.i-assist.jp/data/china/image_1910th/76246442.pdf","76246442")</f>
        <v>76246442</v>
      </c>
      <c r="F191" s="9" t="s">
        <v>710</v>
      </c>
      <c r="G191" s="9" t="s">
        <v>711</v>
      </c>
      <c r="H191" s="9" t="s">
        <v>712</v>
      </c>
      <c r="I191" s="10">
        <v>45299</v>
      </c>
    </row>
    <row r="192" spans="1:9" x14ac:dyDescent="0.15">
      <c r="A192" s="9">
        <v>191</v>
      </c>
      <c r="B192" s="9" t="s">
        <v>9</v>
      </c>
      <c r="C192" s="9">
        <v>1910</v>
      </c>
      <c r="D192" s="10">
        <v>45602</v>
      </c>
      <c r="E192" s="13" t="str">
        <f>+HYPERLINK("http://trademark.i-assist.jp/data/china/image_1910th/76267987.pdf","76267987")</f>
        <v>76267987</v>
      </c>
      <c r="F192" s="9" t="s">
        <v>713</v>
      </c>
      <c r="G192" s="9" t="s">
        <v>714</v>
      </c>
      <c r="H192" s="9" t="s">
        <v>715</v>
      </c>
      <c r="I192" s="10">
        <v>45300</v>
      </c>
    </row>
    <row r="193" spans="1:9" x14ac:dyDescent="0.15">
      <c r="A193" s="9">
        <v>192</v>
      </c>
      <c r="B193" s="9" t="s">
        <v>9</v>
      </c>
      <c r="C193" s="9">
        <v>1910</v>
      </c>
      <c r="D193" s="10">
        <v>45602</v>
      </c>
      <c r="E193" s="13" t="str">
        <f>+HYPERLINK("http://trademark.i-assist.jp/data/china/image_1910th/76272333.pdf","76272333")</f>
        <v>76272333</v>
      </c>
      <c r="F193" s="11" t="s">
        <v>716</v>
      </c>
      <c r="G193" s="11" t="s">
        <v>717</v>
      </c>
      <c r="H193" s="9" t="s">
        <v>718</v>
      </c>
      <c r="I193" s="10">
        <v>45300</v>
      </c>
    </row>
    <row r="194" spans="1:9" x14ac:dyDescent="0.15">
      <c r="A194" s="9">
        <v>193</v>
      </c>
      <c r="B194" s="9" t="s">
        <v>9</v>
      </c>
      <c r="C194" s="9">
        <v>1910</v>
      </c>
      <c r="D194" s="10">
        <v>45602</v>
      </c>
      <c r="E194" s="13" t="str">
        <f>+HYPERLINK("http://trademark.i-assist.jp/data/china/image_1910th/76286939.pdf","76286939")</f>
        <v>76286939</v>
      </c>
      <c r="F194" s="9" t="s">
        <v>719</v>
      </c>
      <c r="G194" s="9" t="s">
        <v>720</v>
      </c>
      <c r="H194" s="9" t="s">
        <v>721</v>
      </c>
      <c r="I194" s="10">
        <v>45300</v>
      </c>
    </row>
    <row r="195" spans="1:9" x14ac:dyDescent="0.15">
      <c r="A195" s="9">
        <v>194</v>
      </c>
      <c r="B195" s="9" t="s">
        <v>9</v>
      </c>
      <c r="C195" s="9">
        <v>1910</v>
      </c>
      <c r="D195" s="10">
        <v>45602</v>
      </c>
      <c r="E195" s="13" t="str">
        <f>+HYPERLINK("http://trademark.i-assist.jp/data/china/image_1910th/76297814.pdf","76297814")</f>
        <v>76297814</v>
      </c>
      <c r="F195" s="11" t="s">
        <v>722</v>
      </c>
      <c r="G195" s="9" t="s">
        <v>723</v>
      </c>
      <c r="H195" s="11" t="s">
        <v>724</v>
      </c>
      <c r="I195" s="10">
        <v>45301</v>
      </c>
    </row>
    <row r="196" spans="1:9" x14ac:dyDescent="0.15">
      <c r="A196" s="9">
        <v>195</v>
      </c>
      <c r="B196" s="9" t="s">
        <v>9</v>
      </c>
      <c r="C196" s="9">
        <v>1910</v>
      </c>
      <c r="D196" s="10">
        <v>45602</v>
      </c>
      <c r="E196" s="13" t="str">
        <f>+HYPERLINK("http://trademark.i-assist.jp/data/china/image_1910th/76358137.pdf","76358137")</f>
        <v>76358137</v>
      </c>
      <c r="F196" s="9" t="s">
        <v>725</v>
      </c>
      <c r="G196" s="9" t="s">
        <v>726</v>
      </c>
      <c r="H196" s="9" t="s">
        <v>727</v>
      </c>
      <c r="I196" s="10">
        <v>45303</v>
      </c>
    </row>
    <row r="197" spans="1:9" x14ac:dyDescent="0.15">
      <c r="A197" s="9">
        <v>196</v>
      </c>
      <c r="B197" s="9" t="s">
        <v>9</v>
      </c>
      <c r="C197" s="9">
        <v>1910</v>
      </c>
      <c r="D197" s="10">
        <v>45602</v>
      </c>
      <c r="E197" s="13" t="str">
        <f>+HYPERLINK("http://trademark.i-assist.jp/data/china/image_1910th/76359666.pdf","76359666")</f>
        <v>76359666</v>
      </c>
      <c r="F197" s="9" t="s">
        <v>728</v>
      </c>
      <c r="G197" s="9" t="s">
        <v>729</v>
      </c>
      <c r="H197" s="9" t="s">
        <v>730</v>
      </c>
      <c r="I197" s="10">
        <v>45303</v>
      </c>
    </row>
    <row r="198" spans="1:9" x14ac:dyDescent="0.15">
      <c r="A198" s="9">
        <v>197</v>
      </c>
      <c r="B198" s="9" t="s">
        <v>9</v>
      </c>
      <c r="C198" s="9">
        <v>1910</v>
      </c>
      <c r="D198" s="10">
        <v>45602</v>
      </c>
      <c r="E198" s="13" t="str">
        <f>+HYPERLINK("http://trademark.i-assist.jp/data/china/image_1910th/76407270.pdf","76407270")</f>
        <v>76407270</v>
      </c>
      <c r="F198" s="9" t="s">
        <v>731</v>
      </c>
      <c r="G198" s="9" t="s">
        <v>732</v>
      </c>
      <c r="H198" s="9" t="s">
        <v>733</v>
      </c>
      <c r="I198" s="10">
        <v>45307</v>
      </c>
    </row>
    <row r="199" spans="1:9" x14ac:dyDescent="0.15">
      <c r="A199" s="9">
        <v>198</v>
      </c>
      <c r="B199" s="9" t="s">
        <v>9</v>
      </c>
      <c r="C199" s="9">
        <v>1910</v>
      </c>
      <c r="D199" s="10">
        <v>45602</v>
      </c>
      <c r="E199" s="13" t="str">
        <f>+HYPERLINK("http://trademark.i-assist.jp/data/china/image_1910th/76447699.pdf","76447699")</f>
        <v>76447699</v>
      </c>
      <c r="F199" s="9" t="s">
        <v>734</v>
      </c>
      <c r="G199" s="9" t="s">
        <v>735</v>
      </c>
      <c r="H199" s="9" t="s">
        <v>736</v>
      </c>
      <c r="I199" s="10">
        <v>45308</v>
      </c>
    </row>
    <row r="200" spans="1:9" x14ac:dyDescent="0.15">
      <c r="A200" s="9">
        <v>199</v>
      </c>
      <c r="B200" s="9" t="s">
        <v>9</v>
      </c>
      <c r="C200" s="9">
        <v>1910</v>
      </c>
      <c r="D200" s="10">
        <v>45602</v>
      </c>
      <c r="E200" s="13" t="str">
        <f>+HYPERLINK("http://trademark.i-assist.jp/data/china/image_1910th/76453063.pdf","76453063")</f>
        <v>76453063</v>
      </c>
      <c r="F200" s="9" t="s">
        <v>737</v>
      </c>
      <c r="G200" s="9" t="s">
        <v>738</v>
      </c>
      <c r="H200" s="9" t="s">
        <v>739</v>
      </c>
      <c r="I200" s="10">
        <v>45308</v>
      </c>
    </row>
    <row r="201" spans="1:9" x14ac:dyDescent="0.15">
      <c r="A201" s="9">
        <v>200</v>
      </c>
      <c r="B201" s="9" t="s">
        <v>9</v>
      </c>
      <c r="C201" s="9">
        <v>1910</v>
      </c>
      <c r="D201" s="9"/>
      <c r="E201" s="13" t="str">
        <f>+HYPERLINK("http://trademark.i-assist.jp/data/china/image_1910th/76484183.pdf","76484183")</f>
        <v>76484183</v>
      </c>
      <c r="F201" s="9" t="s">
        <v>740</v>
      </c>
      <c r="G201" s="9" t="s">
        <v>741</v>
      </c>
      <c r="H201" s="9" t="s">
        <v>742</v>
      </c>
      <c r="I201" s="10">
        <v>45309</v>
      </c>
    </row>
    <row r="202" spans="1:9" x14ac:dyDescent="0.15">
      <c r="A202" s="9">
        <v>201</v>
      </c>
      <c r="B202" s="9" t="s">
        <v>9</v>
      </c>
      <c r="C202" s="9">
        <v>1910</v>
      </c>
      <c r="D202" s="10">
        <v>45602</v>
      </c>
      <c r="E202" s="13" t="str">
        <f>+HYPERLINK("http://trademark.i-assist.jp/data/china/image_1910th/76530143.pdf","76530143")</f>
        <v>76530143</v>
      </c>
      <c r="F202" s="9" t="s">
        <v>743</v>
      </c>
      <c r="G202" s="9" t="s">
        <v>744</v>
      </c>
      <c r="H202" s="9" t="s">
        <v>745</v>
      </c>
      <c r="I202" s="10">
        <v>45313</v>
      </c>
    </row>
    <row r="203" spans="1:9" x14ac:dyDescent="0.15">
      <c r="A203" s="9">
        <v>202</v>
      </c>
      <c r="B203" s="9" t="s">
        <v>9</v>
      </c>
      <c r="C203" s="9">
        <v>1910</v>
      </c>
      <c r="D203" s="10">
        <v>45602</v>
      </c>
      <c r="E203" s="13" t="str">
        <f>+HYPERLINK("http://trademark.i-assist.jp/data/china/image_1910th/76556660.pdf","76556660")</f>
        <v>76556660</v>
      </c>
      <c r="F203" s="9" t="s">
        <v>746</v>
      </c>
      <c r="G203" s="9" t="s">
        <v>747</v>
      </c>
      <c r="H203" s="9" t="s">
        <v>748</v>
      </c>
      <c r="I203" s="10">
        <v>45314</v>
      </c>
    </row>
    <row r="204" spans="1:9" x14ac:dyDescent="0.15">
      <c r="A204" s="9">
        <v>203</v>
      </c>
      <c r="B204" s="9" t="s">
        <v>9</v>
      </c>
      <c r="C204" s="9">
        <v>1910</v>
      </c>
      <c r="D204" s="10">
        <v>45602</v>
      </c>
      <c r="E204" s="13" t="str">
        <f>+HYPERLINK("http://trademark.i-assist.jp/data/china/image_1910th/76604968.pdf","76604968")</f>
        <v>76604968</v>
      </c>
      <c r="F204" s="11" t="s">
        <v>749</v>
      </c>
      <c r="G204" s="9" t="s">
        <v>750</v>
      </c>
      <c r="H204" s="9" t="s">
        <v>751</v>
      </c>
      <c r="I204" s="10">
        <v>45316</v>
      </c>
    </row>
    <row r="205" spans="1:9" x14ac:dyDescent="0.15">
      <c r="A205" s="9">
        <v>204</v>
      </c>
      <c r="B205" s="9" t="s">
        <v>9</v>
      </c>
      <c r="C205" s="9">
        <v>1910</v>
      </c>
      <c r="D205" s="10">
        <v>45602</v>
      </c>
      <c r="E205" s="13" t="str">
        <f>+HYPERLINK("http://trademark.i-assist.jp/data/china/image_1910th/76630202.pdf","76630202")</f>
        <v>76630202</v>
      </c>
      <c r="F205" s="11" t="s">
        <v>752</v>
      </c>
      <c r="G205" s="11" t="s">
        <v>753</v>
      </c>
      <c r="H205" s="9" t="s">
        <v>754</v>
      </c>
      <c r="I205" s="10">
        <v>45317</v>
      </c>
    </row>
    <row r="206" spans="1:9" x14ac:dyDescent="0.15">
      <c r="A206" s="9">
        <v>205</v>
      </c>
      <c r="B206" s="9" t="s">
        <v>9</v>
      </c>
      <c r="C206" s="9">
        <v>1910</v>
      </c>
      <c r="D206" s="10">
        <v>45602</v>
      </c>
      <c r="E206" s="13" t="str">
        <f>+HYPERLINK("http://trademark.i-assist.jp/data/china/image_1910th/76706783.pdf","76706783")</f>
        <v>76706783</v>
      </c>
      <c r="F206" s="11" t="s">
        <v>755</v>
      </c>
      <c r="G206" s="11" t="s">
        <v>756</v>
      </c>
      <c r="H206" s="9" t="s">
        <v>757</v>
      </c>
      <c r="I206" s="10">
        <v>45322</v>
      </c>
    </row>
    <row r="207" spans="1:9" x14ac:dyDescent="0.15">
      <c r="A207" s="9">
        <v>206</v>
      </c>
      <c r="B207" s="9" t="s">
        <v>9</v>
      </c>
      <c r="C207" s="9">
        <v>1910</v>
      </c>
      <c r="D207" s="10">
        <v>45602</v>
      </c>
      <c r="E207" s="13" t="str">
        <f>+HYPERLINK("http://trademark.i-assist.jp/data/china/image_1910th/76859042.pdf","76859042")</f>
        <v>76859042</v>
      </c>
      <c r="F207" s="9" t="s">
        <v>758</v>
      </c>
      <c r="G207" s="9" t="s">
        <v>759</v>
      </c>
      <c r="H207" s="9" t="s">
        <v>760</v>
      </c>
      <c r="I207" s="10">
        <v>45341</v>
      </c>
    </row>
    <row r="208" spans="1:9" x14ac:dyDescent="0.15">
      <c r="A208" s="9">
        <v>207</v>
      </c>
      <c r="B208" s="9" t="s">
        <v>9</v>
      </c>
      <c r="C208" s="9">
        <v>1910</v>
      </c>
      <c r="D208" s="10">
        <v>45602</v>
      </c>
      <c r="E208" s="13" t="str">
        <f>+HYPERLINK("http://trademark.i-assist.jp/data/china/image_1910th/76990093.pdf","76990093")</f>
        <v>76990093</v>
      </c>
      <c r="F208" s="9" t="s">
        <v>761</v>
      </c>
      <c r="G208" s="9" t="s">
        <v>762</v>
      </c>
      <c r="H208" s="9" t="s">
        <v>763</v>
      </c>
      <c r="I208" s="10">
        <v>45349</v>
      </c>
    </row>
    <row r="209" spans="1:9" x14ac:dyDescent="0.15">
      <c r="A209" s="9">
        <v>208</v>
      </c>
      <c r="B209" s="9" t="s">
        <v>9</v>
      </c>
      <c r="C209" s="9">
        <v>1910</v>
      </c>
      <c r="D209" s="10">
        <v>45602</v>
      </c>
      <c r="E209" s="13" t="str">
        <f>+HYPERLINK("http://trademark.i-assist.jp/data/china/image_1910th/77008034.pdf","77008034")</f>
        <v>77008034</v>
      </c>
      <c r="F209" s="9" t="s">
        <v>764</v>
      </c>
      <c r="G209" s="9" t="s">
        <v>765</v>
      </c>
      <c r="H209" s="9" t="s">
        <v>30</v>
      </c>
      <c r="I209" s="10">
        <v>45350</v>
      </c>
    </row>
    <row r="210" spans="1:9" x14ac:dyDescent="0.15">
      <c r="A210" s="9">
        <v>209</v>
      </c>
      <c r="B210" s="9" t="s">
        <v>9</v>
      </c>
      <c r="C210" s="9">
        <v>1910</v>
      </c>
      <c r="D210" s="10">
        <v>45602</v>
      </c>
      <c r="E210" s="13" t="str">
        <f>+HYPERLINK("http://trademark.i-assist.jp/data/china/image_1910th/77060379.pdf","77060379")</f>
        <v>77060379</v>
      </c>
      <c r="F210" s="9" t="s">
        <v>766</v>
      </c>
      <c r="G210" s="9" t="s">
        <v>767</v>
      </c>
      <c r="H210" s="9" t="s">
        <v>768</v>
      </c>
      <c r="I210" s="10">
        <v>45352</v>
      </c>
    </row>
    <row r="211" spans="1:9" x14ac:dyDescent="0.15">
      <c r="A211" s="9">
        <v>210</v>
      </c>
      <c r="B211" s="9" t="s">
        <v>9</v>
      </c>
      <c r="C211" s="9">
        <v>1910</v>
      </c>
      <c r="D211" s="10">
        <v>45602</v>
      </c>
      <c r="E211" s="13" t="str">
        <f>+HYPERLINK("http://trademark.i-assist.jp/data/china/image_1910th/77087595.pdf","77087595")</f>
        <v>77087595</v>
      </c>
      <c r="F211" s="9" t="s">
        <v>769</v>
      </c>
      <c r="G211" s="9" t="s">
        <v>770</v>
      </c>
      <c r="H211" s="9" t="s">
        <v>771</v>
      </c>
      <c r="I211" s="10">
        <v>45355</v>
      </c>
    </row>
    <row r="212" spans="1:9" x14ac:dyDescent="0.15">
      <c r="A212" s="9">
        <v>211</v>
      </c>
      <c r="B212" s="9" t="s">
        <v>9</v>
      </c>
      <c r="C212" s="9">
        <v>1910</v>
      </c>
      <c r="D212" s="10">
        <v>45602</v>
      </c>
      <c r="E212" s="13" t="str">
        <f>+HYPERLINK("http://trademark.i-assist.jp/data/china/image_1910th/77145596.pdf","77145596")</f>
        <v>77145596</v>
      </c>
      <c r="F212" s="9" t="s">
        <v>772</v>
      </c>
      <c r="G212" s="9" t="s">
        <v>773</v>
      </c>
      <c r="H212" s="9" t="s">
        <v>774</v>
      </c>
      <c r="I212" s="10">
        <v>45357</v>
      </c>
    </row>
    <row r="213" spans="1:9" x14ac:dyDescent="0.15">
      <c r="A213" s="9">
        <v>212</v>
      </c>
      <c r="B213" s="9" t="s">
        <v>9</v>
      </c>
      <c r="C213" s="9">
        <v>1910</v>
      </c>
      <c r="D213" s="10">
        <v>45602</v>
      </c>
      <c r="E213" s="13" t="str">
        <f>+HYPERLINK("http://trademark.i-assist.jp/data/china/image_1910th/77559256.pdf","77559256")</f>
        <v>77559256</v>
      </c>
      <c r="F213" s="9" t="s">
        <v>775</v>
      </c>
      <c r="G213" s="9" t="s">
        <v>776</v>
      </c>
      <c r="H213" s="9" t="s">
        <v>777</v>
      </c>
      <c r="I213" s="10">
        <v>45377</v>
      </c>
    </row>
    <row r="214" spans="1:9" x14ac:dyDescent="0.15">
      <c r="A214" s="9">
        <v>213</v>
      </c>
      <c r="B214" s="9" t="s">
        <v>9</v>
      </c>
      <c r="C214" s="9">
        <v>1910</v>
      </c>
      <c r="D214" s="10">
        <v>45602</v>
      </c>
      <c r="E214" s="13" t="str">
        <f>+HYPERLINK("http://trademark.i-assist.jp/data/china/image_1910th/77685803.pdf","77685803")</f>
        <v>77685803</v>
      </c>
      <c r="F214" s="9" t="s">
        <v>778</v>
      </c>
      <c r="G214" s="9" t="s">
        <v>779</v>
      </c>
      <c r="H214" s="9" t="s">
        <v>780</v>
      </c>
      <c r="I214" s="10">
        <v>45383</v>
      </c>
    </row>
    <row r="215" spans="1:9" x14ac:dyDescent="0.15">
      <c r="A215" s="9">
        <v>214</v>
      </c>
      <c r="B215" s="9" t="s">
        <v>9</v>
      </c>
      <c r="C215" s="9">
        <v>1910</v>
      </c>
      <c r="D215" s="10">
        <v>45602</v>
      </c>
      <c r="E215" s="13" t="str">
        <f>+HYPERLINK("http://trademark.i-assist.jp/data/china/image_1910th/77722331.pdf","77722331")</f>
        <v>77722331</v>
      </c>
      <c r="F215" s="11" t="s">
        <v>781</v>
      </c>
      <c r="G215" s="9" t="s">
        <v>782</v>
      </c>
      <c r="H215" s="9" t="s">
        <v>783</v>
      </c>
      <c r="I215" s="10">
        <v>45384</v>
      </c>
    </row>
    <row r="216" spans="1:9" x14ac:dyDescent="0.15">
      <c r="A216" s="9">
        <v>215</v>
      </c>
      <c r="B216" s="9" t="s">
        <v>9</v>
      </c>
      <c r="C216" s="9">
        <v>1910</v>
      </c>
      <c r="D216" s="10">
        <v>45602</v>
      </c>
      <c r="E216" s="13" t="str">
        <f>+HYPERLINK("http://trademark.i-assist.jp/data/china/image_1910th/77724693.pdf","77724693")</f>
        <v>77724693</v>
      </c>
      <c r="F216" s="9" t="s">
        <v>784</v>
      </c>
      <c r="G216" s="9" t="s">
        <v>785</v>
      </c>
      <c r="H216" s="9" t="s">
        <v>786</v>
      </c>
      <c r="I216" s="10">
        <v>45384</v>
      </c>
    </row>
    <row r="217" spans="1:9" x14ac:dyDescent="0.15">
      <c r="A217" s="9">
        <v>216</v>
      </c>
      <c r="B217" s="9" t="s">
        <v>9</v>
      </c>
      <c r="C217" s="9">
        <v>1910</v>
      </c>
      <c r="D217" s="10">
        <v>45602</v>
      </c>
      <c r="E217" s="13" t="str">
        <f>+HYPERLINK("http://trademark.i-assist.jp/data/china/image_1910th/77726901.pdf","77726901")</f>
        <v>77726901</v>
      </c>
      <c r="F217" s="9" t="s">
        <v>787</v>
      </c>
      <c r="G217" s="9" t="s">
        <v>788</v>
      </c>
      <c r="H217" s="9" t="s">
        <v>789</v>
      </c>
      <c r="I217" s="10">
        <v>45384</v>
      </c>
    </row>
    <row r="218" spans="1:9" x14ac:dyDescent="0.15">
      <c r="A218" s="9">
        <v>217</v>
      </c>
      <c r="B218" s="9" t="s">
        <v>9</v>
      </c>
      <c r="C218" s="9">
        <v>1910</v>
      </c>
      <c r="D218" s="10">
        <v>45602</v>
      </c>
      <c r="E218" s="13" t="str">
        <f>+HYPERLINK("http://trademark.i-assist.jp/data/china/image_1910th/77748320.pdf","77748320")</f>
        <v>77748320</v>
      </c>
      <c r="F218" s="9" t="s">
        <v>790</v>
      </c>
      <c r="G218" s="9" t="s">
        <v>791</v>
      </c>
      <c r="H218" s="9" t="s">
        <v>792</v>
      </c>
      <c r="I218" s="10">
        <v>45385</v>
      </c>
    </row>
    <row r="219" spans="1:9" x14ac:dyDescent="0.15">
      <c r="A219" s="9">
        <v>218</v>
      </c>
      <c r="B219" s="9" t="s">
        <v>9</v>
      </c>
      <c r="C219" s="9">
        <v>1910</v>
      </c>
      <c r="D219" s="10">
        <v>45602</v>
      </c>
      <c r="E219" s="13" t="str">
        <f>+HYPERLINK("http://trademark.i-assist.jp/data/china/image_1910th/77762821.pdf","77762821")</f>
        <v>77762821</v>
      </c>
      <c r="F219" s="9" t="s">
        <v>793</v>
      </c>
      <c r="G219" s="11" t="s">
        <v>794</v>
      </c>
      <c r="H219" s="9" t="s">
        <v>795</v>
      </c>
      <c r="I219" s="10">
        <v>45385</v>
      </c>
    </row>
    <row r="220" spans="1:9" x14ac:dyDescent="0.15">
      <c r="A220" s="9">
        <v>219</v>
      </c>
      <c r="B220" s="9" t="s">
        <v>9</v>
      </c>
      <c r="C220" s="9">
        <v>1910</v>
      </c>
      <c r="D220" s="10">
        <v>45602</v>
      </c>
      <c r="E220" s="13" t="str">
        <f>+HYPERLINK("http://trademark.i-assist.jp/data/china/image_1910th/77887599.pdf","77887599")</f>
        <v>77887599</v>
      </c>
      <c r="F220" s="9" t="s">
        <v>796</v>
      </c>
      <c r="G220" s="9" t="s">
        <v>797</v>
      </c>
      <c r="H220" s="11" t="s">
        <v>798</v>
      </c>
      <c r="I220" s="10">
        <v>45393</v>
      </c>
    </row>
    <row r="221" spans="1:9" x14ac:dyDescent="0.15">
      <c r="A221" s="9">
        <v>220</v>
      </c>
      <c r="B221" s="9" t="s">
        <v>9</v>
      </c>
      <c r="C221" s="9">
        <v>1910</v>
      </c>
      <c r="D221" s="10">
        <v>45602</v>
      </c>
      <c r="E221" s="13" t="str">
        <f>+HYPERLINK("http://trademark.i-assist.jp/data/china/image_1910th/77973741.pdf","77973741")</f>
        <v>77973741</v>
      </c>
      <c r="F221" s="9" t="s">
        <v>799</v>
      </c>
      <c r="G221" s="9" t="s">
        <v>800</v>
      </c>
      <c r="H221" s="11" t="s">
        <v>801</v>
      </c>
      <c r="I221" s="10">
        <v>45397</v>
      </c>
    </row>
    <row r="222" spans="1:9" x14ac:dyDescent="0.15">
      <c r="A222" s="9">
        <v>221</v>
      </c>
      <c r="B222" s="9" t="s">
        <v>9</v>
      </c>
      <c r="C222" s="9">
        <v>1910</v>
      </c>
      <c r="D222" s="10">
        <v>45602</v>
      </c>
      <c r="E222" s="13" t="str">
        <f>+HYPERLINK("http://trademark.i-assist.jp/data/china/image_1910th/78069568.pdf","78069568")</f>
        <v>78069568</v>
      </c>
      <c r="F222" s="9" t="s">
        <v>802</v>
      </c>
      <c r="G222" s="9" t="s">
        <v>803</v>
      </c>
      <c r="H222" s="9" t="s">
        <v>804</v>
      </c>
      <c r="I222" s="10">
        <v>45400</v>
      </c>
    </row>
    <row r="223" spans="1:9" x14ac:dyDescent="0.15">
      <c r="A223" s="9">
        <v>222</v>
      </c>
      <c r="B223" s="9" t="s">
        <v>9</v>
      </c>
      <c r="C223" s="9">
        <v>1910</v>
      </c>
      <c r="D223" s="10">
        <v>45602</v>
      </c>
      <c r="E223" s="13" t="str">
        <f>+HYPERLINK("http://trademark.i-assist.jp/data/china/image_1910th/78081952.pdf","78081952")</f>
        <v>78081952</v>
      </c>
      <c r="F223" s="9" t="s">
        <v>805</v>
      </c>
      <c r="G223" s="9" t="s">
        <v>24</v>
      </c>
      <c r="H223" s="9" t="s">
        <v>806</v>
      </c>
      <c r="I223" s="10">
        <v>45401</v>
      </c>
    </row>
    <row r="224" spans="1:9" x14ac:dyDescent="0.15">
      <c r="A224" s="9">
        <v>223</v>
      </c>
      <c r="B224" s="9" t="s">
        <v>9</v>
      </c>
      <c r="C224" s="9">
        <v>1910</v>
      </c>
      <c r="D224" s="10">
        <v>45602</v>
      </c>
      <c r="E224" s="13" t="str">
        <f>+HYPERLINK("http://trademark.i-assist.jp/data/china/image_1910th/78101951.pdf","78101951")</f>
        <v>78101951</v>
      </c>
      <c r="F224" s="9" t="s">
        <v>807</v>
      </c>
      <c r="G224" s="9" t="s">
        <v>24</v>
      </c>
      <c r="H224" s="9" t="s">
        <v>808</v>
      </c>
      <c r="I224" s="10">
        <v>45401</v>
      </c>
    </row>
    <row r="225" spans="1:9" x14ac:dyDescent="0.15">
      <c r="A225" s="9">
        <v>224</v>
      </c>
      <c r="B225" s="9" t="s">
        <v>9</v>
      </c>
      <c r="C225" s="9">
        <v>1910</v>
      </c>
      <c r="D225" s="10">
        <v>45602</v>
      </c>
      <c r="E225" s="13" t="str">
        <f>+HYPERLINK("http://trademark.i-assist.jp/data/china/image_1910th/78154241.pdf","78154241")</f>
        <v>78154241</v>
      </c>
      <c r="F225" s="9" t="s">
        <v>809</v>
      </c>
      <c r="G225" s="9" t="s">
        <v>810</v>
      </c>
      <c r="H225" s="11" t="s">
        <v>811</v>
      </c>
      <c r="I225" s="10">
        <v>45405</v>
      </c>
    </row>
    <row r="226" spans="1:9" x14ac:dyDescent="0.15">
      <c r="A226" s="9">
        <v>225</v>
      </c>
      <c r="B226" s="9" t="s">
        <v>9</v>
      </c>
      <c r="C226" s="9">
        <v>1910</v>
      </c>
      <c r="D226" s="10">
        <v>45602</v>
      </c>
      <c r="E226" s="13" t="str">
        <f>+HYPERLINK("http://trademark.i-assist.jp/data/china/image_1910th/78210679.pdf","78210679")</f>
        <v>78210679</v>
      </c>
      <c r="F226" s="9" t="s">
        <v>812</v>
      </c>
      <c r="G226" s="9" t="s">
        <v>813</v>
      </c>
      <c r="H226" s="9" t="s">
        <v>814</v>
      </c>
      <c r="I226" s="10">
        <v>45406</v>
      </c>
    </row>
    <row r="227" spans="1:9" x14ac:dyDescent="0.15">
      <c r="A227" s="9">
        <v>226</v>
      </c>
      <c r="B227" s="9" t="s">
        <v>9</v>
      </c>
      <c r="C227" s="9">
        <v>1910</v>
      </c>
      <c r="D227" s="10">
        <v>45602</v>
      </c>
      <c r="E227" s="13" t="str">
        <f>+HYPERLINK("http://trademark.i-assist.jp/data/china/image_1910th/78269576.pdf","78269576")</f>
        <v>78269576</v>
      </c>
      <c r="F227" s="11" t="s">
        <v>815</v>
      </c>
      <c r="G227" s="9" t="s">
        <v>816</v>
      </c>
      <c r="H227" s="9" t="s">
        <v>817</v>
      </c>
      <c r="I227" s="10">
        <v>45408</v>
      </c>
    </row>
    <row r="228" spans="1:9" x14ac:dyDescent="0.15">
      <c r="A228" s="9">
        <v>227</v>
      </c>
      <c r="B228" s="9" t="s">
        <v>9</v>
      </c>
      <c r="C228" s="9">
        <v>1910</v>
      </c>
      <c r="D228" s="10">
        <v>45602</v>
      </c>
      <c r="E228" s="13" t="str">
        <f>+HYPERLINK("http://trademark.i-assist.jp/data/china/image_1910th/78273501.pdf","78273501")</f>
        <v>78273501</v>
      </c>
      <c r="F228" s="9" t="s">
        <v>818</v>
      </c>
      <c r="G228" s="9" t="s">
        <v>819</v>
      </c>
      <c r="H228" s="11" t="s">
        <v>820</v>
      </c>
      <c r="I228" s="10">
        <v>45409</v>
      </c>
    </row>
    <row r="229" spans="1:9" x14ac:dyDescent="0.15">
      <c r="A229" s="9">
        <v>228</v>
      </c>
      <c r="B229" s="9" t="s">
        <v>9</v>
      </c>
      <c r="C229" s="9">
        <v>1910</v>
      </c>
      <c r="D229" s="10">
        <v>45602</v>
      </c>
      <c r="E229" s="13" t="str">
        <f>+HYPERLINK("http://trademark.i-assist.jp/data/china/image_1910th/78285797.pdf","78285797")</f>
        <v>78285797</v>
      </c>
      <c r="F229" s="11" t="s">
        <v>821</v>
      </c>
      <c r="G229" s="9" t="s">
        <v>822</v>
      </c>
      <c r="H229" s="9" t="s">
        <v>823</v>
      </c>
      <c r="I229" s="10">
        <v>45410</v>
      </c>
    </row>
    <row r="230" spans="1:9" x14ac:dyDescent="0.15">
      <c r="A230" s="9">
        <v>229</v>
      </c>
      <c r="B230" s="9" t="s">
        <v>9</v>
      </c>
      <c r="C230" s="9">
        <v>1910</v>
      </c>
      <c r="D230" s="10">
        <v>45602</v>
      </c>
      <c r="E230" s="13" t="str">
        <f>+HYPERLINK("http://trademark.i-assist.jp/data/china/image_1910th/78311668A.pdf","78311668A")</f>
        <v>78311668A</v>
      </c>
      <c r="F230" s="9" t="s">
        <v>824</v>
      </c>
      <c r="G230" s="9" t="s">
        <v>825</v>
      </c>
      <c r="H230" s="9" t="s">
        <v>826</v>
      </c>
      <c r="I230" s="10">
        <v>45411</v>
      </c>
    </row>
    <row r="231" spans="1:9" x14ac:dyDescent="0.15">
      <c r="A231" s="9">
        <v>230</v>
      </c>
      <c r="B231" s="9" t="s">
        <v>9</v>
      </c>
      <c r="C231" s="9">
        <v>1910</v>
      </c>
      <c r="D231" s="10">
        <v>45602</v>
      </c>
      <c r="E231" s="13" t="str">
        <f>+HYPERLINK("http://trademark.i-assist.jp/data/china/image_1910th/78367475.pdf","78367475")</f>
        <v>78367475</v>
      </c>
      <c r="F231" s="9" t="s">
        <v>827</v>
      </c>
      <c r="G231" s="9" t="s">
        <v>828</v>
      </c>
      <c r="H231" s="9" t="s">
        <v>829</v>
      </c>
      <c r="I231" s="10">
        <v>45419</v>
      </c>
    </row>
    <row r="232" spans="1:9" x14ac:dyDescent="0.15">
      <c r="A232" s="9">
        <v>231</v>
      </c>
      <c r="B232" s="9" t="s">
        <v>9</v>
      </c>
      <c r="C232" s="9">
        <v>1910</v>
      </c>
      <c r="D232" s="10">
        <v>45602</v>
      </c>
      <c r="E232" s="13" t="str">
        <f>+HYPERLINK("http://trademark.i-assist.jp/data/china/image_1910th/78442103.pdf","78442103")</f>
        <v>78442103</v>
      </c>
      <c r="F232" s="9" t="s">
        <v>830</v>
      </c>
      <c r="G232" s="9" t="s">
        <v>831</v>
      </c>
      <c r="H232" s="9" t="s">
        <v>832</v>
      </c>
      <c r="I232" s="10">
        <v>45420</v>
      </c>
    </row>
    <row r="233" spans="1:9" x14ac:dyDescent="0.15">
      <c r="A233" s="9">
        <v>232</v>
      </c>
      <c r="B233" s="9" t="s">
        <v>9</v>
      </c>
      <c r="C233" s="9">
        <v>1910</v>
      </c>
      <c r="D233" s="10">
        <v>45602</v>
      </c>
      <c r="E233" s="13" t="str">
        <f>+HYPERLINK("http://trademark.i-assist.jp/data/china/image_1910th/78467714.pdf","78467714")</f>
        <v>78467714</v>
      </c>
      <c r="F233" s="9" t="s">
        <v>833</v>
      </c>
      <c r="G233" s="9" t="s">
        <v>834</v>
      </c>
      <c r="H233" s="9" t="s">
        <v>835</v>
      </c>
      <c r="I233" s="10">
        <v>45421</v>
      </c>
    </row>
    <row r="234" spans="1:9" x14ac:dyDescent="0.15">
      <c r="A234" s="9">
        <v>233</v>
      </c>
      <c r="B234" s="9" t="s">
        <v>9</v>
      </c>
      <c r="C234" s="9">
        <v>1910</v>
      </c>
      <c r="D234" s="10">
        <v>45602</v>
      </c>
      <c r="E234" s="13" t="str">
        <f>+HYPERLINK("http://trademark.i-assist.jp/data/china/image_1910th/78544826.pdf","78544826")</f>
        <v>78544826</v>
      </c>
      <c r="F234" s="9" t="s">
        <v>836</v>
      </c>
      <c r="G234" s="11" t="s">
        <v>837</v>
      </c>
      <c r="H234" s="9" t="s">
        <v>838</v>
      </c>
      <c r="I234" s="10">
        <v>45425</v>
      </c>
    </row>
    <row r="235" spans="1:9" x14ac:dyDescent="0.15">
      <c r="A235" s="9">
        <v>234</v>
      </c>
      <c r="B235" s="9" t="s">
        <v>9</v>
      </c>
      <c r="C235" s="9">
        <v>1910</v>
      </c>
      <c r="D235" s="10">
        <v>45602</v>
      </c>
      <c r="E235" s="13" t="str">
        <f>+HYPERLINK("http://trademark.i-assist.jp/data/china/image_1910th/78574010.pdf","78574010")</f>
        <v>78574010</v>
      </c>
      <c r="F235" s="9" t="s">
        <v>839</v>
      </c>
      <c r="G235" s="9" t="s">
        <v>840</v>
      </c>
      <c r="H235" s="9" t="s">
        <v>841</v>
      </c>
      <c r="I235" s="10">
        <v>45426</v>
      </c>
    </row>
    <row r="236" spans="1:9" x14ac:dyDescent="0.15">
      <c r="A236" s="9">
        <v>235</v>
      </c>
      <c r="B236" s="9" t="s">
        <v>9</v>
      </c>
      <c r="C236" s="9">
        <v>1910</v>
      </c>
      <c r="D236" s="10">
        <v>45602</v>
      </c>
      <c r="E236" s="13" t="str">
        <f>+HYPERLINK("http://trademark.i-assist.jp/data/china/image_1910th/78577773.pdf","78577773")</f>
        <v>78577773</v>
      </c>
      <c r="F236" s="9" t="s">
        <v>839</v>
      </c>
      <c r="G236" s="9" t="s">
        <v>840</v>
      </c>
      <c r="H236" s="9" t="s">
        <v>842</v>
      </c>
      <c r="I236" s="10">
        <v>45426</v>
      </c>
    </row>
    <row r="237" spans="1:9" x14ac:dyDescent="0.15">
      <c r="A237" s="9">
        <v>236</v>
      </c>
      <c r="B237" s="9" t="s">
        <v>9</v>
      </c>
      <c r="C237" s="9">
        <v>1910</v>
      </c>
      <c r="D237" s="10">
        <v>45602</v>
      </c>
      <c r="E237" s="13" t="str">
        <f>+HYPERLINK("http://trademark.i-assist.jp/data/china/image_1910th/78597935.pdf","78597935")</f>
        <v>78597935</v>
      </c>
      <c r="F237" s="9" t="s">
        <v>843</v>
      </c>
      <c r="G237" s="9" t="s">
        <v>844</v>
      </c>
      <c r="H237" s="9" t="s">
        <v>845</v>
      </c>
      <c r="I237" s="10">
        <v>45427</v>
      </c>
    </row>
    <row r="238" spans="1:9" x14ac:dyDescent="0.15">
      <c r="A238" s="9">
        <v>237</v>
      </c>
      <c r="B238" s="9" t="s">
        <v>9</v>
      </c>
      <c r="C238" s="9">
        <v>1910</v>
      </c>
      <c r="D238" s="10">
        <v>45602</v>
      </c>
      <c r="E238" s="13" t="str">
        <f>+HYPERLINK("http://trademark.i-assist.jp/data/china/image_1910th/78597942.pdf","78597942")</f>
        <v>78597942</v>
      </c>
      <c r="F238" s="9" t="s">
        <v>846</v>
      </c>
      <c r="G238" s="9" t="s">
        <v>844</v>
      </c>
      <c r="H238" s="9" t="s">
        <v>847</v>
      </c>
      <c r="I238" s="10">
        <v>45427</v>
      </c>
    </row>
    <row r="239" spans="1:9" x14ac:dyDescent="0.15">
      <c r="A239" s="9">
        <v>238</v>
      </c>
      <c r="B239" s="9" t="s">
        <v>9</v>
      </c>
      <c r="C239" s="9">
        <v>1910</v>
      </c>
      <c r="D239" s="10">
        <v>45602</v>
      </c>
      <c r="E239" s="13" t="str">
        <f>+HYPERLINK("http://trademark.i-assist.jp/data/china/image_1910th/78635965.pdf","78635965")</f>
        <v>78635965</v>
      </c>
      <c r="F239" s="9" t="s">
        <v>848</v>
      </c>
      <c r="G239" s="9" t="s">
        <v>849</v>
      </c>
      <c r="H239" s="9" t="s">
        <v>850</v>
      </c>
      <c r="I239" s="10">
        <v>45428</v>
      </c>
    </row>
    <row r="240" spans="1:9" x14ac:dyDescent="0.15">
      <c r="A240" s="9">
        <v>239</v>
      </c>
      <c r="B240" s="9" t="s">
        <v>9</v>
      </c>
      <c r="C240" s="9">
        <v>1910</v>
      </c>
      <c r="D240" s="10">
        <v>45602</v>
      </c>
      <c r="E240" s="13" t="str">
        <f>+HYPERLINK("http://trademark.i-assist.jp/data/china/image_1910th/78638505.pdf","78638505")</f>
        <v>78638505</v>
      </c>
      <c r="F240" s="9" t="s">
        <v>851</v>
      </c>
      <c r="G240" s="9" t="s">
        <v>852</v>
      </c>
      <c r="H240" s="9" t="s">
        <v>853</v>
      </c>
      <c r="I240" s="10">
        <v>45428</v>
      </c>
    </row>
    <row r="241" spans="1:9" x14ac:dyDescent="0.15">
      <c r="A241" s="9">
        <v>240</v>
      </c>
      <c r="B241" s="9" t="s">
        <v>9</v>
      </c>
      <c r="C241" s="9">
        <v>1910</v>
      </c>
      <c r="D241" s="10">
        <v>45602</v>
      </c>
      <c r="E241" s="13" t="str">
        <f>+HYPERLINK("http://trademark.i-assist.jp/data/china/image_1910th/78654059A.pdf","78654059A")</f>
        <v>78654059A</v>
      </c>
      <c r="F241" s="11" t="s">
        <v>19</v>
      </c>
      <c r="G241" s="9" t="s">
        <v>854</v>
      </c>
      <c r="H241" s="9" t="s">
        <v>855</v>
      </c>
      <c r="I241" s="10">
        <v>45429</v>
      </c>
    </row>
    <row r="242" spans="1:9" x14ac:dyDescent="0.15">
      <c r="A242" s="9">
        <v>241</v>
      </c>
      <c r="B242" s="9" t="s">
        <v>9</v>
      </c>
      <c r="C242" s="9">
        <v>1910</v>
      </c>
      <c r="D242" s="10">
        <v>45602</v>
      </c>
      <c r="E242" s="13" t="str">
        <f>+HYPERLINK("http://trademark.i-assist.jp/data/china/image_1910th/78660037.pdf","78660037")</f>
        <v>78660037</v>
      </c>
      <c r="F242" s="9" t="s">
        <v>856</v>
      </c>
      <c r="G242" s="9" t="s">
        <v>857</v>
      </c>
      <c r="H242" s="9" t="s">
        <v>858</v>
      </c>
      <c r="I242" s="10">
        <v>45429</v>
      </c>
    </row>
    <row r="243" spans="1:9" x14ac:dyDescent="0.15">
      <c r="A243" s="9">
        <v>242</v>
      </c>
      <c r="B243" s="9" t="s">
        <v>9</v>
      </c>
      <c r="C243" s="9">
        <v>1910</v>
      </c>
      <c r="D243" s="10">
        <v>45602</v>
      </c>
      <c r="E243" s="13" t="str">
        <f>+HYPERLINK("http://trademark.i-assist.jp/data/china/image_1910th/78670117.pdf","78670117")</f>
        <v>78670117</v>
      </c>
      <c r="F243" s="9" t="s">
        <v>859</v>
      </c>
      <c r="G243" s="9" t="s">
        <v>857</v>
      </c>
      <c r="H243" s="11" t="s">
        <v>860</v>
      </c>
      <c r="I243" s="10">
        <v>45429</v>
      </c>
    </row>
    <row r="244" spans="1:9" x14ac:dyDescent="0.15">
      <c r="A244" s="9">
        <v>243</v>
      </c>
      <c r="B244" s="9" t="s">
        <v>9</v>
      </c>
      <c r="C244" s="9">
        <v>1910</v>
      </c>
      <c r="D244" s="10">
        <v>45602</v>
      </c>
      <c r="E244" s="13" t="str">
        <f>+HYPERLINK("http://trademark.i-assist.jp/data/china/image_1910th/78671555.pdf","78671555")</f>
        <v>78671555</v>
      </c>
      <c r="F244" s="11" t="s">
        <v>861</v>
      </c>
      <c r="G244" s="9" t="s">
        <v>862</v>
      </c>
      <c r="H244" s="9" t="s">
        <v>863</v>
      </c>
      <c r="I244" s="10">
        <v>45429</v>
      </c>
    </row>
    <row r="245" spans="1:9" x14ac:dyDescent="0.15">
      <c r="A245" s="9">
        <v>244</v>
      </c>
      <c r="B245" s="9" t="s">
        <v>9</v>
      </c>
      <c r="C245" s="9">
        <v>1910</v>
      </c>
      <c r="D245" s="10">
        <v>45602</v>
      </c>
      <c r="E245" s="13" t="str">
        <f>+HYPERLINK("http://trademark.i-assist.jp/data/china/image_1910th/78684462.pdf","78684462")</f>
        <v>78684462</v>
      </c>
      <c r="F245" s="9" t="s">
        <v>864</v>
      </c>
      <c r="G245" s="9" t="s">
        <v>865</v>
      </c>
      <c r="H245" s="9" t="s">
        <v>866</v>
      </c>
      <c r="I245" s="10">
        <v>45430</v>
      </c>
    </row>
    <row r="246" spans="1:9" x14ac:dyDescent="0.15">
      <c r="A246" s="9">
        <v>245</v>
      </c>
      <c r="B246" s="9" t="s">
        <v>9</v>
      </c>
      <c r="C246" s="9">
        <v>1910</v>
      </c>
      <c r="D246" s="10">
        <v>45602</v>
      </c>
      <c r="E246" s="13" t="str">
        <f>+HYPERLINK("http://trademark.i-assist.jp/data/china/image_1910th/78704518.pdf","78704518")</f>
        <v>78704518</v>
      </c>
      <c r="F246" s="9" t="s">
        <v>867</v>
      </c>
      <c r="G246" s="9" t="s">
        <v>868</v>
      </c>
      <c r="H246" s="9" t="s">
        <v>869</v>
      </c>
      <c r="I246" s="10">
        <v>45432</v>
      </c>
    </row>
    <row r="247" spans="1:9" x14ac:dyDescent="0.15">
      <c r="A247" s="9">
        <v>246</v>
      </c>
      <c r="B247" s="9" t="s">
        <v>9</v>
      </c>
      <c r="C247" s="9">
        <v>1910</v>
      </c>
      <c r="D247" s="10">
        <v>45602</v>
      </c>
      <c r="E247" s="13" t="str">
        <f>+HYPERLINK("http://trademark.i-assist.jp/data/china/image_1910th/78707137.pdf","78707137")</f>
        <v>78707137</v>
      </c>
      <c r="F247" s="11" t="s">
        <v>19</v>
      </c>
      <c r="G247" s="9" t="s">
        <v>870</v>
      </c>
      <c r="H247" s="9" t="s">
        <v>871</v>
      </c>
      <c r="I247" s="10">
        <v>45432</v>
      </c>
    </row>
    <row r="248" spans="1:9" x14ac:dyDescent="0.15">
      <c r="A248" s="9">
        <v>247</v>
      </c>
      <c r="B248" s="9" t="s">
        <v>9</v>
      </c>
      <c r="C248" s="9">
        <v>1910</v>
      </c>
      <c r="D248" s="10">
        <v>45602</v>
      </c>
      <c r="E248" s="13" t="str">
        <f>+HYPERLINK("http://trademark.i-assist.jp/data/china/image_1910th/78721130.pdf","78721130")</f>
        <v>78721130</v>
      </c>
      <c r="F248" s="9" t="s">
        <v>872</v>
      </c>
      <c r="G248" s="9" t="s">
        <v>873</v>
      </c>
      <c r="H248" s="9" t="s">
        <v>874</v>
      </c>
      <c r="I248" s="10">
        <v>45433</v>
      </c>
    </row>
    <row r="249" spans="1:9" x14ac:dyDescent="0.15">
      <c r="A249" s="9">
        <v>248</v>
      </c>
      <c r="B249" s="9" t="s">
        <v>9</v>
      </c>
      <c r="C249" s="9">
        <v>1910</v>
      </c>
      <c r="D249" s="10">
        <v>45602</v>
      </c>
      <c r="E249" s="13" t="str">
        <f>+HYPERLINK("http://trademark.i-assist.jp/data/china/image_1910th/78727563.pdf","78727563")</f>
        <v>78727563</v>
      </c>
      <c r="F249" s="9" t="s">
        <v>875</v>
      </c>
      <c r="G249" s="11" t="s">
        <v>876</v>
      </c>
      <c r="H249" s="9" t="s">
        <v>877</v>
      </c>
      <c r="I249" s="10">
        <v>45433</v>
      </c>
    </row>
    <row r="250" spans="1:9" x14ac:dyDescent="0.15">
      <c r="A250" s="9">
        <v>249</v>
      </c>
      <c r="B250" s="9" t="s">
        <v>9</v>
      </c>
      <c r="C250" s="9">
        <v>1910</v>
      </c>
      <c r="D250" s="10">
        <v>45602</v>
      </c>
      <c r="E250" s="13" t="str">
        <f>+HYPERLINK("http://trademark.i-assist.jp/data/china/image_1910th/78749699.pdf","78749699")</f>
        <v>78749699</v>
      </c>
      <c r="F250" s="11" t="s">
        <v>878</v>
      </c>
      <c r="G250" s="9" t="s">
        <v>879</v>
      </c>
      <c r="H250" s="9" t="s">
        <v>880</v>
      </c>
      <c r="I250" s="10">
        <v>45434</v>
      </c>
    </row>
    <row r="251" spans="1:9" x14ac:dyDescent="0.15">
      <c r="A251" s="9">
        <v>250</v>
      </c>
      <c r="B251" s="9" t="s">
        <v>9</v>
      </c>
      <c r="C251" s="9">
        <v>1910</v>
      </c>
      <c r="D251" s="10">
        <v>45602</v>
      </c>
      <c r="E251" s="13" t="str">
        <f>+HYPERLINK("http://trademark.i-assist.jp/data/china/image_1910th/78796653.pdf","78796653")</f>
        <v>78796653</v>
      </c>
      <c r="F251" s="11" t="s">
        <v>881</v>
      </c>
      <c r="G251" s="9" t="s">
        <v>882</v>
      </c>
      <c r="H251" s="9" t="s">
        <v>883</v>
      </c>
      <c r="I251" s="10">
        <v>45435</v>
      </c>
    </row>
    <row r="252" spans="1:9" x14ac:dyDescent="0.15">
      <c r="A252" s="9">
        <v>251</v>
      </c>
      <c r="B252" s="9" t="s">
        <v>9</v>
      </c>
      <c r="C252" s="9">
        <v>1910</v>
      </c>
      <c r="D252" s="10">
        <v>45602</v>
      </c>
      <c r="E252" s="13" t="str">
        <f>+HYPERLINK("http://trademark.i-assist.jp/data/china/image_1910th/78827383.pdf","78827383")</f>
        <v>78827383</v>
      </c>
      <c r="F252" s="9" t="s">
        <v>884</v>
      </c>
      <c r="G252" s="9" t="s">
        <v>885</v>
      </c>
      <c r="H252" s="9" t="s">
        <v>886</v>
      </c>
      <c r="I252" s="10">
        <v>45436</v>
      </c>
    </row>
    <row r="253" spans="1:9" x14ac:dyDescent="0.15">
      <c r="A253" s="9">
        <v>252</v>
      </c>
      <c r="B253" s="9" t="s">
        <v>9</v>
      </c>
      <c r="C253" s="9">
        <v>1910</v>
      </c>
      <c r="D253" s="10">
        <v>45602</v>
      </c>
      <c r="E253" s="13" t="str">
        <f>+HYPERLINK("http://trademark.i-assist.jp/data/china/image_1910th/78830877.pdf","78830877")</f>
        <v>78830877</v>
      </c>
      <c r="F253" s="11" t="s">
        <v>887</v>
      </c>
      <c r="G253" s="9" t="s">
        <v>888</v>
      </c>
      <c r="H253" s="11" t="s">
        <v>889</v>
      </c>
      <c r="I253" s="10">
        <v>45437</v>
      </c>
    </row>
    <row r="254" spans="1:9" x14ac:dyDescent="0.15">
      <c r="A254" s="9">
        <v>253</v>
      </c>
      <c r="B254" s="9" t="s">
        <v>9</v>
      </c>
      <c r="C254" s="9">
        <v>1910</v>
      </c>
      <c r="D254" s="10">
        <v>45602</v>
      </c>
      <c r="E254" s="13" t="str">
        <f>+HYPERLINK("http://trademark.i-assist.jp/data/china/image_1910th/78838693.pdf","78838693")</f>
        <v>78838693</v>
      </c>
      <c r="F254" s="9" t="s">
        <v>890</v>
      </c>
      <c r="G254" s="9" t="s">
        <v>891</v>
      </c>
      <c r="H254" s="9" t="s">
        <v>892</v>
      </c>
      <c r="I254" s="10">
        <v>45439</v>
      </c>
    </row>
    <row r="255" spans="1:9" x14ac:dyDescent="0.15">
      <c r="A255" s="9">
        <v>254</v>
      </c>
      <c r="B255" s="9" t="s">
        <v>9</v>
      </c>
      <c r="C255" s="9">
        <v>1910</v>
      </c>
      <c r="D255" s="10">
        <v>45602</v>
      </c>
      <c r="E255" s="13" t="str">
        <f>+HYPERLINK("http://trademark.i-assist.jp/data/china/image_1910th/78863313.pdf","78863313")</f>
        <v>78863313</v>
      </c>
      <c r="F255" s="9" t="s">
        <v>890</v>
      </c>
      <c r="G255" s="9" t="s">
        <v>891</v>
      </c>
      <c r="H255" s="9" t="s">
        <v>893</v>
      </c>
      <c r="I255" s="10">
        <v>45439</v>
      </c>
    </row>
    <row r="256" spans="1:9" x14ac:dyDescent="0.15">
      <c r="A256" s="9">
        <v>255</v>
      </c>
      <c r="B256" s="9" t="s">
        <v>9</v>
      </c>
      <c r="C256" s="9">
        <v>1910</v>
      </c>
      <c r="D256" s="10">
        <v>45602</v>
      </c>
      <c r="E256" s="13" t="str">
        <f>+HYPERLINK("http://trademark.i-assist.jp/data/china/image_1910th/78864845.pdf","78864845")</f>
        <v>78864845</v>
      </c>
      <c r="F256" s="9" t="s">
        <v>894</v>
      </c>
      <c r="G256" s="9" t="s">
        <v>895</v>
      </c>
      <c r="H256" s="9" t="s">
        <v>896</v>
      </c>
      <c r="I256" s="10">
        <v>45439</v>
      </c>
    </row>
    <row r="257" spans="1:9" x14ac:dyDescent="0.15">
      <c r="A257" s="9">
        <v>256</v>
      </c>
      <c r="B257" s="9" t="s">
        <v>9</v>
      </c>
      <c r="C257" s="9">
        <v>1910</v>
      </c>
      <c r="D257" s="10">
        <v>45602</v>
      </c>
      <c r="E257" s="13" t="str">
        <f>+HYPERLINK("http://trademark.i-assist.jp/data/china/image_1910th/78975721.pdf","78975721")</f>
        <v>78975721</v>
      </c>
      <c r="F257" s="9" t="s">
        <v>897</v>
      </c>
      <c r="G257" s="9" t="s">
        <v>898</v>
      </c>
      <c r="H257" s="9" t="s">
        <v>899</v>
      </c>
      <c r="I257" s="10">
        <v>45443</v>
      </c>
    </row>
    <row r="258" spans="1:9" x14ac:dyDescent="0.15">
      <c r="A258" s="9">
        <v>257</v>
      </c>
      <c r="B258" s="9" t="s">
        <v>9</v>
      </c>
      <c r="C258" s="9">
        <v>1910</v>
      </c>
      <c r="D258" s="10">
        <v>45602</v>
      </c>
      <c r="E258" s="13" t="str">
        <f>+HYPERLINK("http://trademark.i-assist.jp/data/china/image_1910th/78976288.pdf","78976288")</f>
        <v>78976288</v>
      </c>
      <c r="F258" s="11" t="s">
        <v>900</v>
      </c>
      <c r="G258" s="11" t="s">
        <v>901</v>
      </c>
      <c r="H258" s="11" t="s">
        <v>902</v>
      </c>
      <c r="I258" s="10">
        <v>45443</v>
      </c>
    </row>
    <row r="259" spans="1:9" x14ac:dyDescent="0.15">
      <c r="A259" s="9">
        <v>258</v>
      </c>
      <c r="B259" s="9" t="s">
        <v>9</v>
      </c>
      <c r="C259" s="9">
        <v>1910</v>
      </c>
      <c r="D259" s="10">
        <v>45602</v>
      </c>
      <c r="E259" s="13" t="str">
        <f>+HYPERLINK("http://trademark.i-assist.jp/data/china/image_1910th/79004408.pdf","79004408")</f>
        <v>79004408</v>
      </c>
      <c r="F259" s="9" t="s">
        <v>903</v>
      </c>
      <c r="G259" s="9" t="s">
        <v>904</v>
      </c>
      <c r="H259" s="9" t="s">
        <v>905</v>
      </c>
      <c r="I259" s="10">
        <v>45446</v>
      </c>
    </row>
    <row r="260" spans="1:9" x14ac:dyDescent="0.15">
      <c r="A260" s="9">
        <v>259</v>
      </c>
      <c r="B260" s="9" t="s">
        <v>9</v>
      </c>
      <c r="C260" s="9">
        <v>1910</v>
      </c>
      <c r="D260" s="10">
        <v>45602</v>
      </c>
      <c r="E260" s="13" t="str">
        <f>+HYPERLINK("http://trademark.i-assist.jp/data/china/image_1910th/79033178.pdf","79033178")</f>
        <v>79033178</v>
      </c>
      <c r="F260" s="12" t="s">
        <v>906</v>
      </c>
      <c r="G260" s="9" t="s">
        <v>907</v>
      </c>
      <c r="H260" s="9" t="s">
        <v>908</v>
      </c>
      <c r="I260" s="10">
        <v>45447</v>
      </c>
    </row>
    <row r="261" spans="1:9" x14ac:dyDescent="0.15">
      <c r="A261" s="9">
        <v>260</v>
      </c>
      <c r="B261" s="9" t="s">
        <v>9</v>
      </c>
      <c r="C261" s="9">
        <v>1910</v>
      </c>
      <c r="D261" s="10">
        <v>45602</v>
      </c>
      <c r="E261" s="13" t="str">
        <f>+HYPERLINK("http://trademark.i-assist.jp/data/china/image_1910th/79047978.pdf","79047978")</f>
        <v>79047978</v>
      </c>
      <c r="F261" s="9" t="s">
        <v>909</v>
      </c>
      <c r="G261" s="9" t="s">
        <v>910</v>
      </c>
      <c r="H261" s="9" t="s">
        <v>911</v>
      </c>
      <c r="I261" s="10">
        <v>45448</v>
      </c>
    </row>
    <row r="262" spans="1:9" x14ac:dyDescent="0.15">
      <c r="A262" s="9">
        <v>261</v>
      </c>
      <c r="B262" s="9" t="s">
        <v>9</v>
      </c>
      <c r="C262" s="9">
        <v>1910</v>
      </c>
      <c r="D262" s="10">
        <v>45602</v>
      </c>
      <c r="E262" s="13" t="str">
        <f>+HYPERLINK("http://trademark.i-assist.jp/data/china/image_1910th/79061450.pdf","79061450")</f>
        <v>79061450</v>
      </c>
      <c r="F262" s="9" t="s">
        <v>912</v>
      </c>
      <c r="G262" s="9" t="s">
        <v>27</v>
      </c>
      <c r="H262" s="11" t="s">
        <v>913</v>
      </c>
      <c r="I262" s="10">
        <v>45448</v>
      </c>
    </row>
    <row r="263" spans="1:9" x14ac:dyDescent="0.15">
      <c r="A263" s="9">
        <v>262</v>
      </c>
      <c r="B263" s="9" t="s">
        <v>9</v>
      </c>
      <c r="C263" s="9">
        <v>1910</v>
      </c>
      <c r="D263" s="10">
        <v>45602</v>
      </c>
      <c r="E263" s="13" t="str">
        <f>+HYPERLINK("http://trademark.i-assist.jp/data/china/image_1910th/79074662.pdf","79074662")</f>
        <v>79074662</v>
      </c>
      <c r="F263" s="9" t="s">
        <v>914</v>
      </c>
      <c r="G263" s="9" t="s">
        <v>915</v>
      </c>
      <c r="H263" s="9" t="s">
        <v>916</v>
      </c>
      <c r="I263" s="10">
        <v>45449</v>
      </c>
    </row>
    <row r="264" spans="1:9" x14ac:dyDescent="0.15">
      <c r="A264" s="9">
        <v>263</v>
      </c>
      <c r="B264" s="9" t="s">
        <v>9</v>
      </c>
      <c r="C264" s="9">
        <v>1910</v>
      </c>
      <c r="D264" s="10">
        <v>45602</v>
      </c>
      <c r="E264" s="13" t="str">
        <f>+HYPERLINK("http://trademark.i-assist.jp/data/china/image_1910th/79075945.pdf","79075945")</f>
        <v>79075945</v>
      </c>
      <c r="F264" s="9" t="s">
        <v>917</v>
      </c>
      <c r="G264" s="9" t="s">
        <v>918</v>
      </c>
      <c r="H264" s="9" t="s">
        <v>919</v>
      </c>
      <c r="I264" s="10">
        <v>45449</v>
      </c>
    </row>
    <row r="265" spans="1:9" x14ac:dyDescent="0.15">
      <c r="A265" s="9">
        <v>264</v>
      </c>
      <c r="B265" s="9" t="s">
        <v>9</v>
      </c>
      <c r="C265" s="9">
        <v>1910</v>
      </c>
      <c r="D265" s="10">
        <v>45602</v>
      </c>
      <c r="E265" s="13" t="str">
        <f>+HYPERLINK("http://trademark.i-assist.jp/data/china/image_1910th/79078582.pdf","79078582")</f>
        <v>79078582</v>
      </c>
      <c r="F265" s="9" t="s">
        <v>920</v>
      </c>
      <c r="G265" s="11" t="s">
        <v>921</v>
      </c>
      <c r="H265" s="9" t="s">
        <v>922</v>
      </c>
      <c r="I265" s="10">
        <v>45449</v>
      </c>
    </row>
    <row r="266" spans="1:9" x14ac:dyDescent="0.15">
      <c r="A266" s="9">
        <v>265</v>
      </c>
      <c r="B266" s="9" t="s">
        <v>9</v>
      </c>
      <c r="C266" s="9">
        <v>1910</v>
      </c>
      <c r="D266" s="10">
        <v>45602</v>
      </c>
      <c r="E266" s="13" t="str">
        <f>+HYPERLINK("http://trademark.i-assist.jp/data/china/image_1910th/79085033.pdf","79085033")</f>
        <v>79085033</v>
      </c>
      <c r="F266" s="9" t="s">
        <v>923</v>
      </c>
      <c r="G266" s="9" t="s">
        <v>915</v>
      </c>
      <c r="H266" s="9" t="s">
        <v>924</v>
      </c>
      <c r="I266" s="10">
        <v>45449</v>
      </c>
    </row>
    <row r="267" spans="1:9" x14ac:dyDescent="0.15">
      <c r="A267" s="9">
        <v>266</v>
      </c>
      <c r="B267" s="9" t="s">
        <v>9</v>
      </c>
      <c r="C267" s="9">
        <v>1910</v>
      </c>
      <c r="D267" s="10">
        <v>45602</v>
      </c>
      <c r="E267" s="13" t="str">
        <f>+HYPERLINK("http://trademark.i-assist.jp/data/china/image_1910th/79098029.pdf","79098029")</f>
        <v>79098029</v>
      </c>
      <c r="F267" s="9" t="s">
        <v>925</v>
      </c>
      <c r="G267" s="9" t="s">
        <v>926</v>
      </c>
      <c r="H267" s="11" t="s">
        <v>927</v>
      </c>
      <c r="I267" s="10">
        <v>45450</v>
      </c>
    </row>
    <row r="268" spans="1:9" x14ac:dyDescent="0.15">
      <c r="A268" s="9">
        <v>267</v>
      </c>
      <c r="B268" s="9" t="s">
        <v>9</v>
      </c>
      <c r="C268" s="9">
        <v>1910</v>
      </c>
      <c r="D268" s="10">
        <v>45602</v>
      </c>
      <c r="E268" s="13" t="str">
        <f>+HYPERLINK("http://trademark.i-assist.jp/data/china/image_1910th/79099131.pdf","79099131")</f>
        <v>79099131</v>
      </c>
      <c r="F268" s="9" t="s">
        <v>928</v>
      </c>
      <c r="G268" s="11" t="s">
        <v>929</v>
      </c>
      <c r="H268" s="11" t="s">
        <v>930</v>
      </c>
      <c r="I268" s="10">
        <v>45450</v>
      </c>
    </row>
    <row r="269" spans="1:9" x14ac:dyDescent="0.15">
      <c r="A269" s="9">
        <v>268</v>
      </c>
      <c r="B269" s="9" t="s">
        <v>9</v>
      </c>
      <c r="C269" s="9">
        <v>1910</v>
      </c>
      <c r="D269" s="10">
        <v>45602</v>
      </c>
      <c r="E269" s="13" t="str">
        <f>+HYPERLINK("http://trademark.i-assist.jp/data/china/image_1910th/79099878.pdf","79099878")</f>
        <v>79099878</v>
      </c>
      <c r="F269" s="11" t="s">
        <v>931</v>
      </c>
      <c r="G269" s="9" t="s">
        <v>932</v>
      </c>
      <c r="H269" s="9" t="s">
        <v>933</v>
      </c>
      <c r="I269" s="10">
        <v>45450</v>
      </c>
    </row>
    <row r="270" spans="1:9" x14ac:dyDescent="0.15">
      <c r="A270" s="9">
        <v>269</v>
      </c>
      <c r="B270" s="9" t="s">
        <v>9</v>
      </c>
      <c r="C270" s="9">
        <v>1910</v>
      </c>
      <c r="D270" s="10">
        <v>45602</v>
      </c>
      <c r="E270" s="13" t="str">
        <f>+HYPERLINK("http://trademark.i-assist.jp/data/china/image_1910th/79105003.pdf","79105003")</f>
        <v>79105003</v>
      </c>
      <c r="F270" s="9" t="s">
        <v>934</v>
      </c>
      <c r="G270" s="9" t="s">
        <v>24</v>
      </c>
      <c r="H270" s="9" t="s">
        <v>935</v>
      </c>
      <c r="I270" s="10">
        <v>45450</v>
      </c>
    </row>
    <row r="271" spans="1:9" x14ac:dyDescent="0.15">
      <c r="A271" s="9">
        <v>270</v>
      </c>
      <c r="B271" s="9" t="s">
        <v>9</v>
      </c>
      <c r="C271" s="9">
        <v>1910</v>
      </c>
      <c r="D271" s="10">
        <v>45602</v>
      </c>
      <c r="E271" s="13" t="str">
        <f>+HYPERLINK("http://trademark.i-assist.jp/data/china/image_1910th/79106161.pdf","79106161")</f>
        <v>79106161</v>
      </c>
      <c r="F271" s="11" t="s">
        <v>936</v>
      </c>
      <c r="G271" s="9" t="s">
        <v>24</v>
      </c>
      <c r="H271" s="9" t="s">
        <v>937</v>
      </c>
      <c r="I271" s="10">
        <v>45450</v>
      </c>
    </row>
    <row r="272" spans="1:9" x14ac:dyDescent="0.15">
      <c r="A272" s="9">
        <v>271</v>
      </c>
      <c r="B272" s="9" t="s">
        <v>9</v>
      </c>
      <c r="C272" s="9">
        <v>1910</v>
      </c>
      <c r="D272" s="10">
        <v>45602</v>
      </c>
      <c r="E272" s="13" t="str">
        <f>+HYPERLINK("http://trademark.i-assist.jp/data/china/image_1910th/79108702.pdf","79108702")</f>
        <v>79108702</v>
      </c>
      <c r="F272" s="11" t="s">
        <v>938</v>
      </c>
      <c r="G272" s="9" t="s">
        <v>24</v>
      </c>
      <c r="H272" s="11" t="s">
        <v>939</v>
      </c>
      <c r="I272" s="10">
        <v>45450</v>
      </c>
    </row>
    <row r="273" spans="1:9" x14ac:dyDescent="0.15">
      <c r="A273" s="9">
        <v>272</v>
      </c>
      <c r="B273" s="9" t="s">
        <v>9</v>
      </c>
      <c r="C273" s="9">
        <v>1910</v>
      </c>
      <c r="D273" s="10">
        <v>45602</v>
      </c>
      <c r="E273" s="13" t="str">
        <f>+HYPERLINK("http://trademark.i-assist.jp/data/china/image_1910th/79119939.pdf","79119939")</f>
        <v>79119939</v>
      </c>
      <c r="F273" s="9" t="s">
        <v>940</v>
      </c>
      <c r="G273" s="9" t="s">
        <v>24</v>
      </c>
      <c r="H273" s="9" t="s">
        <v>941</v>
      </c>
      <c r="I273" s="10">
        <v>45451</v>
      </c>
    </row>
    <row r="274" spans="1:9" x14ac:dyDescent="0.15">
      <c r="A274" s="9">
        <v>273</v>
      </c>
      <c r="B274" s="9" t="s">
        <v>9</v>
      </c>
      <c r="C274" s="9">
        <v>1910</v>
      </c>
      <c r="D274" s="10">
        <v>45602</v>
      </c>
      <c r="E274" s="13" t="str">
        <f>+HYPERLINK("http://trademark.i-assist.jp/data/china/image_1910th/79120046.pdf","79120046")</f>
        <v>79120046</v>
      </c>
      <c r="F274" s="9" t="s">
        <v>942</v>
      </c>
      <c r="G274" s="9" t="s">
        <v>943</v>
      </c>
      <c r="H274" s="9" t="s">
        <v>944</v>
      </c>
      <c r="I274" s="10">
        <v>45451</v>
      </c>
    </row>
    <row r="275" spans="1:9" x14ac:dyDescent="0.15">
      <c r="A275" s="9">
        <v>274</v>
      </c>
      <c r="B275" s="9" t="s">
        <v>9</v>
      </c>
      <c r="C275" s="9">
        <v>1910</v>
      </c>
      <c r="D275" s="10">
        <v>45602</v>
      </c>
      <c r="E275" s="13" t="str">
        <f>+HYPERLINK("http://trademark.i-assist.jp/data/china/image_1910th/79122213.pdf","79122213")</f>
        <v>79122213</v>
      </c>
      <c r="F275" s="9" t="s">
        <v>945</v>
      </c>
      <c r="G275" s="9" t="s">
        <v>24</v>
      </c>
      <c r="H275" s="9" t="s">
        <v>946</v>
      </c>
      <c r="I275" s="10">
        <v>45451</v>
      </c>
    </row>
    <row r="276" spans="1:9" x14ac:dyDescent="0.15">
      <c r="A276" s="9">
        <v>275</v>
      </c>
      <c r="B276" s="9" t="s">
        <v>9</v>
      </c>
      <c r="C276" s="9">
        <v>1910</v>
      </c>
      <c r="D276" s="10">
        <v>45602</v>
      </c>
      <c r="E276" s="13" t="str">
        <f>+HYPERLINK("http://trademark.i-assist.jp/data/china/image_1910th/79128785.pdf","79128785")</f>
        <v>79128785</v>
      </c>
      <c r="F276" s="9" t="s">
        <v>947</v>
      </c>
      <c r="G276" s="9" t="s">
        <v>948</v>
      </c>
      <c r="H276" s="9" t="s">
        <v>949</v>
      </c>
      <c r="I276" s="10">
        <v>45454</v>
      </c>
    </row>
    <row r="277" spans="1:9" x14ac:dyDescent="0.15">
      <c r="A277" s="9">
        <v>276</v>
      </c>
      <c r="B277" s="9" t="s">
        <v>9</v>
      </c>
      <c r="C277" s="9">
        <v>1910</v>
      </c>
      <c r="D277" s="10">
        <v>45602</v>
      </c>
      <c r="E277" s="13" t="str">
        <f>+HYPERLINK("http://trademark.i-assist.jp/data/china/image_1910th/79140857.pdf","79140857")</f>
        <v>79140857</v>
      </c>
      <c r="F277" s="9" t="s">
        <v>950</v>
      </c>
      <c r="G277" s="9" t="s">
        <v>951</v>
      </c>
      <c r="H277" s="9" t="s">
        <v>952</v>
      </c>
      <c r="I277" s="10">
        <v>45454</v>
      </c>
    </row>
    <row r="278" spans="1:9" x14ac:dyDescent="0.15">
      <c r="A278" s="9">
        <v>277</v>
      </c>
      <c r="B278" s="9" t="s">
        <v>9</v>
      </c>
      <c r="C278" s="9">
        <v>1910</v>
      </c>
      <c r="D278" s="10">
        <v>45602</v>
      </c>
      <c r="E278" s="13" t="str">
        <f>+HYPERLINK("http://trademark.i-assist.jp/data/china/image_1910th/79153860.pdf","79153860")</f>
        <v>79153860</v>
      </c>
      <c r="F278" s="11" t="s">
        <v>953</v>
      </c>
      <c r="G278" s="9" t="s">
        <v>954</v>
      </c>
      <c r="H278" s="9" t="s">
        <v>955</v>
      </c>
      <c r="I278" s="10">
        <v>45455</v>
      </c>
    </row>
    <row r="279" spans="1:9" x14ac:dyDescent="0.15">
      <c r="A279" s="9">
        <v>278</v>
      </c>
      <c r="B279" s="9" t="s">
        <v>9</v>
      </c>
      <c r="C279" s="9">
        <v>1910</v>
      </c>
      <c r="D279" s="10">
        <v>45602</v>
      </c>
      <c r="E279" s="13" t="str">
        <f>+HYPERLINK("http://trademark.i-assist.jp/data/china/image_1910th/79158630.pdf","79158630")</f>
        <v>79158630</v>
      </c>
      <c r="F279" s="11" t="s">
        <v>956</v>
      </c>
      <c r="G279" s="11" t="s">
        <v>957</v>
      </c>
      <c r="H279" s="9" t="s">
        <v>958</v>
      </c>
      <c r="I279" s="10">
        <v>45455</v>
      </c>
    </row>
    <row r="280" spans="1:9" x14ac:dyDescent="0.15">
      <c r="A280" s="9">
        <v>279</v>
      </c>
      <c r="B280" s="9" t="s">
        <v>9</v>
      </c>
      <c r="C280" s="9">
        <v>1910</v>
      </c>
      <c r="D280" s="10">
        <v>45602</v>
      </c>
      <c r="E280" s="13" t="str">
        <f>+HYPERLINK("http://trademark.i-assist.jp/data/china/image_1910th/79161824.pdf","79161824")</f>
        <v>79161824</v>
      </c>
      <c r="F280" s="9" t="s">
        <v>959</v>
      </c>
      <c r="G280" s="9" t="s">
        <v>960</v>
      </c>
      <c r="H280" s="9" t="s">
        <v>961</v>
      </c>
      <c r="I280" s="10">
        <v>45455</v>
      </c>
    </row>
    <row r="281" spans="1:9" x14ac:dyDescent="0.15">
      <c r="A281" s="9">
        <v>280</v>
      </c>
      <c r="B281" s="9" t="s">
        <v>9</v>
      </c>
      <c r="C281" s="9">
        <v>1910</v>
      </c>
      <c r="D281" s="10">
        <v>45602</v>
      </c>
      <c r="E281" s="13" t="str">
        <f>+HYPERLINK("http://trademark.i-assist.jp/data/china/image_1910th/79163976.pdf","79163976")</f>
        <v>79163976</v>
      </c>
      <c r="F281" s="9" t="s">
        <v>962</v>
      </c>
      <c r="G281" s="11" t="s">
        <v>963</v>
      </c>
      <c r="H281" s="9" t="s">
        <v>964</v>
      </c>
      <c r="I281" s="10">
        <v>45455</v>
      </c>
    </row>
    <row r="282" spans="1:9" x14ac:dyDescent="0.15">
      <c r="A282" s="9">
        <v>281</v>
      </c>
      <c r="B282" s="9" t="s">
        <v>9</v>
      </c>
      <c r="C282" s="9">
        <v>1910</v>
      </c>
      <c r="D282" s="10">
        <v>45602</v>
      </c>
      <c r="E282" s="13" t="str">
        <f>+HYPERLINK("http://trademark.i-assist.jp/data/china/image_1910th/79171230.pdf","79171230")</f>
        <v>79171230</v>
      </c>
      <c r="F282" s="11" t="s">
        <v>965</v>
      </c>
      <c r="G282" s="9" t="s">
        <v>966</v>
      </c>
      <c r="H282" s="9" t="s">
        <v>967</v>
      </c>
      <c r="I282" s="10">
        <v>45455</v>
      </c>
    </row>
    <row r="283" spans="1:9" x14ac:dyDescent="0.15">
      <c r="A283" s="9">
        <v>282</v>
      </c>
      <c r="B283" s="9" t="s">
        <v>9</v>
      </c>
      <c r="C283" s="9">
        <v>1910</v>
      </c>
      <c r="D283" s="10">
        <v>45602</v>
      </c>
      <c r="E283" s="13" t="str">
        <f>+HYPERLINK("http://trademark.i-assist.jp/data/china/image_1910th/79183308.pdf","79183308")</f>
        <v>79183308</v>
      </c>
      <c r="F283" s="9" t="s">
        <v>968</v>
      </c>
      <c r="G283" s="9" t="s">
        <v>969</v>
      </c>
      <c r="H283" s="9" t="s">
        <v>970</v>
      </c>
      <c r="I283" s="10">
        <v>45456</v>
      </c>
    </row>
    <row r="284" spans="1:9" x14ac:dyDescent="0.15">
      <c r="A284" s="9">
        <v>283</v>
      </c>
      <c r="B284" s="9" t="s">
        <v>9</v>
      </c>
      <c r="C284" s="9">
        <v>1910</v>
      </c>
      <c r="D284" s="10">
        <v>45602</v>
      </c>
      <c r="E284" s="13" t="str">
        <f>+HYPERLINK("http://trademark.i-assist.jp/data/china/image_1910th/79196214.pdf","79196214")</f>
        <v>79196214</v>
      </c>
      <c r="F284" s="9" t="s">
        <v>971</v>
      </c>
      <c r="G284" s="9" t="s">
        <v>972</v>
      </c>
      <c r="H284" s="9" t="s">
        <v>973</v>
      </c>
      <c r="I284" s="10">
        <v>45456</v>
      </c>
    </row>
    <row r="285" spans="1:9" x14ac:dyDescent="0.15">
      <c r="A285" s="9">
        <v>284</v>
      </c>
      <c r="B285" s="9" t="s">
        <v>9</v>
      </c>
      <c r="C285" s="9">
        <v>1910</v>
      </c>
      <c r="D285" s="10">
        <v>45602</v>
      </c>
      <c r="E285" s="13" t="str">
        <f>+HYPERLINK("http://trademark.i-assist.jp/data/china/image_1910th/79198219A.pdf","79198219A")</f>
        <v>79198219A</v>
      </c>
      <c r="F285" s="9" t="s">
        <v>974</v>
      </c>
      <c r="G285" s="9" t="s">
        <v>975</v>
      </c>
      <c r="H285" s="9" t="s">
        <v>976</v>
      </c>
      <c r="I285" s="10">
        <v>45456</v>
      </c>
    </row>
    <row r="286" spans="1:9" x14ac:dyDescent="0.15">
      <c r="A286" s="9">
        <v>285</v>
      </c>
      <c r="B286" s="9" t="s">
        <v>9</v>
      </c>
      <c r="C286" s="9">
        <v>1910</v>
      </c>
      <c r="D286" s="10">
        <v>45602</v>
      </c>
      <c r="E286" s="13" t="str">
        <f>+HYPERLINK("http://trademark.i-assist.jp/data/china/image_1910th/79214985.pdf","79214985")</f>
        <v>79214985</v>
      </c>
      <c r="F286" s="11" t="s">
        <v>977</v>
      </c>
      <c r="G286" s="9" t="s">
        <v>978</v>
      </c>
      <c r="H286" s="9" t="s">
        <v>979</v>
      </c>
      <c r="I286" s="10">
        <v>45457</v>
      </c>
    </row>
    <row r="287" spans="1:9" x14ac:dyDescent="0.15">
      <c r="A287" s="9">
        <v>286</v>
      </c>
      <c r="B287" s="9" t="s">
        <v>9</v>
      </c>
      <c r="C287" s="9">
        <v>1910</v>
      </c>
      <c r="D287" s="10">
        <v>45602</v>
      </c>
      <c r="E287" s="13" t="str">
        <f>+HYPERLINK("http://trademark.i-assist.jp/data/china/image_1910th/79218283.pdf","79218283")</f>
        <v>79218283</v>
      </c>
      <c r="F287" s="9" t="s">
        <v>980</v>
      </c>
      <c r="G287" s="9" t="s">
        <v>981</v>
      </c>
      <c r="H287" s="9" t="s">
        <v>982</v>
      </c>
      <c r="I287" s="10">
        <v>45457</v>
      </c>
    </row>
    <row r="288" spans="1:9" x14ac:dyDescent="0.15">
      <c r="A288" s="9">
        <v>287</v>
      </c>
      <c r="B288" s="9" t="s">
        <v>9</v>
      </c>
      <c r="C288" s="9">
        <v>1910</v>
      </c>
      <c r="D288" s="10">
        <v>45602</v>
      </c>
      <c r="E288" s="13" t="str">
        <f>+HYPERLINK("http://trademark.i-assist.jp/data/china/image_1910th/79236353.pdf","79236353")</f>
        <v>79236353</v>
      </c>
      <c r="F288" s="9" t="s">
        <v>983</v>
      </c>
      <c r="G288" s="9" t="s">
        <v>984</v>
      </c>
      <c r="H288" s="9" t="s">
        <v>985</v>
      </c>
      <c r="I288" s="10">
        <v>45458</v>
      </c>
    </row>
    <row r="289" spans="1:9" x14ac:dyDescent="0.15">
      <c r="A289" s="9">
        <v>288</v>
      </c>
      <c r="B289" s="9" t="s">
        <v>9</v>
      </c>
      <c r="C289" s="9">
        <v>1910</v>
      </c>
      <c r="D289" s="10">
        <v>45602</v>
      </c>
      <c r="E289" s="13" t="str">
        <f>+HYPERLINK("http://trademark.i-assist.jp/data/china/image_1910th/79236954.pdf","79236954")</f>
        <v>79236954</v>
      </c>
      <c r="F289" s="9" t="s">
        <v>986</v>
      </c>
      <c r="G289" s="9" t="s">
        <v>987</v>
      </c>
      <c r="H289" s="9" t="s">
        <v>988</v>
      </c>
      <c r="I289" s="10">
        <v>45458</v>
      </c>
    </row>
    <row r="290" spans="1:9" x14ac:dyDescent="0.15">
      <c r="A290" s="9">
        <v>289</v>
      </c>
      <c r="B290" s="9" t="s">
        <v>9</v>
      </c>
      <c r="C290" s="9">
        <v>1910</v>
      </c>
      <c r="D290" s="10">
        <v>45602</v>
      </c>
      <c r="E290" s="13" t="str">
        <f>+HYPERLINK("http://trademark.i-assist.jp/data/china/image_1910th/79252767.pdf","79252767")</f>
        <v>79252767</v>
      </c>
      <c r="F290" s="9" t="s">
        <v>989</v>
      </c>
      <c r="G290" s="9" t="s">
        <v>990</v>
      </c>
      <c r="H290" s="9" t="s">
        <v>991</v>
      </c>
      <c r="I290" s="10">
        <v>45460</v>
      </c>
    </row>
    <row r="291" spans="1:9" x14ac:dyDescent="0.15">
      <c r="A291" s="9">
        <v>290</v>
      </c>
      <c r="B291" s="9" t="s">
        <v>9</v>
      </c>
      <c r="C291" s="9">
        <v>1910</v>
      </c>
      <c r="D291" s="10">
        <v>45602</v>
      </c>
      <c r="E291" s="13" t="str">
        <f>+HYPERLINK("http://trademark.i-assist.jp/data/china/image_1910th/79260834.pdf","79260834")</f>
        <v>79260834</v>
      </c>
      <c r="F291" s="9" t="s">
        <v>992</v>
      </c>
      <c r="G291" s="9" t="s">
        <v>993</v>
      </c>
      <c r="H291" s="9" t="s">
        <v>994</v>
      </c>
      <c r="I291" s="10">
        <v>45460</v>
      </c>
    </row>
    <row r="292" spans="1:9" x14ac:dyDescent="0.15">
      <c r="A292" s="9">
        <v>291</v>
      </c>
      <c r="B292" s="9" t="s">
        <v>9</v>
      </c>
      <c r="C292" s="9">
        <v>1910</v>
      </c>
      <c r="D292" s="10">
        <v>45602</v>
      </c>
      <c r="E292" s="13" t="str">
        <f>+HYPERLINK("http://trademark.i-assist.jp/data/china/image_1910th/79267385.pdf","79267385")</f>
        <v>79267385</v>
      </c>
      <c r="F292" s="11" t="s">
        <v>995</v>
      </c>
      <c r="G292" s="9" t="s">
        <v>996</v>
      </c>
      <c r="H292" s="9" t="s">
        <v>997</v>
      </c>
      <c r="I292" s="10">
        <v>45460</v>
      </c>
    </row>
    <row r="293" spans="1:9" x14ac:dyDescent="0.15">
      <c r="A293" s="9">
        <v>292</v>
      </c>
      <c r="B293" s="9" t="s">
        <v>9</v>
      </c>
      <c r="C293" s="9">
        <v>1910</v>
      </c>
      <c r="D293" s="10">
        <v>45602</v>
      </c>
      <c r="E293" s="13" t="str">
        <f>+HYPERLINK("http://trademark.i-assist.jp/data/china/image_1910th/79270729.pdf","79270729")</f>
        <v>79270729</v>
      </c>
      <c r="F293" s="9" t="s">
        <v>998</v>
      </c>
      <c r="G293" s="9" t="s">
        <v>999</v>
      </c>
      <c r="H293" s="9" t="s">
        <v>1000</v>
      </c>
      <c r="I293" s="10">
        <v>45461</v>
      </c>
    </row>
    <row r="294" spans="1:9" x14ac:dyDescent="0.15">
      <c r="A294" s="9">
        <v>293</v>
      </c>
      <c r="B294" s="9" t="s">
        <v>9</v>
      </c>
      <c r="C294" s="9">
        <v>1910</v>
      </c>
      <c r="D294" s="10">
        <v>45602</v>
      </c>
      <c r="E294" s="13" t="str">
        <f>+HYPERLINK("http://trademark.i-assist.jp/data/china/image_1910th/79278580.pdf","79278580")</f>
        <v>79278580</v>
      </c>
      <c r="F294" s="9" t="s">
        <v>1001</v>
      </c>
      <c r="G294" s="9" t="s">
        <v>1002</v>
      </c>
      <c r="H294" s="9" t="s">
        <v>1003</v>
      </c>
      <c r="I294" s="10">
        <v>45461</v>
      </c>
    </row>
    <row r="295" spans="1:9" x14ac:dyDescent="0.15">
      <c r="A295" s="9">
        <v>294</v>
      </c>
      <c r="B295" s="9" t="s">
        <v>9</v>
      </c>
      <c r="C295" s="9">
        <v>1910</v>
      </c>
      <c r="D295" s="10">
        <v>45602</v>
      </c>
      <c r="E295" s="13" t="str">
        <f>+HYPERLINK("http://trademark.i-assist.jp/data/china/image_1910th/79280387.pdf","79280387")</f>
        <v>79280387</v>
      </c>
      <c r="F295" s="9" t="s">
        <v>1004</v>
      </c>
      <c r="G295" s="11" t="s">
        <v>1005</v>
      </c>
      <c r="H295" s="9" t="s">
        <v>1006</v>
      </c>
      <c r="I295" s="10">
        <v>45461</v>
      </c>
    </row>
    <row r="296" spans="1:9" x14ac:dyDescent="0.15">
      <c r="A296" s="9">
        <v>295</v>
      </c>
      <c r="B296" s="9" t="s">
        <v>9</v>
      </c>
      <c r="C296" s="9">
        <v>1910</v>
      </c>
      <c r="D296" s="10">
        <v>45602</v>
      </c>
      <c r="E296" s="13" t="str">
        <f>+HYPERLINK("http://trademark.i-assist.jp/data/china/image_1910th/79298577.pdf","79298577")</f>
        <v>79298577</v>
      </c>
      <c r="F296" s="12" t="s">
        <v>1007</v>
      </c>
      <c r="G296" s="9" t="s">
        <v>1008</v>
      </c>
      <c r="H296" s="9" t="s">
        <v>1009</v>
      </c>
      <c r="I296" s="10">
        <v>45462</v>
      </c>
    </row>
    <row r="297" spans="1:9" x14ac:dyDescent="0.15">
      <c r="A297" s="9">
        <v>296</v>
      </c>
      <c r="B297" s="9" t="s">
        <v>9</v>
      </c>
      <c r="C297" s="9">
        <v>1910</v>
      </c>
      <c r="D297" s="10">
        <v>45602</v>
      </c>
      <c r="E297" s="13" t="str">
        <f>+HYPERLINK("http://trademark.i-assist.jp/data/china/image_1910th/79311432.pdf","79311432")</f>
        <v>79311432</v>
      </c>
      <c r="F297" s="9" t="s">
        <v>1010</v>
      </c>
      <c r="G297" s="9" t="s">
        <v>1011</v>
      </c>
      <c r="H297" s="9" t="s">
        <v>1012</v>
      </c>
      <c r="I297" s="10">
        <v>45462</v>
      </c>
    </row>
    <row r="298" spans="1:9" x14ac:dyDescent="0.15">
      <c r="A298" s="9">
        <v>297</v>
      </c>
      <c r="B298" s="9" t="s">
        <v>9</v>
      </c>
      <c r="C298" s="9">
        <v>1910</v>
      </c>
      <c r="D298" s="10">
        <v>45602</v>
      </c>
      <c r="E298" s="13" t="str">
        <f>+HYPERLINK("http://trademark.i-assist.jp/data/china/image_1910th/79324917.pdf","79324917")</f>
        <v>79324917</v>
      </c>
      <c r="F298" s="9" t="s">
        <v>1013</v>
      </c>
      <c r="G298" s="9" t="s">
        <v>1014</v>
      </c>
      <c r="H298" s="9" t="s">
        <v>1015</v>
      </c>
      <c r="I298" s="10">
        <v>45463</v>
      </c>
    </row>
    <row r="299" spans="1:9" x14ac:dyDescent="0.15">
      <c r="A299" s="9">
        <v>298</v>
      </c>
      <c r="B299" s="9" t="s">
        <v>9</v>
      </c>
      <c r="C299" s="9">
        <v>1910</v>
      </c>
      <c r="D299" s="10">
        <v>45602</v>
      </c>
      <c r="E299" s="13" t="str">
        <f>+HYPERLINK("http://trademark.i-assist.jp/data/china/image_1910th/79331105.pdf","79331105")</f>
        <v>79331105</v>
      </c>
      <c r="F299" s="9" t="s">
        <v>1016</v>
      </c>
      <c r="G299" s="9" t="s">
        <v>1017</v>
      </c>
      <c r="H299" s="9" t="s">
        <v>1018</v>
      </c>
      <c r="I299" s="10">
        <v>45463</v>
      </c>
    </row>
    <row r="300" spans="1:9" x14ac:dyDescent="0.15">
      <c r="A300" s="9">
        <v>299</v>
      </c>
      <c r="B300" s="9" t="s">
        <v>9</v>
      </c>
      <c r="C300" s="9">
        <v>1910</v>
      </c>
      <c r="D300" s="10">
        <v>45602</v>
      </c>
      <c r="E300" s="13" t="str">
        <f>+HYPERLINK("http://trademark.i-assist.jp/data/china/image_1910th/79342921.pdf","79342921")</f>
        <v>79342921</v>
      </c>
      <c r="F300" s="11" t="s">
        <v>1019</v>
      </c>
      <c r="G300" s="9" t="s">
        <v>1020</v>
      </c>
      <c r="H300" s="9" t="s">
        <v>1021</v>
      </c>
      <c r="I300" s="10">
        <v>45463</v>
      </c>
    </row>
    <row r="301" spans="1:9" x14ac:dyDescent="0.15">
      <c r="A301" s="9">
        <v>300</v>
      </c>
      <c r="B301" s="9" t="s">
        <v>9</v>
      </c>
      <c r="C301" s="9">
        <v>1910</v>
      </c>
      <c r="D301" s="10">
        <v>45602</v>
      </c>
      <c r="E301" s="13" t="str">
        <f>+HYPERLINK("http://trademark.i-assist.jp/data/china/image_1910th/79347775.pdf","79347775")</f>
        <v>79347775</v>
      </c>
      <c r="F301" s="11" t="s">
        <v>1022</v>
      </c>
      <c r="G301" s="9" t="s">
        <v>1020</v>
      </c>
      <c r="H301" s="9" t="s">
        <v>1023</v>
      </c>
      <c r="I301" s="10">
        <v>45463</v>
      </c>
    </row>
    <row r="302" spans="1:9" x14ac:dyDescent="0.15">
      <c r="A302" s="9">
        <v>301</v>
      </c>
      <c r="B302" s="9" t="s">
        <v>9</v>
      </c>
      <c r="C302" s="9">
        <v>1910</v>
      </c>
      <c r="D302" s="10">
        <v>45602</v>
      </c>
      <c r="E302" s="13" t="str">
        <f>+HYPERLINK("http://trademark.i-assist.jp/data/china/image_1910th/79351176.pdf","79351176")</f>
        <v>79351176</v>
      </c>
      <c r="F302" s="11" t="s">
        <v>19</v>
      </c>
      <c r="G302" s="11" t="s">
        <v>1024</v>
      </c>
      <c r="H302" s="9" t="s">
        <v>1025</v>
      </c>
      <c r="I302" s="10">
        <v>45464</v>
      </c>
    </row>
    <row r="303" spans="1:9" x14ac:dyDescent="0.15">
      <c r="A303" s="9">
        <v>302</v>
      </c>
      <c r="B303" s="9" t="s">
        <v>9</v>
      </c>
      <c r="C303" s="9">
        <v>1910</v>
      </c>
      <c r="D303" s="10">
        <v>45602</v>
      </c>
      <c r="E303" s="13" t="str">
        <f>+HYPERLINK("http://trademark.i-assist.jp/data/china/image_1910th/79357251.pdf","79357251")</f>
        <v>79357251</v>
      </c>
      <c r="F303" s="11" t="s">
        <v>1026</v>
      </c>
      <c r="G303" s="11" t="s">
        <v>164</v>
      </c>
      <c r="H303" s="9" t="s">
        <v>1027</v>
      </c>
      <c r="I303" s="10">
        <v>45464</v>
      </c>
    </row>
    <row r="304" spans="1:9" x14ac:dyDescent="0.15">
      <c r="A304" s="9">
        <v>303</v>
      </c>
      <c r="B304" s="9" t="s">
        <v>9</v>
      </c>
      <c r="C304" s="9">
        <v>1910</v>
      </c>
      <c r="D304" s="10">
        <v>45602</v>
      </c>
      <c r="E304" s="13" t="str">
        <f>+HYPERLINK("http://trademark.i-assist.jp/data/china/image_1910th/79367167.pdf","79367167")</f>
        <v>79367167</v>
      </c>
      <c r="F304" s="9" t="s">
        <v>1028</v>
      </c>
      <c r="G304" s="11" t="s">
        <v>1029</v>
      </c>
      <c r="H304" s="9" t="s">
        <v>1030</v>
      </c>
      <c r="I304" s="10">
        <v>45464</v>
      </c>
    </row>
    <row r="305" spans="1:9" x14ac:dyDescent="0.15">
      <c r="A305" s="9">
        <v>304</v>
      </c>
      <c r="B305" s="9" t="s">
        <v>9</v>
      </c>
      <c r="C305" s="9">
        <v>1910</v>
      </c>
      <c r="D305" s="10">
        <v>45602</v>
      </c>
      <c r="E305" s="13" t="str">
        <f>+HYPERLINK("http://trademark.i-assist.jp/data/china/image_1910th/79385454.pdf","79385454")</f>
        <v>79385454</v>
      </c>
      <c r="F305" s="11" t="s">
        <v>1031</v>
      </c>
      <c r="G305" s="9" t="s">
        <v>831</v>
      </c>
      <c r="H305" s="9" t="s">
        <v>1032</v>
      </c>
      <c r="I305" s="10">
        <v>45467</v>
      </c>
    </row>
    <row r="306" spans="1:9" x14ac:dyDescent="0.15">
      <c r="A306" s="9">
        <v>305</v>
      </c>
      <c r="B306" s="9" t="s">
        <v>9</v>
      </c>
      <c r="C306" s="9">
        <v>1910</v>
      </c>
      <c r="D306" s="10">
        <v>45602</v>
      </c>
      <c r="E306" s="13" t="str">
        <f>+HYPERLINK("http://trademark.i-assist.jp/data/china/image_1910th/79385979.pdf","79385979")</f>
        <v>79385979</v>
      </c>
      <c r="F306" s="9" t="s">
        <v>1033</v>
      </c>
      <c r="G306" s="9" t="s">
        <v>1034</v>
      </c>
      <c r="H306" s="9" t="s">
        <v>1035</v>
      </c>
      <c r="I306" s="10">
        <v>45467</v>
      </c>
    </row>
    <row r="307" spans="1:9" x14ac:dyDescent="0.15">
      <c r="A307" s="9">
        <v>306</v>
      </c>
      <c r="B307" s="9" t="s">
        <v>9</v>
      </c>
      <c r="C307" s="9">
        <v>1910</v>
      </c>
      <c r="D307" s="10">
        <v>45602</v>
      </c>
      <c r="E307" s="13" t="str">
        <f>+HYPERLINK("http://trademark.i-assist.jp/data/china/image_1910th/79386117.pdf","79386117")</f>
        <v>79386117</v>
      </c>
      <c r="F307" s="9" t="s">
        <v>1036</v>
      </c>
      <c r="G307" s="9" t="s">
        <v>1037</v>
      </c>
      <c r="H307" s="9" t="s">
        <v>1038</v>
      </c>
      <c r="I307" s="10">
        <v>45467</v>
      </c>
    </row>
    <row r="308" spans="1:9" x14ac:dyDescent="0.15">
      <c r="A308" s="9">
        <v>307</v>
      </c>
      <c r="B308" s="9" t="s">
        <v>9</v>
      </c>
      <c r="C308" s="9">
        <v>1910</v>
      </c>
      <c r="D308" s="10">
        <v>45602</v>
      </c>
      <c r="E308" s="13" t="str">
        <f>+HYPERLINK("http://trademark.i-assist.jp/data/china/image_1910th/79391681.pdf","79391681")</f>
        <v>79391681</v>
      </c>
      <c r="F308" s="9" t="s">
        <v>1039</v>
      </c>
      <c r="G308" s="9" t="s">
        <v>1037</v>
      </c>
      <c r="H308" s="9" t="s">
        <v>1040</v>
      </c>
      <c r="I308" s="10">
        <v>45467</v>
      </c>
    </row>
    <row r="309" spans="1:9" x14ac:dyDescent="0.15">
      <c r="A309" s="9">
        <v>308</v>
      </c>
      <c r="B309" s="9" t="s">
        <v>9</v>
      </c>
      <c r="C309" s="9">
        <v>1910</v>
      </c>
      <c r="D309" s="10">
        <v>45602</v>
      </c>
      <c r="E309" s="13" t="str">
        <f>+HYPERLINK("http://trademark.i-assist.jp/data/china/image_1910th/79392943A.pdf","79392943A")</f>
        <v>79392943A</v>
      </c>
      <c r="F309" s="9" t="s">
        <v>1041</v>
      </c>
      <c r="G309" s="9" t="s">
        <v>1042</v>
      </c>
      <c r="H309" s="9" t="s">
        <v>1043</v>
      </c>
      <c r="I309" s="10">
        <v>45467</v>
      </c>
    </row>
    <row r="310" spans="1:9" x14ac:dyDescent="0.15">
      <c r="A310" s="9">
        <v>309</v>
      </c>
      <c r="B310" s="9" t="s">
        <v>9</v>
      </c>
      <c r="C310" s="9">
        <v>1910</v>
      </c>
      <c r="D310" s="10">
        <v>45602</v>
      </c>
      <c r="E310" s="13" t="str">
        <f>+HYPERLINK("http://trademark.i-assist.jp/data/china/image_1910th/79410506.pdf","79410506")</f>
        <v>79410506</v>
      </c>
      <c r="F310" s="9" t="s">
        <v>1036</v>
      </c>
      <c r="G310" s="9" t="s">
        <v>1037</v>
      </c>
      <c r="H310" s="11" t="s">
        <v>1044</v>
      </c>
      <c r="I310" s="10">
        <v>45467</v>
      </c>
    </row>
    <row r="311" spans="1:9" x14ac:dyDescent="0.15">
      <c r="A311" s="9">
        <v>310</v>
      </c>
      <c r="B311" s="9" t="s">
        <v>9</v>
      </c>
      <c r="C311" s="9">
        <v>1910</v>
      </c>
      <c r="D311" s="10">
        <v>45602</v>
      </c>
      <c r="E311" s="13" t="str">
        <f>+HYPERLINK("http://trademark.i-assist.jp/data/china/image_1910th/79420700.pdf","79420700")</f>
        <v>79420700</v>
      </c>
      <c r="F311" s="11" t="s">
        <v>1045</v>
      </c>
      <c r="G311" s="11" t="s">
        <v>31</v>
      </c>
      <c r="H311" s="9" t="s">
        <v>1046</v>
      </c>
      <c r="I311" s="10">
        <v>45468</v>
      </c>
    </row>
    <row r="312" spans="1:9" x14ac:dyDescent="0.15">
      <c r="A312" s="9">
        <v>311</v>
      </c>
      <c r="B312" s="9" t="s">
        <v>9</v>
      </c>
      <c r="C312" s="9">
        <v>1910</v>
      </c>
      <c r="D312" s="10">
        <v>45602</v>
      </c>
      <c r="E312" s="13" t="str">
        <f>+HYPERLINK("http://trademark.i-assist.jp/data/china/image_1910th/79443177.pdf","79443177")</f>
        <v>79443177</v>
      </c>
      <c r="F312" s="9" t="s">
        <v>1047</v>
      </c>
      <c r="G312" s="9" t="s">
        <v>1048</v>
      </c>
      <c r="H312" s="9" t="s">
        <v>1049</v>
      </c>
      <c r="I312" s="10">
        <v>45469</v>
      </c>
    </row>
    <row r="313" spans="1:9" x14ac:dyDescent="0.15">
      <c r="A313" s="9">
        <v>312</v>
      </c>
      <c r="B313" s="9" t="s">
        <v>9</v>
      </c>
      <c r="C313" s="9">
        <v>1910</v>
      </c>
      <c r="D313" s="10">
        <v>45602</v>
      </c>
      <c r="E313" s="13" t="str">
        <f>+HYPERLINK("http://trademark.i-assist.jp/data/china/image_1910th/79468641.pdf","79468641")</f>
        <v>79468641</v>
      </c>
      <c r="F313" s="9" t="s">
        <v>1050</v>
      </c>
      <c r="G313" s="11" t="s">
        <v>32</v>
      </c>
      <c r="H313" s="11" t="s">
        <v>1051</v>
      </c>
      <c r="I313" s="10">
        <v>45470</v>
      </c>
    </row>
    <row r="314" spans="1:9" x14ac:dyDescent="0.15">
      <c r="A314" s="9">
        <v>313</v>
      </c>
      <c r="B314" s="9" t="s">
        <v>9</v>
      </c>
      <c r="C314" s="9">
        <v>1910</v>
      </c>
      <c r="D314" s="10">
        <v>45602</v>
      </c>
      <c r="E314" s="13" t="str">
        <f>+HYPERLINK("http://trademark.i-assist.jp/data/china/image_1910th/79471479A.pdf","79471479A")</f>
        <v>79471479A</v>
      </c>
      <c r="F314" s="9" t="s">
        <v>1052</v>
      </c>
      <c r="G314" s="11" t="s">
        <v>1053</v>
      </c>
      <c r="H314" s="9" t="s">
        <v>1054</v>
      </c>
      <c r="I314" s="10">
        <v>45470</v>
      </c>
    </row>
    <row r="315" spans="1:9" x14ac:dyDescent="0.15">
      <c r="A315" s="9">
        <v>314</v>
      </c>
      <c r="B315" s="9" t="s">
        <v>9</v>
      </c>
      <c r="C315" s="9">
        <v>1910</v>
      </c>
      <c r="D315" s="10">
        <v>45602</v>
      </c>
      <c r="E315" s="13" t="str">
        <f>+HYPERLINK("http://trademark.i-assist.jp/data/china/image_1910th/79478323.pdf","79478323")</f>
        <v>79478323</v>
      </c>
      <c r="F315" s="11" t="s">
        <v>1055</v>
      </c>
      <c r="G315" s="9" t="s">
        <v>1056</v>
      </c>
      <c r="H315" s="9" t="s">
        <v>1057</v>
      </c>
      <c r="I315" s="10">
        <v>45470</v>
      </c>
    </row>
    <row r="316" spans="1:9" x14ac:dyDescent="0.15">
      <c r="A316" s="9">
        <v>315</v>
      </c>
      <c r="B316" s="9" t="s">
        <v>9</v>
      </c>
      <c r="C316" s="9">
        <v>1910</v>
      </c>
      <c r="D316" s="10">
        <v>45602</v>
      </c>
      <c r="E316" s="13" t="str">
        <f>+HYPERLINK("http://trademark.i-assist.jp/data/china/image_1910th/79479091.pdf","79479091")</f>
        <v>79479091</v>
      </c>
      <c r="F316" s="11" t="s">
        <v>1058</v>
      </c>
      <c r="G316" s="9" t="s">
        <v>1059</v>
      </c>
      <c r="H316" s="9" t="s">
        <v>1060</v>
      </c>
      <c r="I316" s="10">
        <v>45470</v>
      </c>
    </row>
    <row r="317" spans="1:9" x14ac:dyDescent="0.15">
      <c r="A317" s="9">
        <v>316</v>
      </c>
      <c r="B317" s="9" t="s">
        <v>9</v>
      </c>
      <c r="C317" s="9">
        <v>1910</v>
      </c>
      <c r="D317" s="10">
        <v>45602</v>
      </c>
      <c r="E317" s="13" t="str">
        <f>+HYPERLINK("http://trademark.i-assist.jp/data/china/image_1910th/79479409.pdf","79479409")</f>
        <v>79479409</v>
      </c>
      <c r="F317" s="9" t="s">
        <v>1061</v>
      </c>
      <c r="G317" s="9" t="s">
        <v>1062</v>
      </c>
      <c r="H317" s="9" t="s">
        <v>1063</v>
      </c>
      <c r="I317" s="10">
        <v>45470</v>
      </c>
    </row>
    <row r="318" spans="1:9" x14ac:dyDescent="0.15">
      <c r="A318" s="9">
        <v>317</v>
      </c>
      <c r="B318" s="9" t="s">
        <v>9</v>
      </c>
      <c r="C318" s="9">
        <v>1910</v>
      </c>
      <c r="D318" s="10">
        <v>45602</v>
      </c>
      <c r="E318" s="13" t="str">
        <f>+HYPERLINK("http://trademark.i-assist.jp/data/china/image_1910th/79486684.pdf","79486684")</f>
        <v>79486684</v>
      </c>
      <c r="F318" s="9" t="s">
        <v>1064</v>
      </c>
      <c r="G318" s="11" t="s">
        <v>32</v>
      </c>
      <c r="H318" s="11" t="s">
        <v>1065</v>
      </c>
      <c r="I318" s="10">
        <v>45470</v>
      </c>
    </row>
    <row r="319" spans="1:9" x14ac:dyDescent="0.15">
      <c r="A319" s="9">
        <v>318</v>
      </c>
      <c r="B319" s="9" t="s">
        <v>9</v>
      </c>
      <c r="C319" s="9">
        <v>1910</v>
      </c>
      <c r="D319" s="10">
        <v>45602</v>
      </c>
      <c r="E319" s="13" t="str">
        <f>+HYPERLINK("http://trademark.i-assist.jp/data/china/image_1910th/79487556.pdf","79487556")</f>
        <v>79487556</v>
      </c>
      <c r="F319" s="11" t="s">
        <v>1066</v>
      </c>
      <c r="G319" s="11" t="s">
        <v>1066</v>
      </c>
      <c r="H319" s="9" t="s">
        <v>1067</v>
      </c>
      <c r="I319" s="10">
        <v>45470</v>
      </c>
    </row>
    <row r="320" spans="1:9" x14ac:dyDescent="0.15">
      <c r="A320" s="9">
        <v>319</v>
      </c>
      <c r="B320" s="9" t="s">
        <v>9</v>
      </c>
      <c r="C320" s="9">
        <v>1910</v>
      </c>
      <c r="D320" s="10">
        <v>45602</v>
      </c>
      <c r="E320" s="13" t="str">
        <f>+HYPERLINK("http://trademark.i-assist.jp/data/china/image_1910th/79494775.pdf","79494775")</f>
        <v>79494775</v>
      </c>
      <c r="F320" s="9" t="s">
        <v>1068</v>
      </c>
      <c r="G320" s="12" t="s">
        <v>28</v>
      </c>
      <c r="H320" s="11" t="s">
        <v>1069</v>
      </c>
      <c r="I320" s="10">
        <v>45471</v>
      </c>
    </row>
    <row r="321" spans="1:9" x14ac:dyDescent="0.15">
      <c r="A321" s="9">
        <v>320</v>
      </c>
      <c r="B321" s="9" t="s">
        <v>9</v>
      </c>
      <c r="C321" s="9">
        <v>1910</v>
      </c>
      <c r="D321" s="10">
        <v>45602</v>
      </c>
      <c r="E321" s="13" t="str">
        <f>+HYPERLINK("http://trademark.i-assist.jp/data/china/image_1910th/79494795.pdf","79494795")</f>
        <v>79494795</v>
      </c>
      <c r="F321" s="9" t="s">
        <v>1070</v>
      </c>
      <c r="G321" s="12" t="s">
        <v>28</v>
      </c>
      <c r="H321" s="9" t="s">
        <v>100</v>
      </c>
      <c r="I321" s="10">
        <v>45471</v>
      </c>
    </row>
    <row r="322" spans="1:9" x14ac:dyDescent="0.15">
      <c r="A322" s="9">
        <v>321</v>
      </c>
      <c r="B322" s="9" t="s">
        <v>9</v>
      </c>
      <c r="C322" s="9">
        <v>1910</v>
      </c>
      <c r="D322" s="10">
        <v>45602</v>
      </c>
      <c r="E322" s="13" t="str">
        <f>+HYPERLINK("http://trademark.i-assist.jp/data/china/image_1910th/79504777.pdf","79504777")</f>
        <v>79504777</v>
      </c>
      <c r="F322" s="11" t="s">
        <v>1071</v>
      </c>
      <c r="G322" s="9" t="s">
        <v>1072</v>
      </c>
      <c r="H322" s="9" t="s">
        <v>1073</v>
      </c>
      <c r="I322" s="10">
        <v>45471</v>
      </c>
    </row>
    <row r="323" spans="1:9" x14ac:dyDescent="0.15">
      <c r="A323" s="9">
        <v>322</v>
      </c>
      <c r="B323" s="9" t="s">
        <v>9</v>
      </c>
      <c r="C323" s="9">
        <v>1910</v>
      </c>
      <c r="D323" s="10">
        <v>45602</v>
      </c>
      <c r="E323" s="13" t="str">
        <f>+HYPERLINK("http://trademark.i-assist.jp/data/china/image_1910th/79512178.pdf","79512178")</f>
        <v>79512178</v>
      </c>
      <c r="F323" s="9" t="s">
        <v>1074</v>
      </c>
      <c r="G323" s="9" t="s">
        <v>1075</v>
      </c>
      <c r="H323" s="9" t="s">
        <v>1076</v>
      </c>
      <c r="I323" s="10">
        <v>45471</v>
      </c>
    </row>
    <row r="324" spans="1:9" x14ac:dyDescent="0.15">
      <c r="A324" s="9">
        <v>323</v>
      </c>
      <c r="B324" s="9" t="s">
        <v>9</v>
      </c>
      <c r="C324" s="9">
        <v>1910</v>
      </c>
      <c r="D324" s="10">
        <v>45602</v>
      </c>
      <c r="E324" s="13" t="str">
        <f>+HYPERLINK("http://trademark.i-assist.jp/data/china/image_1910th/79548352.pdf","79548352")</f>
        <v>79548352</v>
      </c>
      <c r="F324" s="9" t="s">
        <v>1077</v>
      </c>
      <c r="G324" s="9" t="s">
        <v>1078</v>
      </c>
      <c r="H324" s="9" t="s">
        <v>1079</v>
      </c>
      <c r="I324" s="10">
        <v>45474</v>
      </c>
    </row>
    <row r="325" spans="1:9" x14ac:dyDescent="0.15">
      <c r="A325" s="9">
        <v>324</v>
      </c>
      <c r="B325" s="9" t="s">
        <v>9</v>
      </c>
      <c r="C325" s="9">
        <v>1910</v>
      </c>
      <c r="D325" s="10">
        <v>45602</v>
      </c>
      <c r="E325" s="13" t="str">
        <f>+HYPERLINK("http://trademark.i-assist.jp/data/china/image_1910th/79550492.pdf","79550492")</f>
        <v>79550492</v>
      </c>
      <c r="F325" s="11" t="s">
        <v>1080</v>
      </c>
      <c r="G325" s="11" t="s">
        <v>164</v>
      </c>
      <c r="H325" s="9" t="s">
        <v>1081</v>
      </c>
      <c r="I325" s="10">
        <v>45474</v>
      </c>
    </row>
    <row r="326" spans="1:9" x14ac:dyDescent="0.15">
      <c r="A326" s="9">
        <v>325</v>
      </c>
      <c r="B326" s="9" t="s">
        <v>9</v>
      </c>
      <c r="C326" s="9">
        <v>1910</v>
      </c>
      <c r="D326" s="10">
        <v>45602</v>
      </c>
      <c r="E326" s="13" t="str">
        <f>+HYPERLINK("http://trademark.i-assist.jp/data/china/image_1910th/79552713.pdf","79552713")</f>
        <v>79552713</v>
      </c>
      <c r="F326" s="9" t="s">
        <v>1082</v>
      </c>
      <c r="G326" s="9" t="s">
        <v>1083</v>
      </c>
      <c r="H326" s="9" t="s">
        <v>1084</v>
      </c>
      <c r="I326" s="10">
        <v>45475</v>
      </c>
    </row>
    <row r="327" spans="1:9" x14ac:dyDescent="0.15">
      <c r="A327" s="9">
        <v>326</v>
      </c>
      <c r="B327" s="9" t="s">
        <v>9</v>
      </c>
      <c r="C327" s="9">
        <v>1910</v>
      </c>
      <c r="D327" s="10">
        <v>45602</v>
      </c>
      <c r="E327" s="13" t="str">
        <f>+HYPERLINK("http://trademark.i-assist.jp/data/china/image_1910th/79561227.pdf","79561227")</f>
        <v>79561227</v>
      </c>
      <c r="F327" s="9" t="s">
        <v>1085</v>
      </c>
      <c r="G327" s="9" t="s">
        <v>35</v>
      </c>
      <c r="H327" s="9" t="s">
        <v>1086</v>
      </c>
      <c r="I327" s="10">
        <v>45475</v>
      </c>
    </row>
    <row r="328" spans="1:9" x14ac:dyDescent="0.15">
      <c r="A328" s="9">
        <v>327</v>
      </c>
      <c r="B328" s="9" t="s">
        <v>9</v>
      </c>
      <c r="C328" s="9">
        <v>1910</v>
      </c>
      <c r="D328" s="10">
        <v>45602</v>
      </c>
      <c r="E328" s="13" t="str">
        <f>+HYPERLINK("http://trademark.i-assist.jp/data/china/image_1910th/79563912.pdf","79563912")</f>
        <v>79563912</v>
      </c>
      <c r="F328" s="9" t="s">
        <v>1087</v>
      </c>
      <c r="G328" s="9" t="s">
        <v>35</v>
      </c>
      <c r="H328" s="9" t="s">
        <v>1088</v>
      </c>
      <c r="I328" s="10">
        <v>45475</v>
      </c>
    </row>
    <row r="329" spans="1:9" x14ac:dyDescent="0.15">
      <c r="A329" s="9">
        <v>328</v>
      </c>
      <c r="B329" s="9" t="s">
        <v>9</v>
      </c>
      <c r="C329" s="9">
        <v>1910</v>
      </c>
      <c r="D329" s="10">
        <v>45602</v>
      </c>
      <c r="E329" s="13" t="str">
        <f>+HYPERLINK("http://trademark.i-assist.jp/data/china/image_1910th/79574990.pdf","79574990")</f>
        <v>79574990</v>
      </c>
      <c r="F329" s="11" t="s">
        <v>1089</v>
      </c>
      <c r="G329" s="9" t="s">
        <v>1090</v>
      </c>
      <c r="H329" s="9" t="s">
        <v>1091</v>
      </c>
      <c r="I329" s="10">
        <v>45475</v>
      </c>
    </row>
    <row r="330" spans="1:9" x14ac:dyDescent="0.15">
      <c r="A330" s="9">
        <v>329</v>
      </c>
      <c r="B330" s="9" t="s">
        <v>9</v>
      </c>
      <c r="C330" s="9">
        <v>1910</v>
      </c>
      <c r="D330" s="10">
        <v>45602</v>
      </c>
      <c r="E330" s="13" t="str">
        <f>+HYPERLINK("http://trademark.i-assist.jp/data/china/image_1910th/79575225.pdf","79575225")</f>
        <v>79575225</v>
      </c>
      <c r="F330" s="9" t="s">
        <v>1092</v>
      </c>
      <c r="G330" s="9" t="s">
        <v>1093</v>
      </c>
      <c r="H330" s="9" t="s">
        <v>1094</v>
      </c>
      <c r="I330" s="10">
        <v>45475</v>
      </c>
    </row>
    <row r="331" spans="1:9" x14ac:dyDescent="0.15">
      <c r="A331" s="9">
        <v>330</v>
      </c>
      <c r="B331" s="9" t="s">
        <v>9</v>
      </c>
      <c r="C331" s="9">
        <v>1910</v>
      </c>
      <c r="D331" s="10">
        <v>45602</v>
      </c>
      <c r="E331" s="13" t="str">
        <f>+HYPERLINK("http://trademark.i-assist.jp/data/china/image_1910th/79579407.pdf","79579407")</f>
        <v>79579407</v>
      </c>
      <c r="F331" s="11" t="s">
        <v>1095</v>
      </c>
      <c r="G331" s="9" t="s">
        <v>1096</v>
      </c>
      <c r="H331" s="9" t="s">
        <v>1097</v>
      </c>
      <c r="I331" s="10">
        <v>45476</v>
      </c>
    </row>
    <row r="332" spans="1:9" x14ac:dyDescent="0.15">
      <c r="A332" s="9">
        <v>331</v>
      </c>
      <c r="B332" s="9" t="s">
        <v>9</v>
      </c>
      <c r="C332" s="9">
        <v>1910</v>
      </c>
      <c r="D332" s="10">
        <v>45602</v>
      </c>
      <c r="E332" s="13" t="str">
        <f>+HYPERLINK("http://trademark.i-assist.jp/data/china/image_1910th/79581702.pdf","79581702")</f>
        <v>79581702</v>
      </c>
      <c r="F332" s="11" t="s">
        <v>1098</v>
      </c>
      <c r="G332" s="9" t="s">
        <v>1099</v>
      </c>
      <c r="H332" s="9" t="s">
        <v>1100</v>
      </c>
      <c r="I332" s="10">
        <v>45476</v>
      </c>
    </row>
    <row r="333" spans="1:9" x14ac:dyDescent="0.15">
      <c r="A333" s="9">
        <v>332</v>
      </c>
      <c r="B333" s="9" t="s">
        <v>9</v>
      </c>
      <c r="C333" s="9">
        <v>1910</v>
      </c>
      <c r="D333" s="10">
        <v>45602</v>
      </c>
      <c r="E333" s="13" t="str">
        <f>+HYPERLINK("http://trademark.i-assist.jp/data/china/image_1910th/79587627.pdf","79587627")</f>
        <v>79587627</v>
      </c>
      <c r="F333" s="9" t="s">
        <v>1101</v>
      </c>
      <c r="G333" s="9" t="s">
        <v>1102</v>
      </c>
      <c r="H333" s="9" t="s">
        <v>1103</v>
      </c>
      <c r="I333" s="10">
        <v>45476</v>
      </c>
    </row>
    <row r="334" spans="1:9" x14ac:dyDescent="0.15">
      <c r="A334" s="9">
        <v>333</v>
      </c>
      <c r="B334" s="9" t="s">
        <v>9</v>
      </c>
      <c r="C334" s="9">
        <v>1910</v>
      </c>
      <c r="D334" s="10">
        <v>45602</v>
      </c>
      <c r="E334" s="13" t="str">
        <f>+HYPERLINK("http://trademark.i-assist.jp/data/china/image_1910th/79597381.pdf","79597381")</f>
        <v>79597381</v>
      </c>
      <c r="F334" s="9" t="s">
        <v>1104</v>
      </c>
      <c r="G334" s="9" t="s">
        <v>40</v>
      </c>
      <c r="H334" s="9" t="s">
        <v>1105</v>
      </c>
      <c r="I334" s="10">
        <v>45476</v>
      </c>
    </row>
    <row r="335" spans="1:9" x14ac:dyDescent="0.15">
      <c r="A335" s="9">
        <v>334</v>
      </c>
      <c r="B335" s="9" t="s">
        <v>9</v>
      </c>
      <c r="C335" s="9">
        <v>1910</v>
      </c>
      <c r="D335" s="10">
        <v>45602</v>
      </c>
      <c r="E335" s="13" t="str">
        <f>+HYPERLINK("http://trademark.i-assist.jp/data/china/image_1910th/79598246.pdf","79598246")</f>
        <v>79598246</v>
      </c>
      <c r="F335" s="9" t="s">
        <v>1106</v>
      </c>
      <c r="G335" s="11" t="s">
        <v>1107</v>
      </c>
      <c r="H335" s="9" t="s">
        <v>1108</v>
      </c>
      <c r="I335" s="10">
        <v>45476</v>
      </c>
    </row>
    <row r="336" spans="1:9" x14ac:dyDescent="0.15">
      <c r="A336" s="9">
        <v>335</v>
      </c>
      <c r="B336" s="9" t="s">
        <v>9</v>
      </c>
      <c r="C336" s="9">
        <v>1910</v>
      </c>
      <c r="D336" s="10">
        <v>45602</v>
      </c>
      <c r="E336" s="13" t="str">
        <f>+HYPERLINK("http://trademark.i-assist.jp/data/china/image_1910th/79598619.pdf","79598619")</f>
        <v>79598619</v>
      </c>
      <c r="F336" s="9" t="s">
        <v>1109</v>
      </c>
      <c r="G336" s="9" t="s">
        <v>1110</v>
      </c>
      <c r="H336" s="9" t="s">
        <v>1111</v>
      </c>
      <c r="I336" s="10">
        <v>45476</v>
      </c>
    </row>
    <row r="337" spans="1:9" x14ac:dyDescent="0.15">
      <c r="A337" s="9">
        <v>336</v>
      </c>
      <c r="B337" s="9" t="s">
        <v>9</v>
      </c>
      <c r="C337" s="9">
        <v>1910</v>
      </c>
      <c r="D337" s="10">
        <v>45602</v>
      </c>
      <c r="E337" s="13" t="str">
        <f>+HYPERLINK("http://trademark.i-assist.jp/data/china/image_1910th/79610982.pdf","79610982")</f>
        <v>79610982</v>
      </c>
      <c r="F337" s="9" t="s">
        <v>1112</v>
      </c>
      <c r="G337" s="9" t="s">
        <v>1113</v>
      </c>
      <c r="H337" s="9" t="s">
        <v>1114</v>
      </c>
      <c r="I337" s="10">
        <v>45477</v>
      </c>
    </row>
    <row r="338" spans="1:9" x14ac:dyDescent="0.15">
      <c r="A338" s="9">
        <v>337</v>
      </c>
      <c r="B338" s="9" t="s">
        <v>9</v>
      </c>
      <c r="C338" s="9">
        <v>1910</v>
      </c>
      <c r="D338" s="10">
        <v>45602</v>
      </c>
      <c r="E338" s="13" t="str">
        <f>+HYPERLINK("http://trademark.i-assist.jp/data/china/image_1910th/79615731.pdf","79615731")</f>
        <v>79615731</v>
      </c>
      <c r="F338" s="9" t="s">
        <v>1115</v>
      </c>
      <c r="G338" s="9" t="s">
        <v>1116</v>
      </c>
      <c r="H338" s="9" t="s">
        <v>1117</v>
      </c>
      <c r="I338" s="10">
        <v>45477</v>
      </c>
    </row>
    <row r="339" spans="1:9" x14ac:dyDescent="0.15">
      <c r="A339" s="9">
        <v>338</v>
      </c>
      <c r="B339" s="9" t="s">
        <v>9</v>
      </c>
      <c r="C339" s="9">
        <v>1910</v>
      </c>
      <c r="D339" s="10">
        <v>45602</v>
      </c>
      <c r="E339" s="13" t="str">
        <f>+HYPERLINK("http://trademark.i-assist.jp/data/china/image_1910th/79622156.pdf","79622156")</f>
        <v>79622156</v>
      </c>
      <c r="F339" s="9" t="s">
        <v>1118</v>
      </c>
      <c r="G339" s="11" t="s">
        <v>1119</v>
      </c>
      <c r="H339" s="9" t="s">
        <v>1120</v>
      </c>
      <c r="I339" s="10">
        <v>45477</v>
      </c>
    </row>
    <row r="340" spans="1:9" x14ac:dyDescent="0.15">
      <c r="A340" s="9">
        <v>339</v>
      </c>
      <c r="B340" s="9" t="s">
        <v>9</v>
      </c>
      <c r="C340" s="9">
        <v>1910</v>
      </c>
      <c r="D340" s="10">
        <v>45602</v>
      </c>
      <c r="E340" s="13" t="str">
        <f>+HYPERLINK("http://trademark.i-assist.jp/data/china/image_1910th/79623512.pdf","79623512")</f>
        <v>79623512</v>
      </c>
      <c r="F340" s="9" t="s">
        <v>1121</v>
      </c>
      <c r="G340" s="11" t="s">
        <v>1122</v>
      </c>
      <c r="H340" s="9" t="s">
        <v>1123</v>
      </c>
      <c r="I340" s="10">
        <v>45478</v>
      </c>
    </row>
    <row r="341" spans="1:9" x14ac:dyDescent="0.15">
      <c r="A341" s="9">
        <v>340</v>
      </c>
      <c r="B341" s="9" t="s">
        <v>9</v>
      </c>
      <c r="C341" s="9">
        <v>1910</v>
      </c>
      <c r="D341" s="10">
        <v>45602</v>
      </c>
      <c r="E341" s="13" t="str">
        <f>+HYPERLINK("http://trademark.i-assist.jp/data/china/image_1910th/79626278.pdf","79626278")</f>
        <v>79626278</v>
      </c>
      <c r="F341" s="9" t="s">
        <v>1124</v>
      </c>
      <c r="G341" s="9" t="s">
        <v>1125</v>
      </c>
      <c r="H341" s="11" t="s">
        <v>1126</v>
      </c>
      <c r="I341" s="10">
        <v>45478</v>
      </c>
    </row>
    <row r="342" spans="1:9" x14ac:dyDescent="0.15">
      <c r="A342" s="9">
        <v>341</v>
      </c>
      <c r="B342" s="9" t="s">
        <v>9</v>
      </c>
      <c r="C342" s="9">
        <v>1910</v>
      </c>
      <c r="D342" s="10">
        <v>45602</v>
      </c>
      <c r="E342" s="13" t="str">
        <f>+HYPERLINK("http://trademark.i-assist.jp/data/china/image_1910th/79626859.pdf","79626859")</f>
        <v>79626859</v>
      </c>
      <c r="F342" s="9" t="s">
        <v>1127</v>
      </c>
      <c r="G342" s="9" t="s">
        <v>1128</v>
      </c>
      <c r="H342" s="9" t="s">
        <v>1129</v>
      </c>
      <c r="I342" s="10">
        <v>45478</v>
      </c>
    </row>
    <row r="343" spans="1:9" x14ac:dyDescent="0.15">
      <c r="A343" s="9">
        <v>342</v>
      </c>
      <c r="B343" s="9" t="s">
        <v>9</v>
      </c>
      <c r="C343" s="9">
        <v>1910</v>
      </c>
      <c r="D343" s="10">
        <v>45602</v>
      </c>
      <c r="E343" s="13" t="str">
        <f>+HYPERLINK("http://trademark.i-assist.jp/data/china/image_1910th/79629480.pdf","79629480")</f>
        <v>79629480</v>
      </c>
      <c r="F343" s="9" t="s">
        <v>1130</v>
      </c>
      <c r="G343" s="9" t="s">
        <v>1131</v>
      </c>
      <c r="H343" s="9" t="s">
        <v>1132</v>
      </c>
      <c r="I343" s="10">
        <v>45478</v>
      </c>
    </row>
    <row r="344" spans="1:9" x14ac:dyDescent="0.15">
      <c r="A344" s="9">
        <v>343</v>
      </c>
      <c r="B344" s="9" t="s">
        <v>9</v>
      </c>
      <c r="C344" s="9">
        <v>1910</v>
      </c>
      <c r="D344" s="10">
        <v>45602</v>
      </c>
      <c r="E344" s="13" t="str">
        <f>+HYPERLINK("http://trademark.i-assist.jp/data/china/image_1910th/79632009.pdf","79632009")</f>
        <v>79632009</v>
      </c>
      <c r="F344" s="9" t="s">
        <v>1133</v>
      </c>
      <c r="G344" s="9" t="s">
        <v>1134</v>
      </c>
      <c r="H344" s="9" t="s">
        <v>1135</v>
      </c>
      <c r="I344" s="10">
        <v>45478</v>
      </c>
    </row>
    <row r="345" spans="1:9" x14ac:dyDescent="0.15">
      <c r="A345" s="9">
        <v>344</v>
      </c>
      <c r="B345" s="9" t="s">
        <v>9</v>
      </c>
      <c r="C345" s="9">
        <v>1910</v>
      </c>
      <c r="D345" s="10">
        <v>45602</v>
      </c>
      <c r="E345" s="13" t="str">
        <f>+HYPERLINK("http://trademark.i-assist.jp/data/china/image_1910th/79632136.pdf","79632136")</f>
        <v>79632136</v>
      </c>
      <c r="F345" s="9" t="s">
        <v>1136</v>
      </c>
      <c r="G345" s="11" t="s">
        <v>1137</v>
      </c>
      <c r="H345" s="11" t="s">
        <v>1138</v>
      </c>
      <c r="I345" s="10">
        <v>45478</v>
      </c>
    </row>
    <row r="346" spans="1:9" x14ac:dyDescent="0.15">
      <c r="A346" s="9">
        <v>345</v>
      </c>
      <c r="B346" s="9" t="s">
        <v>9</v>
      </c>
      <c r="C346" s="9">
        <v>1910</v>
      </c>
      <c r="D346" s="10">
        <v>45602</v>
      </c>
      <c r="E346" s="13" t="str">
        <f>+HYPERLINK("http://trademark.i-assist.jp/data/china/image_1910th/79637549.pdf","79637549")</f>
        <v>79637549</v>
      </c>
      <c r="F346" s="9" t="s">
        <v>1139</v>
      </c>
      <c r="G346" s="9" t="s">
        <v>1140</v>
      </c>
      <c r="H346" s="9" t="s">
        <v>1141</v>
      </c>
      <c r="I346" s="10">
        <v>45478</v>
      </c>
    </row>
    <row r="347" spans="1:9" x14ac:dyDescent="0.15">
      <c r="A347" s="9">
        <v>346</v>
      </c>
      <c r="B347" s="9" t="s">
        <v>9</v>
      </c>
      <c r="C347" s="9">
        <v>1910</v>
      </c>
      <c r="D347" s="10">
        <v>45602</v>
      </c>
      <c r="E347" s="13" t="str">
        <f>+HYPERLINK("http://trademark.i-assist.jp/data/china/image_1910th/79638718.pdf","79638718")</f>
        <v>79638718</v>
      </c>
      <c r="F347" s="9" t="s">
        <v>1142</v>
      </c>
      <c r="G347" s="11" t="s">
        <v>1143</v>
      </c>
      <c r="H347" s="9" t="s">
        <v>1144</v>
      </c>
      <c r="I347" s="10">
        <v>45478</v>
      </c>
    </row>
    <row r="348" spans="1:9" x14ac:dyDescent="0.15">
      <c r="A348" s="9">
        <v>347</v>
      </c>
      <c r="B348" s="9" t="s">
        <v>9</v>
      </c>
      <c r="C348" s="9">
        <v>1910</v>
      </c>
      <c r="D348" s="10">
        <v>45602</v>
      </c>
      <c r="E348" s="13" t="str">
        <f>+HYPERLINK("http://trademark.i-assist.jp/data/china/image_1910th/79639123.pdf","79639123")</f>
        <v>79639123</v>
      </c>
      <c r="F348" s="9" t="s">
        <v>1145</v>
      </c>
      <c r="G348" s="9" t="s">
        <v>1146</v>
      </c>
      <c r="H348" s="9" t="s">
        <v>1147</v>
      </c>
      <c r="I348" s="10">
        <v>45478</v>
      </c>
    </row>
    <row r="349" spans="1:9" x14ac:dyDescent="0.15">
      <c r="A349" s="9">
        <v>348</v>
      </c>
      <c r="B349" s="9" t="s">
        <v>9</v>
      </c>
      <c r="C349" s="9">
        <v>1910</v>
      </c>
      <c r="D349" s="10">
        <v>45602</v>
      </c>
      <c r="E349" s="13" t="str">
        <f>+HYPERLINK("http://trademark.i-assist.jp/data/china/image_1910th/79649018.pdf","79649018")</f>
        <v>79649018</v>
      </c>
      <c r="F349" s="9" t="s">
        <v>1148</v>
      </c>
      <c r="G349" s="9" t="s">
        <v>1149</v>
      </c>
      <c r="H349" s="9" t="s">
        <v>1150</v>
      </c>
      <c r="I349" s="10">
        <v>45479</v>
      </c>
    </row>
    <row r="350" spans="1:9" x14ac:dyDescent="0.15">
      <c r="A350" s="9">
        <v>349</v>
      </c>
      <c r="B350" s="9" t="s">
        <v>9</v>
      </c>
      <c r="C350" s="9">
        <v>1910</v>
      </c>
      <c r="D350" s="10">
        <v>45602</v>
      </c>
      <c r="E350" s="13" t="str">
        <f>+HYPERLINK("http://trademark.i-assist.jp/data/china/image_1910th/79651433.pdf","79651433")</f>
        <v>79651433</v>
      </c>
      <c r="F350" s="9" t="s">
        <v>1151</v>
      </c>
      <c r="G350" s="11" t="s">
        <v>1152</v>
      </c>
      <c r="H350" s="9" t="s">
        <v>1153</v>
      </c>
      <c r="I350" s="10">
        <v>45479</v>
      </c>
    </row>
    <row r="351" spans="1:9" x14ac:dyDescent="0.15">
      <c r="A351" s="9">
        <v>350</v>
      </c>
      <c r="B351" s="9" t="s">
        <v>9</v>
      </c>
      <c r="C351" s="9">
        <v>1910</v>
      </c>
      <c r="D351" s="10">
        <v>45602</v>
      </c>
      <c r="E351" s="13" t="str">
        <f>+HYPERLINK("http://trademark.i-assist.jp/data/china/image_1910th/79654104.pdf","79654104")</f>
        <v>79654104</v>
      </c>
      <c r="F351" s="11" t="s">
        <v>1154</v>
      </c>
      <c r="G351" s="9" t="s">
        <v>1155</v>
      </c>
      <c r="H351" s="9" t="s">
        <v>1156</v>
      </c>
      <c r="I351" s="10">
        <v>45480</v>
      </c>
    </row>
    <row r="352" spans="1:9" x14ac:dyDescent="0.15">
      <c r="A352" s="9">
        <v>351</v>
      </c>
      <c r="B352" s="9" t="s">
        <v>9</v>
      </c>
      <c r="C352" s="9">
        <v>1910</v>
      </c>
      <c r="D352" s="10">
        <v>45602</v>
      </c>
      <c r="E352" s="13" t="str">
        <f>+HYPERLINK("http://trademark.i-assist.jp/data/china/image_1910th/79654320.pdf","79654320")</f>
        <v>79654320</v>
      </c>
      <c r="F352" s="9" t="s">
        <v>1157</v>
      </c>
      <c r="G352" s="9" t="s">
        <v>1158</v>
      </c>
      <c r="H352" s="11" t="s">
        <v>1159</v>
      </c>
      <c r="I352" s="10">
        <v>45480</v>
      </c>
    </row>
    <row r="353" spans="1:9" x14ac:dyDescent="0.15">
      <c r="A353" s="9">
        <v>352</v>
      </c>
      <c r="B353" s="9" t="s">
        <v>9</v>
      </c>
      <c r="C353" s="9">
        <v>1910</v>
      </c>
      <c r="D353" s="10">
        <v>45602</v>
      </c>
      <c r="E353" s="13" t="str">
        <f>+HYPERLINK("http://trademark.i-assist.jp/data/china/image_1910th/79656998.pdf","79656998")</f>
        <v>79656998</v>
      </c>
      <c r="F353" s="9" t="s">
        <v>1160</v>
      </c>
      <c r="G353" s="9" t="s">
        <v>54</v>
      </c>
      <c r="H353" s="9" t="s">
        <v>1161</v>
      </c>
      <c r="I353" s="10">
        <v>45481</v>
      </c>
    </row>
    <row r="354" spans="1:9" x14ac:dyDescent="0.15">
      <c r="A354" s="9">
        <v>353</v>
      </c>
      <c r="B354" s="9" t="s">
        <v>9</v>
      </c>
      <c r="C354" s="9">
        <v>1910</v>
      </c>
      <c r="D354" s="10">
        <v>45602</v>
      </c>
      <c r="E354" s="13" t="str">
        <f>+HYPERLINK("http://trademark.i-assist.jp/data/china/image_1910th/79664769.pdf","79664769")</f>
        <v>79664769</v>
      </c>
      <c r="F354" s="11" t="s">
        <v>1162</v>
      </c>
      <c r="G354" s="9" t="s">
        <v>1163</v>
      </c>
      <c r="H354" s="9" t="s">
        <v>1164</v>
      </c>
      <c r="I354" s="10">
        <v>45481</v>
      </c>
    </row>
    <row r="355" spans="1:9" x14ac:dyDescent="0.15">
      <c r="A355" s="9">
        <v>354</v>
      </c>
      <c r="B355" s="9" t="s">
        <v>9</v>
      </c>
      <c r="C355" s="9">
        <v>1910</v>
      </c>
      <c r="D355" s="10">
        <v>45602</v>
      </c>
      <c r="E355" s="13" t="str">
        <f>+HYPERLINK("http://trademark.i-assist.jp/data/china/image_1910th/79666177.pdf","79666177")</f>
        <v>79666177</v>
      </c>
      <c r="F355" s="9" t="s">
        <v>1165</v>
      </c>
      <c r="G355" s="11" t="s">
        <v>1166</v>
      </c>
      <c r="H355" s="9" t="s">
        <v>1167</v>
      </c>
      <c r="I355" s="10">
        <v>45481</v>
      </c>
    </row>
    <row r="356" spans="1:9" x14ac:dyDescent="0.15">
      <c r="A356" s="9">
        <v>355</v>
      </c>
      <c r="B356" s="9" t="s">
        <v>9</v>
      </c>
      <c r="C356" s="9">
        <v>1910</v>
      </c>
      <c r="D356" s="10">
        <v>45602</v>
      </c>
      <c r="E356" s="13" t="str">
        <f>+HYPERLINK("http://trademark.i-assist.jp/data/china/image_1910th/79674669.pdf","79674669")</f>
        <v>79674669</v>
      </c>
      <c r="F356" s="9" t="s">
        <v>1168</v>
      </c>
      <c r="G356" s="9" t="s">
        <v>1169</v>
      </c>
      <c r="H356" s="9" t="s">
        <v>1170</v>
      </c>
      <c r="I356" s="10">
        <v>45481</v>
      </c>
    </row>
    <row r="357" spans="1:9" x14ac:dyDescent="0.15">
      <c r="A357" s="9">
        <v>356</v>
      </c>
      <c r="B357" s="9" t="s">
        <v>9</v>
      </c>
      <c r="C357" s="9">
        <v>1910</v>
      </c>
      <c r="D357" s="10">
        <v>45602</v>
      </c>
      <c r="E357" s="13" t="str">
        <f>+HYPERLINK("http://trademark.i-assist.jp/data/china/image_1910th/79676639.pdf","79676639")</f>
        <v>79676639</v>
      </c>
      <c r="F357" s="9" t="s">
        <v>1171</v>
      </c>
      <c r="G357" s="11" t="s">
        <v>1172</v>
      </c>
      <c r="H357" s="9" t="s">
        <v>1173</v>
      </c>
      <c r="I357" s="10">
        <v>45481</v>
      </c>
    </row>
    <row r="358" spans="1:9" x14ac:dyDescent="0.15">
      <c r="A358" s="9">
        <v>357</v>
      </c>
      <c r="B358" s="9" t="s">
        <v>9</v>
      </c>
      <c r="C358" s="9">
        <v>1910</v>
      </c>
      <c r="D358" s="10">
        <v>45602</v>
      </c>
      <c r="E358" s="13" t="str">
        <f>+HYPERLINK("http://trademark.i-assist.jp/data/china/image_1910th/79677378.pdf","79677378")</f>
        <v>79677378</v>
      </c>
      <c r="F358" s="9" t="s">
        <v>1174</v>
      </c>
      <c r="G358" s="9" t="s">
        <v>1175</v>
      </c>
      <c r="H358" s="9" t="s">
        <v>1176</v>
      </c>
      <c r="I358" s="10">
        <v>45481</v>
      </c>
    </row>
    <row r="359" spans="1:9" x14ac:dyDescent="0.15">
      <c r="A359" s="9">
        <v>358</v>
      </c>
      <c r="B359" s="9" t="s">
        <v>9</v>
      </c>
      <c r="C359" s="9">
        <v>1910</v>
      </c>
      <c r="D359" s="10">
        <v>45602</v>
      </c>
      <c r="E359" s="13" t="str">
        <f>+HYPERLINK("http://trademark.i-assist.jp/data/china/image_1910th/79678098.pdf","79678098")</f>
        <v>79678098</v>
      </c>
      <c r="F359" s="9" t="s">
        <v>1177</v>
      </c>
      <c r="G359" s="9" t="s">
        <v>1178</v>
      </c>
      <c r="H359" s="9" t="s">
        <v>1179</v>
      </c>
      <c r="I359" s="10">
        <v>45481</v>
      </c>
    </row>
    <row r="360" spans="1:9" x14ac:dyDescent="0.15">
      <c r="A360" s="9">
        <v>359</v>
      </c>
      <c r="B360" s="9" t="s">
        <v>9</v>
      </c>
      <c r="C360" s="9">
        <v>1910</v>
      </c>
      <c r="D360" s="10">
        <v>45602</v>
      </c>
      <c r="E360" s="13" t="str">
        <f>+HYPERLINK("http://trademark.i-assist.jp/data/china/image_1910th/79678688.pdf","79678688")</f>
        <v>79678688</v>
      </c>
      <c r="F360" s="9" t="s">
        <v>1180</v>
      </c>
      <c r="G360" s="11" t="s">
        <v>1181</v>
      </c>
      <c r="H360" s="9" t="s">
        <v>1182</v>
      </c>
      <c r="I360" s="10">
        <v>45481</v>
      </c>
    </row>
    <row r="361" spans="1:9" x14ac:dyDescent="0.15">
      <c r="A361" s="9">
        <v>360</v>
      </c>
      <c r="B361" s="9" t="s">
        <v>9</v>
      </c>
      <c r="C361" s="9">
        <v>1910</v>
      </c>
      <c r="D361" s="10">
        <v>45602</v>
      </c>
      <c r="E361" s="13" t="str">
        <f>+HYPERLINK("http://trademark.i-assist.jp/data/china/image_1910th/79681319.pdf","79681319")</f>
        <v>79681319</v>
      </c>
      <c r="F361" s="9" t="s">
        <v>1183</v>
      </c>
      <c r="G361" s="9" t="s">
        <v>1184</v>
      </c>
      <c r="H361" s="9" t="s">
        <v>1185</v>
      </c>
      <c r="I361" s="10">
        <v>45482</v>
      </c>
    </row>
    <row r="362" spans="1:9" x14ac:dyDescent="0.15">
      <c r="A362" s="9">
        <v>361</v>
      </c>
      <c r="B362" s="9" t="s">
        <v>9</v>
      </c>
      <c r="C362" s="9">
        <v>1910</v>
      </c>
      <c r="D362" s="10">
        <v>45602</v>
      </c>
      <c r="E362" s="13" t="str">
        <f>+HYPERLINK("http://trademark.i-assist.jp/data/china/image_1910th/79688671.pdf","79688671")</f>
        <v>79688671</v>
      </c>
      <c r="F362" s="11" t="s">
        <v>1186</v>
      </c>
      <c r="G362" s="11" t="s">
        <v>1187</v>
      </c>
      <c r="H362" s="9" t="s">
        <v>1188</v>
      </c>
      <c r="I362" s="10">
        <v>45482</v>
      </c>
    </row>
    <row r="363" spans="1:9" x14ac:dyDescent="0.15">
      <c r="A363" s="9">
        <v>362</v>
      </c>
      <c r="B363" s="9" t="s">
        <v>9</v>
      </c>
      <c r="C363" s="9">
        <v>1910</v>
      </c>
      <c r="D363" s="10">
        <v>45602</v>
      </c>
      <c r="E363" s="13" t="str">
        <f>+HYPERLINK("http://trademark.i-assist.jp/data/china/image_1910th/79691391.pdf","79691391")</f>
        <v>79691391</v>
      </c>
      <c r="F363" s="11" t="s">
        <v>1189</v>
      </c>
      <c r="G363" s="9" t="s">
        <v>49</v>
      </c>
      <c r="H363" s="9" t="s">
        <v>1190</v>
      </c>
      <c r="I363" s="10">
        <v>45482</v>
      </c>
    </row>
    <row r="364" spans="1:9" x14ac:dyDescent="0.15">
      <c r="A364" s="9">
        <v>363</v>
      </c>
      <c r="B364" s="9" t="s">
        <v>9</v>
      </c>
      <c r="C364" s="9">
        <v>1910</v>
      </c>
      <c r="D364" s="10">
        <v>45602</v>
      </c>
      <c r="E364" s="13" t="str">
        <f>+HYPERLINK("http://trademark.i-assist.jp/data/china/image_1910th/79694410.pdf","79694410")</f>
        <v>79694410</v>
      </c>
      <c r="F364" s="9" t="s">
        <v>1191</v>
      </c>
      <c r="G364" s="9" t="s">
        <v>1192</v>
      </c>
      <c r="H364" s="9" t="s">
        <v>1193</v>
      </c>
      <c r="I364" s="10">
        <v>45482</v>
      </c>
    </row>
    <row r="365" spans="1:9" x14ac:dyDescent="0.15">
      <c r="A365" s="9">
        <v>364</v>
      </c>
      <c r="B365" s="9" t="s">
        <v>9</v>
      </c>
      <c r="C365" s="9">
        <v>1910</v>
      </c>
      <c r="D365" s="10">
        <v>45602</v>
      </c>
      <c r="E365" s="13" t="str">
        <f>+HYPERLINK("http://trademark.i-assist.jp/data/china/image_1910th/79701860.pdf","79701860")</f>
        <v>79701860</v>
      </c>
      <c r="F365" s="9" t="s">
        <v>1194</v>
      </c>
      <c r="G365" s="9" t="s">
        <v>1195</v>
      </c>
      <c r="H365" s="9" t="s">
        <v>1196</v>
      </c>
      <c r="I365" s="10">
        <v>45482</v>
      </c>
    </row>
    <row r="366" spans="1:9" x14ac:dyDescent="0.15">
      <c r="A366" s="9">
        <v>365</v>
      </c>
      <c r="B366" s="9" t="s">
        <v>9</v>
      </c>
      <c r="C366" s="9">
        <v>1910</v>
      </c>
      <c r="D366" s="10">
        <v>45602</v>
      </c>
      <c r="E366" s="13" t="str">
        <f>+HYPERLINK("http://trademark.i-assist.jp/data/china/image_1910th/79705554.pdf","79705554")</f>
        <v>79705554</v>
      </c>
      <c r="F366" s="9" t="s">
        <v>1197</v>
      </c>
      <c r="G366" s="11" t="s">
        <v>1198</v>
      </c>
      <c r="H366" s="9" t="s">
        <v>1199</v>
      </c>
      <c r="I366" s="10">
        <v>45483</v>
      </c>
    </row>
    <row r="367" spans="1:9" x14ac:dyDescent="0.15">
      <c r="A367" s="9">
        <v>366</v>
      </c>
      <c r="B367" s="9" t="s">
        <v>9</v>
      </c>
      <c r="C367" s="9">
        <v>1910</v>
      </c>
      <c r="D367" s="10">
        <v>45602</v>
      </c>
      <c r="E367" s="13" t="str">
        <f>+HYPERLINK("http://trademark.i-assist.jp/data/china/image_1910th/79705967.pdf","79705967")</f>
        <v>79705967</v>
      </c>
      <c r="F367" s="9" t="s">
        <v>1200</v>
      </c>
      <c r="G367" s="9" t="s">
        <v>1201</v>
      </c>
      <c r="H367" s="9" t="s">
        <v>1202</v>
      </c>
      <c r="I367" s="10">
        <v>45483</v>
      </c>
    </row>
    <row r="368" spans="1:9" x14ac:dyDescent="0.15">
      <c r="A368" s="9">
        <v>367</v>
      </c>
      <c r="B368" s="9" t="s">
        <v>9</v>
      </c>
      <c r="C368" s="9">
        <v>1910</v>
      </c>
      <c r="D368" s="10">
        <v>45602</v>
      </c>
      <c r="E368" s="13" t="str">
        <f>+HYPERLINK("http://trademark.i-assist.jp/data/china/image_1910th/79710009.pdf","79710009")</f>
        <v>79710009</v>
      </c>
      <c r="F368" s="9" t="s">
        <v>1203</v>
      </c>
      <c r="G368" s="9" t="s">
        <v>1204</v>
      </c>
      <c r="H368" s="9" t="s">
        <v>1205</v>
      </c>
      <c r="I368" s="10">
        <v>45483</v>
      </c>
    </row>
    <row r="369" spans="1:9" x14ac:dyDescent="0.15">
      <c r="A369" s="9">
        <v>368</v>
      </c>
      <c r="B369" s="9" t="s">
        <v>9</v>
      </c>
      <c r="C369" s="9">
        <v>1910</v>
      </c>
      <c r="D369" s="10">
        <v>45602</v>
      </c>
      <c r="E369" s="13" t="str">
        <f>+HYPERLINK("http://trademark.i-assist.jp/data/china/image_1910th/79713450.pdf","79713450")</f>
        <v>79713450</v>
      </c>
      <c r="F369" s="9" t="s">
        <v>1206</v>
      </c>
      <c r="G369" s="9" t="s">
        <v>1207</v>
      </c>
      <c r="H369" s="9" t="s">
        <v>1208</v>
      </c>
      <c r="I369" s="10">
        <v>45483</v>
      </c>
    </row>
    <row r="370" spans="1:9" x14ac:dyDescent="0.15">
      <c r="A370" s="9">
        <v>369</v>
      </c>
      <c r="B370" s="9" t="s">
        <v>9</v>
      </c>
      <c r="C370" s="9">
        <v>1910</v>
      </c>
      <c r="D370" s="10">
        <v>45602</v>
      </c>
      <c r="E370" s="13" t="str">
        <f>+HYPERLINK("http://trademark.i-assist.jp/data/china/image_1910th/79714643.pdf","79714643")</f>
        <v>79714643</v>
      </c>
      <c r="F370" s="9" t="s">
        <v>1209</v>
      </c>
      <c r="G370" s="11" t="s">
        <v>1210</v>
      </c>
      <c r="H370" s="9" t="s">
        <v>1211</v>
      </c>
      <c r="I370" s="10">
        <v>45483</v>
      </c>
    </row>
    <row r="371" spans="1:9" x14ac:dyDescent="0.15">
      <c r="A371" s="9">
        <v>370</v>
      </c>
      <c r="B371" s="9" t="s">
        <v>9</v>
      </c>
      <c r="C371" s="9">
        <v>1910</v>
      </c>
      <c r="D371" s="10">
        <v>45602</v>
      </c>
      <c r="E371" s="13" t="str">
        <f>+HYPERLINK("http://trademark.i-assist.jp/data/china/image_1910th/79718389.pdf","79718389")</f>
        <v>79718389</v>
      </c>
      <c r="F371" s="11" t="s">
        <v>1212</v>
      </c>
      <c r="G371" s="9" t="s">
        <v>1213</v>
      </c>
      <c r="H371" s="9" t="s">
        <v>1214</v>
      </c>
      <c r="I371" s="10">
        <v>45483</v>
      </c>
    </row>
    <row r="372" spans="1:9" x14ac:dyDescent="0.15">
      <c r="A372" s="9">
        <v>371</v>
      </c>
      <c r="B372" s="9" t="s">
        <v>9</v>
      </c>
      <c r="C372" s="9">
        <v>1910</v>
      </c>
      <c r="D372" s="10">
        <v>45602</v>
      </c>
      <c r="E372" s="13" t="str">
        <f>+HYPERLINK("http://trademark.i-assist.jp/data/china/image_1910th/79719162.pdf","79719162")</f>
        <v>79719162</v>
      </c>
      <c r="F372" s="9" t="s">
        <v>1215</v>
      </c>
      <c r="G372" s="11" t="s">
        <v>1216</v>
      </c>
      <c r="H372" s="9" t="s">
        <v>1217</v>
      </c>
      <c r="I372" s="10">
        <v>45483</v>
      </c>
    </row>
    <row r="373" spans="1:9" x14ac:dyDescent="0.15">
      <c r="A373" s="9">
        <v>372</v>
      </c>
      <c r="B373" s="9" t="s">
        <v>9</v>
      </c>
      <c r="C373" s="9">
        <v>1910</v>
      </c>
      <c r="D373" s="10">
        <v>45602</v>
      </c>
      <c r="E373" s="13" t="str">
        <f>+HYPERLINK("http://trademark.i-assist.jp/data/china/image_1910th/79720781.pdf","79720781")</f>
        <v>79720781</v>
      </c>
      <c r="F373" s="11" t="s">
        <v>1218</v>
      </c>
      <c r="G373" s="9" t="s">
        <v>1219</v>
      </c>
      <c r="H373" s="9" t="s">
        <v>1220</v>
      </c>
      <c r="I373" s="10">
        <v>45483</v>
      </c>
    </row>
    <row r="374" spans="1:9" x14ac:dyDescent="0.15">
      <c r="A374" s="9">
        <v>373</v>
      </c>
      <c r="B374" s="9" t="s">
        <v>9</v>
      </c>
      <c r="C374" s="9">
        <v>1910</v>
      </c>
      <c r="D374" s="10">
        <v>45602</v>
      </c>
      <c r="E374" s="13" t="str">
        <f>+HYPERLINK("http://trademark.i-assist.jp/data/china/image_1910th/79721073.pdf","79721073")</f>
        <v>79721073</v>
      </c>
      <c r="F374" s="9" t="s">
        <v>1221</v>
      </c>
      <c r="G374" s="9" t="s">
        <v>1222</v>
      </c>
      <c r="H374" s="11" t="s">
        <v>1223</v>
      </c>
      <c r="I374" s="10">
        <v>45483</v>
      </c>
    </row>
    <row r="375" spans="1:9" x14ac:dyDescent="0.15">
      <c r="A375" s="9">
        <v>374</v>
      </c>
      <c r="B375" s="9" t="s">
        <v>9</v>
      </c>
      <c r="C375" s="9">
        <v>1910</v>
      </c>
      <c r="D375" s="10">
        <v>45602</v>
      </c>
      <c r="E375" s="13" t="str">
        <f>+HYPERLINK("http://trademark.i-assist.jp/data/china/image_1910th/79728387.pdf","79728387")</f>
        <v>79728387</v>
      </c>
      <c r="F375" s="9" t="s">
        <v>1224</v>
      </c>
      <c r="G375" s="11" t="s">
        <v>1225</v>
      </c>
      <c r="H375" s="9" t="s">
        <v>1226</v>
      </c>
      <c r="I375" s="10">
        <v>45484</v>
      </c>
    </row>
    <row r="376" spans="1:9" x14ac:dyDescent="0.15">
      <c r="A376" s="9">
        <v>375</v>
      </c>
      <c r="B376" s="9" t="s">
        <v>9</v>
      </c>
      <c r="C376" s="9">
        <v>1910</v>
      </c>
      <c r="D376" s="10">
        <v>45602</v>
      </c>
      <c r="E376" s="13" t="str">
        <f>+HYPERLINK("http://trademark.i-assist.jp/data/china/image_1910th/79730459.pdf","79730459")</f>
        <v>79730459</v>
      </c>
      <c r="F376" s="9" t="s">
        <v>1227</v>
      </c>
      <c r="G376" s="9" t="s">
        <v>1228</v>
      </c>
      <c r="H376" s="9" t="s">
        <v>1229</v>
      </c>
      <c r="I376" s="10">
        <v>45484</v>
      </c>
    </row>
    <row r="377" spans="1:9" x14ac:dyDescent="0.15">
      <c r="A377" s="9">
        <v>376</v>
      </c>
      <c r="B377" s="9" t="s">
        <v>9</v>
      </c>
      <c r="C377" s="9">
        <v>1910</v>
      </c>
      <c r="D377" s="10">
        <v>45602</v>
      </c>
      <c r="E377" s="13" t="str">
        <f>+HYPERLINK("http://trademark.i-assist.jp/data/china/image_1910th/79730558.pdf","79730558")</f>
        <v>79730558</v>
      </c>
      <c r="F377" s="9" t="s">
        <v>1230</v>
      </c>
      <c r="G377" s="9" t="s">
        <v>1231</v>
      </c>
      <c r="H377" s="9" t="s">
        <v>1232</v>
      </c>
      <c r="I377" s="10">
        <v>45484</v>
      </c>
    </row>
    <row r="378" spans="1:9" x14ac:dyDescent="0.15">
      <c r="A378" s="9">
        <v>377</v>
      </c>
      <c r="B378" s="9" t="s">
        <v>9</v>
      </c>
      <c r="C378" s="9">
        <v>1910</v>
      </c>
      <c r="D378" s="10">
        <v>45602</v>
      </c>
      <c r="E378" s="13" t="str">
        <f>+HYPERLINK("http://trademark.i-assist.jp/data/china/image_1910th/79732523.pdf","79732523")</f>
        <v>79732523</v>
      </c>
      <c r="F378" s="9" t="s">
        <v>1233</v>
      </c>
      <c r="G378" s="11" t="s">
        <v>1234</v>
      </c>
      <c r="H378" s="9" t="s">
        <v>1235</v>
      </c>
      <c r="I378" s="10">
        <v>45484</v>
      </c>
    </row>
    <row r="379" spans="1:9" x14ac:dyDescent="0.15">
      <c r="A379" s="9">
        <v>378</v>
      </c>
      <c r="B379" s="9" t="s">
        <v>9</v>
      </c>
      <c r="C379" s="9">
        <v>1910</v>
      </c>
      <c r="D379" s="10">
        <v>45602</v>
      </c>
      <c r="E379" s="13" t="str">
        <f>+HYPERLINK("http://trademark.i-assist.jp/data/china/image_1910th/79734187.pdf","79734187")</f>
        <v>79734187</v>
      </c>
      <c r="F379" s="9" t="s">
        <v>1236</v>
      </c>
      <c r="G379" s="9" t="s">
        <v>1237</v>
      </c>
      <c r="H379" s="9" t="s">
        <v>1238</v>
      </c>
      <c r="I379" s="10">
        <v>45484</v>
      </c>
    </row>
    <row r="380" spans="1:9" x14ac:dyDescent="0.15">
      <c r="A380" s="9">
        <v>379</v>
      </c>
      <c r="B380" s="9" t="s">
        <v>9</v>
      </c>
      <c r="C380" s="9">
        <v>1910</v>
      </c>
      <c r="D380" s="10">
        <v>45602</v>
      </c>
      <c r="E380" s="13" t="str">
        <f>+HYPERLINK("http://trademark.i-assist.jp/data/china/image_1910th/79742148.pdf","79742148")</f>
        <v>79742148</v>
      </c>
      <c r="F380" s="9" t="s">
        <v>1239</v>
      </c>
      <c r="G380" s="9" t="s">
        <v>1240</v>
      </c>
      <c r="H380" s="9" t="s">
        <v>1241</v>
      </c>
      <c r="I380" s="10">
        <v>45484</v>
      </c>
    </row>
    <row r="381" spans="1:9" x14ac:dyDescent="0.15">
      <c r="A381" s="9">
        <v>380</v>
      </c>
      <c r="B381" s="9" t="s">
        <v>9</v>
      </c>
      <c r="C381" s="9">
        <v>1910</v>
      </c>
      <c r="D381" s="10">
        <v>45602</v>
      </c>
      <c r="E381" s="13" t="str">
        <f>+HYPERLINK("http://trademark.i-assist.jp/data/china/image_1910th/79742395.pdf","79742395")</f>
        <v>79742395</v>
      </c>
      <c r="F381" s="11" t="s">
        <v>1242</v>
      </c>
      <c r="G381" s="9" t="s">
        <v>1243</v>
      </c>
      <c r="H381" s="9" t="s">
        <v>1244</v>
      </c>
      <c r="I381" s="10">
        <v>45484</v>
      </c>
    </row>
    <row r="382" spans="1:9" x14ac:dyDescent="0.15">
      <c r="A382" s="9">
        <v>381</v>
      </c>
      <c r="B382" s="9" t="s">
        <v>9</v>
      </c>
      <c r="C382" s="9">
        <v>1910</v>
      </c>
      <c r="D382" s="10">
        <v>45602</v>
      </c>
      <c r="E382" s="13" t="str">
        <f>+HYPERLINK("http://trademark.i-assist.jp/data/china/image_1910th/79743761.pdf","79743761")</f>
        <v>79743761</v>
      </c>
      <c r="F382" s="9" t="s">
        <v>1245</v>
      </c>
      <c r="G382" s="9" t="s">
        <v>1237</v>
      </c>
      <c r="H382" s="9" t="s">
        <v>1246</v>
      </c>
      <c r="I382" s="10">
        <v>45484</v>
      </c>
    </row>
    <row r="383" spans="1:9" x14ac:dyDescent="0.15">
      <c r="A383" s="9">
        <v>382</v>
      </c>
      <c r="B383" s="9" t="s">
        <v>9</v>
      </c>
      <c r="C383" s="9">
        <v>1910</v>
      </c>
      <c r="D383" s="10">
        <v>45602</v>
      </c>
      <c r="E383" s="13" t="str">
        <f>+HYPERLINK("http://trademark.i-assist.jp/data/china/image_1910th/79743922.pdf","79743922")</f>
        <v>79743922</v>
      </c>
      <c r="F383" s="9" t="s">
        <v>1247</v>
      </c>
      <c r="G383" s="9" t="s">
        <v>1248</v>
      </c>
      <c r="H383" s="9" t="s">
        <v>1249</v>
      </c>
      <c r="I383" s="10">
        <v>45484</v>
      </c>
    </row>
    <row r="384" spans="1:9" x14ac:dyDescent="0.15">
      <c r="A384" s="9">
        <v>383</v>
      </c>
      <c r="B384" s="9" t="s">
        <v>9</v>
      </c>
      <c r="C384" s="9">
        <v>1910</v>
      </c>
      <c r="D384" s="10">
        <v>45602</v>
      </c>
      <c r="E384" s="13" t="str">
        <f>+HYPERLINK("http://trademark.i-assist.jp/data/china/image_1910th/79745630.pdf","79745630")</f>
        <v>79745630</v>
      </c>
      <c r="F384" s="9" t="s">
        <v>1250</v>
      </c>
      <c r="G384" s="9" t="s">
        <v>1237</v>
      </c>
      <c r="H384" s="9" t="s">
        <v>1251</v>
      </c>
      <c r="I384" s="10">
        <v>45484</v>
      </c>
    </row>
    <row r="385" spans="1:9" x14ac:dyDescent="0.15">
      <c r="A385" s="9">
        <v>384</v>
      </c>
      <c r="B385" s="9" t="s">
        <v>9</v>
      </c>
      <c r="C385" s="9">
        <v>1910</v>
      </c>
      <c r="D385" s="10">
        <v>45602</v>
      </c>
      <c r="E385" s="13" t="str">
        <f>+HYPERLINK("http://trademark.i-assist.jp/data/china/image_1910th/79747669.pdf","79747669")</f>
        <v>79747669</v>
      </c>
      <c r="F385" s="9" t="s">
        <v>1252</v>
      </c>
      <c r="G385" s="11" t="s">
        <v>1253</v>
      </c>
      <c r="H385" s="9" t="s">
        <v>1254</v>
      </c>
      <c r="I385" s="10">
        <v>45484</v>
      </c>
    </row>
    <row r="386" spans="1:9" x14ac:dyDescent="0.15">
      <c r="A386" s="9">
        <v>385</v>
      </c>
      <c r="B386" s="9" t="s">
        <v>9</v>
      </c>
      <c r="C386" s="9">
        <v>1910</v>
      </c>
      <c r="D386" s="10">
        <v>45602</v>
      </c>
      <c r="E386" s="13" t="str">
        <f>+HYPERLINK("http://trademark.i-assist.jp/data/china/image_1910th/79749672.pdf","79749672")</f>
        <v>79749672</v>
      </c>
      <c r="F386" s="9" t="s">
        <v>1255</v>
      </c>
      <c r="G386" s="9" t="s">
        <v>1256</v>
      </c>
      <c r="H386" s="9" t="s">
        <v>1257</v>
      </c>
      <c r="I386" s="10">
        <v>45484</v>
      </c>
    </row>
    <row r="387" spans="1:9" x14ac:dyDescent="0.15">
      <c r="A387" s="9">
        <v>386</v>
      </c>
      <c r="B387" s="9" t="s">
        <v>9</v>
      </c>
      <c r="C387" s="9">
        <v>1910</v>
      </c>
      <c r="D387" s="10">
        <v>45602</v>
      </c>
      <c r="E387" s="13" t="str">
        <f>+HYPERLINK("http://trademark.i-assist.jp/data/china/image_1910th/79750294.pdf","79750294")</f>
        <v>79750294</v>
      </c>
      <c r="F387" s="9" t="s">
        <v>1258</v>
      </c>
      <c r="G387" s="11" t="s">
        <v>1259</v>
      </c>
      <c r="H387" s="9" t="s">
        <v>1260</v>
      </c>
      <c r="I387" s="10">
        <v>45484</v>
      </c>
    </row>
    <row r="388" spans="1:9" x14ac:dyDescent="0.15">
      <c r="A388" s="9">
        <v>387</v>
      </c>
      <c r="B388" s="9" t="s">
        <v>9</v>
      </c>
      <c r="C388" s="9">
        <v>1910</v>
      </c>
      <c r="D388" s="10">
        <v>45602</v>
      </c>
      <c r="E388" s="13" t="str">
        <f>+HYPERLINK("http://trademark.i-assist.jp/data/china/image_1910th/79751139.pdf","79751139")</f>
        <v>79751139</v>
      </c>
      <c r="F388" s="9" t="s">
        <v>1261</v>
      </c>
      <c r="G388" s="9" t="s">
        <v>1262</v>
      </c>
      <c r="H388" s="9" t="s">
        <v>1263</v>
      </c>
      <c r="I388" s="10">
        <v>45484</v>
      </c>
    </row>
    <row r="389" spans="1:9" x14ac:dyDescent="0.15">
      <c r="A389" s="9">
        <v>388</v>
      </c>
      <c r="B389" s="9" t="s">
        <v>9</v>
      </c>
      <c r="C389" s="9">
        <v>1910</v>
      </c>
      <c r="D389" s="10">
        <v>45602</v>
      </c>
      <c r="E389" s="13" t="str">
        <f>+HYPERLINK("http://trademark.i-assist.jp/data/china/image_1910th/79751628.pdf","79751628")</f>
        <v>79751628</v>
      </c>
      <c r="F389" s="9" t="s">
        <v>1264</v>
      </c>
      <c r="G389" s="9" t="s">
        <v>1265</v>
      </c>
      <c r="H389" s="9" t="s">
        <v>1266</v>
      </c>
      <c r="I389" s="10">
        <v>45484</v>
      </c>
    </row>
    <row r="390" spans="1:9" x14ac:dyDescent="0.15">
      <c r="A390" s="9">
        <v>389</v>
      </c>
      <c r="B390" s="9" t="s">
        <v>9</v>
      </c>
      <c r="C390" s="9">
        <v>1910</v>
      </c>
      <c r="D390" s="10">
        <v>45602</v>
      </c>
      <c r="E390" s="13" t="str">
        <f>+HYPERLINK("http://trademark.i-assist.jp/data/china/image_1910th/79755497.pdf","79755497")</f>
        <v>79755497</v>
      </c>
      <c r="F390" s="9" t="s">
        <v>1267</v>
      </c>
      <c r="G390" s="11" t="s">
        <v>1268</v>
      </c>
      <c r="H390" s="9" t="s">
        <v>1269</v>
      </c>
      <c r="I390" s="10">
        <v>45485</v>
      </c>
    </row>
    <row r="391" spans="1:9" x14ac:dyDescent="0.15">
      <c r="A391" s="9">
        <v>390</v>
      </c>
      <c r="B391" s="9" t="s">
        <v>9</v>
      </c>
      <c r="C391" s="9">
        <v>1910</v>
      </c>
      <c r="D391" s="10">
        <v>45602</v>
      </c>
      <c r="E391" s="13" t="str">
        <f>+HYPERLINK("http://trademark.i-assist.jp/data/china/image_1910th/79756287.pdf","79756287")</f>
        <v>79756287</v>
      </c>
      <c r="F391" s="9" t="s">
        <v>1270</v>
      </c>
      <c r="G391" s="11" t="s">
        <v>1271</v>
      </c>
      <c r="H391" s="9" t="s">
        <v>1272</v>
      </c>
      <c r="I391" s="10">
        <v>45485</v>
      </c>
    </row>
    <row r="392" spans="1:9" x14ac:dyDescent="0.15">
      <c r="A392" s="9">
        <v>391</v>
      </c>
      <c r="B392" s="9" t="s">
        <v>9</v>
      </c>
      <c r="C392" s="9">
        <v>1910</v>
      </c>
      <c r="D392" s="10">
        <v>45602</v>
      </c>
      <c r="E392" s="13" t="str">
        <f>+HYPERLINK("http://trademark.i-assist.jp/data/china/image_1910th/79756545.pdf","79756545")</f>
        <v>79756545</v>
      </c>
      <c r="F392" s="9" t="s">
        <v>1273</v>
      </c>
      <c r="G392" s="9" t="s">
        <v>1274</v>
      </c>
      <c r="H392" s="9" t="s">
        <v>1275</v>
      </c>
      <c r="I392" s="10">
        <v>45485</v>
      </c>
    </row>
    <row r="393" spans="1:9" x14ac:dyDescent="0.15">
      <c r="A393" s="9">
        <v>392</v>
      </c>
      <c r="B393" s="9" t="s">
        <v>9</v>
      </c>
      <c r="C393" s="9">
        <v>1910</v>
      </c>
      <c r="D393" s="10">
        <v>45602</v>
      </c>
      <c r="E393" s="13" t="str">
        <f>+HYPERLINK("http://trademark.i-assist.jp/data/china/image_1910th/79758265.pdf","79758265")</f>
        <v>79758265</v>
      </c>
      <c r="F393" s="9" t="s">
        <v>1276</v>
      </c>
      <c r="G393" s="11" t="s">
        <v>1277</v>
      </c>
      <c r="H393" s="9" t="s">
        <v>1278</v>
      </c>
      <c r="I393" s="10">
        <v>45485</v>
      </c>
    </row>
    <row r="394" spans="1:9" x14ac:dyDescent="0.15">
      <c r="A394" s="9">
        <v>393</v>
      </c>
      <c r="B394" s="9" t="s">
        <v>9</v>
      </c>
      <c r="C394" s="9">
        <v>1910</v>
      </c>
      <c r="D394" s="10">
        <v>45602</v>
      </c>
      <c r="E394" s="13" t="str">
        <f>+HYPERLINK("http://trademark.i-assist.jp/data/china/image_1910th/79758548.pdf","79758548")</f>
        <v>79758548</v>
      </c>
      <c r="F394" s="9" t="s">
        <v>1279</v>
      </c>
      <c r="G394" s="9" t="s">
        <v>1280</v>
      </c>
      <c r="H394" s="9" t="s">
        <v>1281</v>
      </c>
      <c r="I394" s="10">
        <v>45485</v>
      </c>
    </row>
    <row r="395" spans="1:9" x14ac:dyDescent="0.15">
      <c r="A395" s="9">
        <v>394</v>
      </c>
      <c r="B395" s="9" t="s">
        <v>9</v>
      </c>
      <c r="C395" s="9">
        <v>1910</v>
      </c>
      <c r="D395" s="10">
        <v>45602</v>
      </c>
      <c r="E395" s="13" t="str">
        <f>+HYPERLINK("http://trademark.i-assist.jp/data/china/image_1910th/79759328.pdf","79759328")</f>
        <v>79759328</v>
      </c>
      <c r="F395" s="9" t="s">
        <v>1282</v>
      </c>
      <c r="G395" s="9" t="s">
        <v>702</v>
      </c>
      <c r="H395" s="9" t="s">
        <v>1283</v>
      </c>
      <c r="I395" s="10">
        <v>45485</v>
      </c>
    </row>
    <row r="396" spans="1:9" x14ac:dyDescent="0.15">
      <c r="A396" s="9">
        <v>395</v>
      </c>
      <c r="B396" s="9" t="s">
        <v>9</v>
      </c>
      <c r="C396" s="9">
        <v>1910</v>
      </c>
      <c r="D396" s="10">
        <v>45602</v>
      </c>
      <c r="E396" s="13" t="str">
        <f>+HYPERLINK("http://trademark.i-assist.jp/data/china/image_1910th/79759794.pdf","79759794")</f>
        <v>79759794</v>
      </c>
      <c r="F396" s="9" t="s">
        <v>1284</v>
      </c>
      <c r="G396" s="11" t="s">
        <v>1285</v>
      </c>
      <c r="H396" s="9" t="s">
        <v>1286</v>
      </c>
      <c r="I396" s="10">
        <v>45485</v>
      </c>
    </row>
    <row r="397" spans="1:9" x14ac:dyDescent="0.15">
      <c r="A397" s="9">
        <v>396</v>
      </c>
      <c r="B397" s="9" t="s">
        <v>9</v>
      </c>
      <c r="C397" s="9">
        <v>1910</v>
      </c>
      <c r="D397" s="10">
        <v>45602</v>
      </c>
      <c r="E397" s="13" t="str">
        <f>+HYPERLINK("http://trademark.i-assist.jp/data/china/image_1910th/79760018.pdf","79760018")</f>
        <v>79760018</v>
      </c>
      <c r="F397" s="9" t="s">
        <v>1287</v>
      </c>
      <c r="G397" s="9" t="s">
        <v>1288</v>
      </c>
      <c r="H397" s="9" t="s">
        <v>1289</v>
      </c>
      <c r="I397" s="10">
        <v>45485</v>
      </c>
    </row>
    <row r="398" spans="1:9" x14ac:dyDescent="0.15">
      <c r="A398" s="9">
        <v>397</v>
      </c>
      <c r="B398" s="9" t="s">
        <v>9</v>
      </c>
      <c r="C398" s="9">
        <v>1910</v>
      </c>
      <c r="D398" s="10">
        <v>45602</v>
      </c>
      <c r="E398" s="13" t="str">
        <f>+HYPERLINK("http://trademark.i-assist.jp/data/china/image_1910th/79760086.pdf","79760086")</f>
        <v>79760086</v>
      </c>
      <c r="F398" s="9" t="s">
        <v>1276</v>
      </c>
      <c r="G398" s="11" t="s">
        <v>1277</v>
      </c>
      <c r="H398" s="9" t="s">
        <v>1290</v>
      </c>
      <c r="I398" s="10">
        <v>45485</v>
      </c>
    </row>
    <row r="399" spans="1:9" x14ac:dyDescent="0.15">
      <c r="A399" s="9">
        <v>398</v>
      </c>
      <c r="B399" s="9" t="s">
        <v>9</v>
      </c>
      <c r="C399" s="9">
        <v>1910</v>
      </c>
      <c r="D399" s="10">
        <v>45602</v>
      </c>
      <c r="E399" s="13" t="str">
        <f>+HYPERLINK("http://trademark.i-assist.jp/data/china/image_1910th/79760703.pdf","79760703")</f>
        <v>79760703</v>
      </c>
      <c r="F399" s="9" t="s">
        <v>1291</v>
      </c>
      <c r="G399" s="9" t="s">
        <v>55</v>
      </c>
      <c r="H399" s="9" t="s">
        <v>1292</v>
      </c>
      <c r="I399" s="10">
        <v>45485</v>
      </c>
    </row>
    <row r="400" spans="1:9" x14ac:dyDescent="0.15">
      <c r="A400" s="9">
        <v>399</v>
      </c>
      <c r="B400" s="9" t="s">
        <v>9</v>
      </c>
      <c r="C400" s="9">
        <v>1910</v>
      </c>
      <c r="D400" s="10">
        <v>45602</v>
      </c>
      <c r="E400" s="13" t="str">
        <f>+HYPERLINK("http://trademark.i-assist.jp/data/china/image_1910th/79767001.pdf","79767001")</f>
        <v>79767001</v>
      </c>
      <c r="F400" s="11" t="s">
        <v>1293</v>
      </c>
      <c r="G400" s="11" t="s">
        <v>1294</v>
      </c>
      <c r="H400" s="11" t="s">
        <v>1295</v>
      </c>
      <c r="I400" s="10">
        <v>45485</v>
      </c>
    </row>
    <row r="401" spans="1:9" x14ac:dyDescent="0.15">
      <c r="A401" s="9">
        <v>400</v>
      </c>
      <c r="B401" s="9" t="s">
        <v>9</v>
      </c>
      <c r="C401" s="9">
        <v>1910</v>
      </c>
      <c r="D401" s="10">
        <v>45602</v>
      </c>
      <c r="E401" s="13" t="str">
        <f>+HYPERLINK("http://trademark.i-assist.jp/data/china/image_1910th/79767669.pdf","79767669")</f>
        <v>79767669</v>
      </c>
      <c r="F401" s="9" t="s">
        <v>1296</v>
      </c>
      <c r="G401" s="11" t="s">
        <v>1297</v>
      </c>
      <c r="H401" s="9" t="s">
        <v>1298</v>
      </c>
      <c r="I401" s="10">
        <v>45485</v>
      </c>
    </row>
    <row r="402" spans="1:9" x14ac:dyDescent="0.15">
      <c r="A402" s="9">
        <v>401</v>
      </c>
      <c r="B402" s="9" t="s">
        <v>9</v>
      </c>
      <c r="C402" s="9">
        <v>1910</v>
      </c>
      <c r="D402" s="10">
        <v>45602</v>
      </c>
      <c r="E402" s="13" t="str">
        <f>+HYPERLINK("http://trademark.i-assist.jp/data/china/image_1910th/79771160.pdf","79771160")</f>
        <v>79771160</v>
      </c>
      <c r="F402" s="9" t="s">
        <v>1299</v>
      </c>
      <c r="G402" s="9" t="s">
        <v>1300</v>
      </c>
      <c r="H402" s="9" t="s">
        <v>1301</v>
      </c>
      <c r="I402" s="10">
        <v>45485</v>
      </c>
    </row>
    <row r="403" spans="1:9" x14ac:dyDescent="0.15">
      <c r="A403" s="9">
        <v>402</v>
      </c>
      <c r="B403" s="9" t="s">
        <v>9</v>
      </c>
      <c r="C403" s="9">
        <v>1910</v>
      </c>
      <c r="D403" s="10">
        <v>45602</v>
      </c>
      <c r="E403" s="13" t="str">
        <f>+HYPERLINK("http://trademark.i-assist.jp/data/china/image_1910th/79772705.pdf","79772705")</f>
        <v>79772705</v>
      </c>
      <c r="F403" s="9" t="s">
        <v>1276</v>
      </c>
      <c r="G403" s="11" t="s">
        <v>1277</v>
      </c>
      <c r="H403" s="9" t="s">
        <v>1302</v>
      </c>
      <c r="I403" s="10">
        <v>45485</v>
      </c>
    </row>
    <row r="404" spans="1:9" x14ac:dyDescent="0.15">
      <c r="A404" s="9">
        <v>403</v>
      </c>
      <c r="B404" s="9" t="s">
        <v>9</v>
      </c>
      <c r="C404" s="9">
        <v>1910</v>
      </c>
      <c r="D404" s="10">
        <v>45602</v>
      </c>
      <c r="E404" s="13" t="str">
        <f>+HYPERLINK("http://trademark.i-assist.jp/data/china/image_1910th/79774661.pdf","79774661")</f>
        <v>79774661</v>
      </c>
      <c r="F404" s="9" t="s">
        <v>1303</v>
      </c>
      <c r="G404" s="9" t="s">
        <v>1304</v>
      </c>
      <c r="H404" s="9" t="s">
        <v>1305</v>
      </c>
      <c r="I404" s="10">
        <v>45485</v>
      </c>
    </row>
    <row r="405" spans="1:9" x14ac:dyDescent="0.15">
      <c r="A405" s="9">
        <v>404</v>
      </c>
      <c r="B405" s="9" t="s">
        <v>9</v>
      </c>
      <c r="C405" s="9">
        <v>1910</v>
      </c>
      <c r="D405" s="10">
        <v>45602</v>
      </c>
      <c r="E405" s="13" t="str">
        <f>+HYPERLINK("http://trademark.i-assist.jp/data/china/image_1910th/79777047.pdf","79777047")</f>
        <v>79777047</v>
      </c>
      <c r="F405" s="9" t="s">
        <v>1306</v>
      </c>
      <c r="G405" s="9" t="s">
        <v>1307</v>
      </c>
      <c r="H405" s="9" t="s">
        <v>1308</v>
      </c>
      <c r="I405" s="10">
        <v>45486</v>
      </c>
    </row>
    <row r="406" spans="1:9" x14ac:dyDescent="0.15">
      <c r="A406" s="9">
        <v>405</v>
      </c>
      <c r="B406" s="9" t="s">
        <v>9</v>
      </c>
      <c r="C406" s="9">
        <v>1910</v>
      </c>
      <c r="D406" s="10">
        <v>45602</v>
      </c>
      <c r="E406" s="13" t="str">
        <f>+HYPERLINK("http://trademark.i-assist.jp/data/china/image_1910th/79777447.pdf","79777447")</f>
        <v>79777447</v>
      </c>
      <c r="F406" s="9" t="s">
        <v>1309</v>
      </c>
      <c r="G406" s="11" t="s">
        <v>1310</v>
      </c>
      <c r="H406" s="9" t="s">
        <v>1311</v>
      </c>
      <c r="I406" s="10">
        <v>45486</v>
      </c>
    </row>
    <row r="407" spans="1:9" x14ac:dyDescent="0.15">
      <c r="A407" s="9">
        <v>406</v>
      </c>
      <c r="B407" s="9" t="s">
        <v>9</v>
      </c>
      <c r="C407" s="9">
        <v>1910</v>
      </c>
      <c r="D407" s="10">
        <v>45602</v>
      </c>
      <c r="E407" s="13" t="str">
        <f>+HYPERLINK("http://trademark.i-assist.jp/data/china/image_1910th/79778251.pdf","79778251")</f>
        <v>79778251</v>
      </c>
      <c r="F407" s="9" t="s">
        <v>1312</v>
      </c>
      <c r="G407" s="9" t="s">
        <v>1313</v>
      </c>
      <c r="H407" s="9" t="s">
        <v>1314</v>
      </c>
      <c r="I407" s="10">
        <v>45486</v>
      </c>
    </row>
    <row r="408" spans="1:9" x14ac:dyDescent="0.15">
      <c r="A408" s="9">
        <v>407</v>
      </c>
      <c r="B408" s="9" t="s">
        <v>9</v>
      </c>
      <c r="C408" s="9">
        <v>1910</v>
      </c>
      <c r="D408" s="10">
        <v>45602</v>
      </c>
      <c r="E408" s="13" t="str">
        <f>+HYPERLINK("http://trademark.i-assist.jp/data/china/image_1910th/79778254.pdf","79778254")</f>
        <v>79778254</v>
      </c>
      <c r="F408" s="9" t="s">
        <v>1315</v>
      </c>
      <c r="G408" s="9" t="s">
        <v>1313</v>
      </c>
      <c r="H408" s="11" t="s">
        <v>1316</v>
      </c>
      <c r="I408" s="10">
        <v>45486</v>
      </c>
    </row>
    <row r="409" spans="1:9" x14ac:dyDescent="0.15">
      <c r="A409" s="9">
        <v>408</v>
      </c>
      <c r="B409" s="9" t="s">
        <v>9</v>
      </c>
      <c r="C409" s="9">
        <v>1910</v>
      </c>
      <c r="D409" s="10">
        <v>45602</v>
      </c>
      <c r="E409" s="13" t="str">
        <f>+HYPERLINK("http://trademark.i-assist.jp/data/china/image_1910th/79779366.pdf","79779366")</f>
        <v>79779366</v>
      </c>
      <c r="F409" s="9" t="s">
        <v>1317</v>
      </c>
      <c r="G409" s="9" t="s">
        <v>1307</v>
      </c>
      <c r="H409" s="9" t="s">
        <v>1318</v>
      </c>
      <c r="I409" s="10">
        <v>45486</v>
      </c>
    </row>
    <row r="410" spans="1:9" x14ac:dyDescent="0.15">
      <c r="A410" s="9">
        <v>409</v>
      </c>
      <c r="B410" s="9" t="s">
        <v>9</v>
      </c>
      <c r="C410" s="9">
        <v>1910</v>
      </c>
      <c r="D410" s="10">
        <v>45602</v>
      </c>
      <c r="E410" s="13" t="str">
        <f>+HYPERLINK("http://trademark.i-assist.jp/data/china/image_1910th/79781290.pdf","79781290")</f>
        <v>79781290</v>
      </c>
      <c r="F410" s="9" t="s">
        <v>1319</v>
      </c>
      <c r="G410" s="9" t="s">
        <v>1320</v>
      </c>
      <c r="H410" s="9" t="s">
        <v>1321</v>
      </c>
      <c r="I410" s="10">
        <v>45486</v>
      </c>
    </row>
    <row r="411" spans="1:9" x14ac:dyDescent="0.15">
      <c r="A411" s="9">
        <v>410</v>
      </c>
      <c r="B411" s="9" t="s">
        <v>9</v>
      </c>
      <c r="C411" s="9">
        <v>1910</v>
      </c>
      <c r="D411" s="10">
        <v>45602</v>
      </c>
      <c r="E411" s="13" t="str">
        <f>+HYPERLINK("http://trademark.i-assist.jp/data/china/image_1910th/79782601.pdf","79782601")</f>
        <v>79782601</v>
      </c>
      <c r="F411" s="9" t="s">
        <v>1322</v>
      </c>
      <c r="G411" s="9" t="s">
        <v>1323</v>
      </c>
      <c r="H411" s="9" t="s">
        <v>1324</v>
      </c>
      <c r="I411" s="10">
        <v>45487</v>
      </c>
    </row>
    <row r="412" spans="1:9" x14ac:dyDescent="0.15">
      <c r="A412" s="9">
        <v>411</v>
      </c>
      <c r="B412" s="9" t="s">
        <v>9</v>
      </c>
      <c r="C412" s="9">
        <v>1910</v>
      </c>
      <c r="D412" s="10">
        <v>45602</v>
      </c>
      <c r="E412" s="13" t="str">
        <f>+HYPERLINK("http://trademark.i-assist.jp/data/china/image_1910th/79784735.pdf","79784735")</f>
        <v>79784735</v>
      </c>
      <c r="F412" s="9" t="s">
        <v>1325</v>
      </c>
      <c r="G412" s="11" t="s">
        <v>1326</v>
      </c>
      <c r="H412" s="9" t="s">
        <v>1327</v>
      </c>
      <c r="I412" s="10">
        <v>45487</v>
      </c>
    </row>
    <row r="413" spans="1:9" x14ac:dyDescent="0.15">
      <c r="A413" s="9">
        <v>412</v>
      </c>
      <c r="B413" s="9" t="s">
        <v>9</v>
      </c>
      <c r="C413" s="9">
        <v>1910</v>
      </c>
      <c r="D413" s="10">
        <v>45602</v>
      </c>
      <c r="E413" s="13" t="str">
        <f>+HYPERLINK("http://trademark.i-assist.jp/data/china/image_1910th/79787113.pdf","79787113")</f>
        <v>79787113</v>
      </c>
      <c r="F413" s="9" t="s">
        <v>1328</v>
      </c>
      <c r="G413" s="9" t="s">
        <v>1329</v>
      </c>
      <c r="H413" s="9" t="s">
        <v>1330</v>
      </c>
      <c r="I413" s="10">
        <v>45488</v>
      </c>
    </row>
    <row r="414" spans="1:9" x14ac:dyDescent="0.15">
      <c r="A414" s="9">
        <v>413</v>
      </c>
      <c r="B414" s="9" t="s">
        <v>9</v>
      </c>
      <c r="C414" s="9">
        <v>1910</v>
      </c>
      <c r="D414" s="10">
        <v>45602</v>
      </c>
      <c r="E414" s="13" t="str">
        <f>+HYPERLINK("http://trademark.i-assist.jp/data/china/image_1910th/79787259.pdf","79787259")</f>
        <v>79787259</v>
      </c>
      <c r="F414" s="9" t="s">
        <v>1331</v>
      </c>
      <c r="G414" s="11" t="s">
        <v>1332</v>
      </c>
      <c r="H414" s="9" t="s">
        <v>1333</v>
      </c>
      <c r="I414" s="10">
        <v>45488</v>
      </c>
    </row>
    <row r="415" spans="1:9" x14ac:dyDescent="0.15">
      <c r="A415" s="9">
        <v>414</v>
      </c>
      <c r="B415" s="9" t="s">
        <v>9</v>
      </c>
      <c r="C415" s="9">
        <v>1910</v>
      </c>
      <c r="D415" s="10">
        <v>45602</v>
      </c>
      <c r="E415" s="13" t="str">
        <f>+HYPERLINK("http://trademark.i-assist.jp/data/china/image_1910th/79787462A.pdf","79787462A")</f>
        <v>79787462A</v>
      </c>
      <c r="F415" s="11" t="s">
        <v>1334</v>
      </c>
      <c r="G415" s="9" t="s">
        <v>1335</v>
      </c>
      <c r="H415" s="9" t="s">
        <v>1336</v>
      </c>
      <c r="I415" s="10">
        <v>45488</v>
      </c>
    </row>
    <row r="416" spans="1:9" x14ac:dyDescent="0.15">
      <c r="A416" s="9">
        <v>415</v>
      </c>
      <c r="B416" s="9" t="s">
        <v>9</v>
      </c>
      <c r="C416" s="9">
        <v>1910</v>
      </c>
      <c r="D416" s="10">
        <v>45602</v>
      </c>
      <c r="E416" s="13" t="str">
        <f>+HYPERLINK("http://trademark.i-assist.jp/data/china/image_1910th/79787557.pdf","79787557")</f>
        <v>79787557</v>
      </c>
      <c r="F416" s="9" t="s">
        <v>1337</v>
      </c>
      <c r="G416" s="9" t="s">
        <v>1338</v>
      </c>
      <c r="H416" s="11" t="s">
        <v>1339</v>
      </c>
      <c r="I416" s="10">
        <v>45488</v>
      </c>
    </row>
    <row r="417" spans="1:9" x14ac:dyDescent="0.15">
      <c r="A417" s="9">
        <v>416</v>
      </c>
      <c r="B417" s="9" t="s">
        <v>9</v>
      </c>
      <c r="C417" s="9">
        <v>1910</v>
      </c>
      <c r="D417" s="10">
        <v>45602</v>
      </c>
      <c r="E417" s="13" t="str">
        <f>+HYPERLINK("http://trademark.i-assist.jp/data/china/image_1910th/79789061.pdf","79789061")</f>
        <v>79789061</v>
      </c>
      <c r="F417" s="9" t="s">
        <v>1340</v>
      </c>
      <c r="G417" s="9" t="s">
        <v>1341</v>
      </c>
      <c r="H417" s="11" t="s">
        <v>1342</v>
      </c>
      <c r="I417" s="10">
        <v>45488</v>
      </c>
    </row>
    <row r="418" spans="1:9" x14ac:dyDescent="0.15">
      <c r="A418" s="9">
        <v>417</v>
      </c>
      <c r="B418" s="9" t="s">
        <v>9</v>
      </c>
      <c r="C418" s="9">
        <v>1910</v>
      </c>
      <c r="D418" s="10">
        <v>45602</v>
      </c>
      <c r="E418" s="13" t="str">
        <f>+HYPERLINK("http://trademark.i-assist.jp/data/china/image_1910th/79790990.pdf","79790990")</f>
        <v>79790990</v>
      </c>
      <c r="F418" s="9" t="s">
        <v>1343</v>
      </c>
      <c r="G418" s="11" t="s">
        <v>1344</v>
      </c>
      <c r="H418" s="9" t="s">
        <v>1345</v>
      </c>
      <c r="I418" s="10">
        <v>45488</v>
      </c>
    </row>
    <row r="419" spans="1:9" x14ac:dyDescent="0.15">
      <c r="A419" s="9">
        <v>418</v>
      </c>
      <c r="B419" s="9" t="s">
        <v>9</v>
      </c>
      <c r="C419" s="9">
        <v>1910</v>
      </c>
      <c r="D419" s="10">
        <v>45602</v>
      </c>
      <c r="E419" s="13" t="str">
        <f>+HYPERLINK("http://trademark.i-assist.jp/data/china/image_1910th/79791396.pdf","79791396")</f>
        <v>79791396</v>
      </c>
      <c r="F419" s="9" t="s">
        <v>1346</v>
      </c>
      <c r="G419" s="11" t="s">
        <v>1347</v>
      </c>
      <c r="H419" s="9" t="s">
        <v>1348</v>
      </c>
      <c r="I419" s="10">
        <v>45488</v>
      </c>
    </row>
    <row r="420" spans="1:9" x14ac:dyDescent="0.15">
      <c r="A420" s="9">
        <v>419</v>
      </c>
      <c r="B420" s="9" t="s">
        <v>9</v>
      </c>
      <c r="C420" s="9">
        <v>1910</v>
      </c>
      <c r="D420" s="10">
        <v>45602</v>
      </c>
      <c r="E420" s="13" t="str">
        <f>+HYPERLINK("http://trademark.i-assist.jp/data/china/image_1910th/79791711.pdf","79791711")</f>
        <v>79791711</v>
      </c>
      <c r="F420" s="9" t="s">
        <v>1349</v>
      </c>
      <c r="G420" s="9" t="s">
        <v>1350</v>
      </c>
      <c r="H420" s="9" t="s">
        <v>1351</v>
      </c>
      <c r="I420" s="10">
        <v>45488</v>
      </c>
    </row>
    <row r="421" spans="1:9" x14ac:dyDescent="0.15">
      <c r="A421" s="9">
        <v>420</v>
      </c>
      <c r="B421" s="9" t="s">
        <v>9</v>
      </c>
      <c r="C421" s="9">
        <v>1910</v>
      </c>
      <c r="D421" s="10">
        <v>45602</v>
      </c>
      <c r="E421" s="13" t="str">
        <f>+HYPERLINK("http://trademark.i-assist.jp/data/china/image_1910th/79797114.pdf","79797114")</f>
        <v>79797114</v>
      </c>
      <c r="F421" s="11" t="s">
        <v>1352</v>
      </c>
      <c r="G421" s="9" t="s">
        <v>1353</v>
      </c>
      <c r="H421" s="11" t="s">
        <v>1354</v>
      </c>
      <c r="I421" s="10">
        <v>45488</v>
      </c>
    </row>
    <row r="422" spans="1:9" x14ac:dyDescent="0.15">
      <c r="A422" s="9">
        <v>421</v>
      </c>
      <c r="B422" s="9" t="s">
        <v>9</v>
      </c>
      <c r="C422" s="9">
        <v>1910</v>
      </c>
      <c r="D422" s="10">
        <v>45602</v>
      </c>
      <c r="E422" s="13" t="str">
        <f>+HYPERLINK("http://trademark.i-assist.jp/data/china/image_1910th/79797439.pdf","79797439")</f>
        <v>79797439</v>
      </c>
      <c r="F422" s="9" t="s">
        <v>1355</v>
      </c>
      <c r="G422" s="11" t="s">
        <v>1356</v>
      </c>
      <c r="H422" s="11" t="s">
        <v>1357</v>
      </c>
      <c r="I422" s="10">
        <v>45488</v>
      </c>
    </row>
    <row r="423" spans="1:9" x14ac:dyDescent="0.15">
      <c r="A423" s="9">
        <v>422</v>
      </c>
      <c r="B423" s="9" t="s">
        <v>9</v>
      </c>
      <c r="C423" s="9">
        <v>1910</v>
      </c>
      <c r="D423" s="10">
        <v>45602</v>
      </c>
      <c r="E423" s="13" t="str">
        <f>+HYPERLINK("http://trademark.i-assist.jp/data/china/image_1910th/79801575.pdf","79801575")</f>
        <v>79801575</v>
      </c>
      <c r="F423" s="9" t="s">
        <v>1358</v>
      </c>
      <c r="G423" s="9" t="s">
        <v>1359</v>
      </c>
      <c r="H423" s="9" t="s">
        <v>1360</v>
      </c>
      <c r="I423" s="10">
        <v>45488</v>
      </c>
    </row>
    <row r="424" spans="1:9" x14ac:dyDescent="0.15">
      <c r="A424" s="9">
        <v>423</v>
      </c>
      <c r="B424" s="9" t="s">
        <v>9</v>
      </c>
      <c r="C424" s="9">
        <v>1910</v>
      </c>
      <c r="D424" s="10">
        <v>45602</v>
      </c>
      <c r="E424" s="13" t="str">
        <f>+HYPERLINK("http://trademark.i-assist.jp/data/china/image_1910th/79803629.pdf","79803629")</f>
        <v>79803629</v>
      </c>
      <c r="F424" s="9" t="s">
        <v>1361</v>
      </c>
      <c r="G424" s="9" t="s">
        <v>1362</v>
      </c>
      <c r="H424" s="9" t="s">
        <v>1363</v>
      </c>
      <c r="I424" s="10">
        <v>45488</v>
      </c>
    </row>
    <row r="425" spans="1:9" x14ac:dyDescent="0.15">
      <c r="A425" s="9">
        <v>424</v>
      </c>
      <c r="B425" s="9" t="s">
        <v>9</v>
      </c>
      <c r="C425" s="9">
        <v>1910</v>
      </c>
      <c r="D425" s="10">
        <v>45602</v>
      </c>
      <c r="E425" s="13" t="str">
        <f>+HYPERLINK("http://trademark.i-assist.jp/data/china/image_1910th/79805239.pdf","79805239")</f>
        <v>79805239</v>
      </c>
      <c r="F425" s="9" t="s">
        <v>1364</v>
      </c>
      <c r="G425" s="9" t="s">
        <v>1365</v>
      </c>
      <c r="H425" s="9" t="s">
        <v>1366</v>
      </c>
      <c r="I425" s="10">
        <v>45488</v>
      </c>
    </row>
    <row r="426" spans="1:9" x14ac:dyDescent="0.15">
      <c r="A426" s="9">
        <v>425</v>
      </c>
      <c r="B426" s="9" t="s">
        <v>9</v>
      </c>
      <c r="C426" s="9">
        <v>1910</v>
      </c>
      <c r="D426" s="10">
        <v>45602</v>
      </c>
      <c r="E426" s="13" t="str">
        <f>+HYPERLINK("http://trademark.i-assist.jp/data/china/image_1910th/79809076.pdf","79809076")</f>
        <v>79809076</v>
      </c>
      <c r="F426" s="9" t="s">
        <v>1367</v>
      </c>
      <c r="G426" s="11" t="s">
        <v>1368</v>
      </c>
      <c r="H426" s="9" t="s">
        <v>1369</v>
      </c>
      <c r="I426" s="10">
        <v>45489</v>
      </c>
    </row>
    <row r="427" spans="1:9" x14ac:dyDescent="0.15">
      <c r="A427" s="9">
        <v>426</v>
      </c>
      <c r="B427" s="9" t="s">
        <v>9</v>
      </c>
      <c r="C427" s="9">
        <v>1910</v>
      </c>
      <c r="D427" s="10">
        <v>45602</v>
      </c>
      <c r="E427" s="13" t="str">
        <f>+HYPERLINK("http://trademark.i-assist.jp/data/china/image_1910th/79810446.pdf","79810446")</f>
        <v>79810446</v>
      </c>
      <c r="F427" s="11" t="s">
        <v>19</v>
      </c>
      <c r="G427" s="9" t="s">
        <v>1370</v>
      </c>
      <c r="H427" s="9" t="s">
        <v>1371</v>
      </c>
      <c r="I427" s="10">
        <v>45489</v>
      </c>
    </row>
    <row r="428" spans="1:9" x14ac:dyDescent="0.15">
      <c r="A428" s="9">
        <v>427</v>
      </c>
      <c r="B428" s="9" t="s">
        <v>9</v>
      </c>
      <c r="C428" s="9">
        <v>1910</v>
      </c>
      <c r="D428" s="10">
        <v>45602</v>
      </c>
      <c r="E428" s="13" t="str">
        <f>+HYPERLINK("http://trademark.i-assist.jp/data/china/image_1910th/79810749.pdf","79810749")</f>
        <v>79810749</v>
      </c>
      <c r="F428" s="9" t="s">
        <v>1372</v>
      </c>
      <c r="G428" s="9" t="s">
        <v>1373</v>
      </c>
      <c r="H428" s="9" t="s">
        <v>1374</v>
      </c>
      <c r="I428" s="10">
        <v>45489</v>
      </c>
    </row>
    <row r="429" spans="1:9" x14ac:dyDescent="0.15">
      <c r="A429" s="9">
        <v>428</v>
      </c>
      <c r="B429" s="9" t="s">
        <v>9</v>
      </c>
      <c r="C429" s="9">
        <v>1910</v>
      </c>
      <c r="D429" s="10">
        <v>45602</v>
      </c>
      <c r="E429" s="13" t="str">
        <f>+HYPERLINK("http://trademark.i-assist.jp/data/china/image_1910th/79810802.pdf","79810802")</f>
        <v>79810802</v>
      </c>
      <c r="F429" s="11" t="s">
        <v>1375</v>
      </c>
      <c r="G429" s="9" t="s">
        <v>1376</v>
      </c>
      <c r="H429" s="11" t="s">
        <v>1377</v>
      </c>
      <c r="I429" s="10">
        <v>45489</v>
      </c>
    </row>
    <row r="430" spans="1:9" x14ac:dyDescent="0.15">
      <c r="A430" s="9">
        <v>429</v>
      </c>
      <c r="B430" s="9" t="s">
        <v>9</v>
      </c>
      <c r="C430" s="9">
        <v>1910</v>
      </c>
      <c r="D430" s="10">
        <v>45602</v>
      </c>
      <c r="E430" s="13" t="str">
        <f>+HYPERLINK("http://trademark.i-assist.jp/data/china/image_1910th/79815359.pdf","79815359")</f>
        <v>79815359</v>
      </c>
      <c r="F430" s="9" t="s">
        <v>1378</v>
      </c>
      <c r="G430" s="9" t="s">
        <v>1379</v>
      </c>
      <c r="H430" s="9" t="s">
        <v>1380</v>
      </c>
      <c r="I430" s="10">
        <v>45489</v>
      </c>
    </row>
    <row r="431" spans="1:9" x14ac:dyDescent="0.15">
      <c r="A431" s="9">
        <v>430</v>
      </c>
      <c r="B431" s="9" t="s">
        <v>9</v>
      </c>
      <c r="C431" s="9">
        <v>1910</v>
      </c>
      <c r="D431" s="10">
        <v>45602</v>
      </c>
      <c r="E431" s="13" t="str">
        <f>+HYPERLINK("http://trademark.i-assist.jp/data/china/image_1910th/79815383.pdf","79815383")</f>
        <v>79815383</v>
      </c>
      <c r="F431" s="9" t="s">
        <v>1381</v>
      </c>
      <c r="G431" s="9" t="s">
        <v>1376</v>
      </c>
      <c r="H431" s="9" t="s">
        <v>1382</v>
      </c>
      <c r="I431" s="10">
        <v>45489</v>
      </c>
    </row>
    <row r="432" spans="1:9" x14ac:dyDescent="0.15">
      <c r="A432" s="9">
        <v>431</v>
      </c>
      <c r="B432" s="9" t="s">
        <v>9</v>
      </c>
      <c r="C432" s="9">
        <v>1910</v>
      </c>
      <c r="D432" s="10">
        <v>45602</v>
      </c>
      <c r="E432" s="13" t="str">
        <f>+HYPERLINK("http://trademark.i-assist.jp/data/china/image_1910th/79815860.pdf","79815860")</f>
        <v>79815860</v>
      </c>
      <c r="F432" s="9" t="s">
        <v>1383</v>
      </c>
      <c r="G432" s="9" t="s">
        <v>1384</v>
      </c>
      <c r="H432" s="9" t="s">
        <v>1385</v>
      </c>
      <c r="I432" s="10">
        <v>45489</v>
      </c>
    </row>
    <row r="433" spans="1:9" x14ac:dyDescent="0.15">
      <c r="A433" s="9">
        <v>432</v>
      </c>
      <c r="B433" s="9" t="s">
        <v>9</v>
      </c>
      <c r="C433" s="9">
        <v>1910</v>
      </c>
      <c r="D433" s="10">
        <v>45602</v>
      </c>
      <c r="E433" s="13" t="str">
        <f>+HYPERLINK("http://trademark.i-assist.jp/data/china/image_1910th/79817488.pdf","79817488")</f>
        <v>79817488</v>
      </c>
      <c r="F433" s="9" t="s">
        <v>1386</v>
      </c>
      <c r="G433" s="9" t="s">
        <v>1387</v>
      </c>
      <c r="H433" s="9" t="s">
        <v>1388</v>
      </c>
      <c r="I433" s="10">
        <v>45489</v>
      </c>
    </row>
    <row r="434" spans="1:9" x14ac:dyDescent="0.15">
      <c r="A434" s="9">
        <v>433</v>
      </c>
      <c r="B434" s="9" t="s">
        <v>9</v>
      </c>
      <c r="C434" s="9">
        <v>1910</v>
      </c>
      <c r="D434" s="10">
        <v>45602</v>
      </c>
      <c r="E434" s="13" t="str">
        <f>+HYPERLINK("http://trademark.i-assist.jp/data/china/image_1910th/79818127.pdf","79818127")</f>
        <v>79818127</v>
      </c>
      <c r="F434" s="9" t="s">
        <v>1389</v>
      </c>
      <c r="G434" s="9" t="s">
        <v>62</v>
      </c>
      <c r="H434" s="9" t="s">
        <v>1390</v>
      </c>
      <c r="I434" s="10">
        <v>45489</v>
      </c>
    </row>
    <row r="435" spans="1:9" x14ac:dyDescent="0.15">
      <c r="A435" s="9">
        <v>434</v>
      </c>
      <c r="B435" s="9" t="s">
        <v>9</v>
      </c>
      <c r="C435" s="9">
        <v>1910</v>
      </c>
      <c r="D435" s="10">
        <v>45602</v>
      </c>
      <c r="E435" s="13" t="str">
        <f>+HYPERLINK("http://trademark.i-assist.jp/data/china/image_1910th/79818363.pdf","79818363")</f>
        <v>79818363</v>
      </c>
      <c r="F435" s="11" t="s">
        <v>1391</v>
      </c>
      <c r="G435" s="9" t="s">
        <v>70</v>
      </c>
      <c r="H435" s="11" t="s">
        <v>1392</v>
      </c>
      <c r="I435" s="10">
        <v>45489</v>
      </c>
    </row>
    <row r="436" spans="1:9" x14ac:dyDescent="0.15">
      <c r="A436" s="9">
        <v>435</v>
      </c>
      <c r="B436" s="9" t="s">
        <v>9</v>
      </c>
      <c r="C436" s="9">
        <v>1910</v>
      </c>
      <c r="D436" s="10">
        <v>45602</v>
      </c>
      <c r="E436" s="13" t="str">
        <f>+HYPERLINK("http://trademark.i-assist.jp/data/china/image_1910th/79818924.pdf","79818924")</f>
        <v>79818924</v>
      </c>
      <c r="F436" s="9" t="s">
        <v>1393</v>
      </c>
      <c r="G436" s="9" t="s">
        <v>1394</v>
      </c>
      <c r="H436" s="9" t="s">
        <v>1395</v>
      </c>
      <c r="I436" s="10">
        <v>45489</v>
      </c>
    </row>
    <row r="437" spans="1:9" x14ac:dyDescent="0.15">
      <c r="A437" s="9">
        <v>436</v>
      </c>
      <c r="B437" s="9" t="s">
        <v>9</v>
      </c>
      <c r="C437" s="9">
        <v>1910</v>
      </c>
      <c r="D437" s="10">
        <v>45602</v>
      </c>
      <c r="E437" s="13" t="str">
        <f>+HYPERLINK("http://trademark.i-assist.jp/data/china/image_1910th/79819934.pdf","79819934")</f>
        <v>79819934</v>
      </c>
      <c r="F437" s="9" t="s">
        <v>1396</v>
      </c>
      <c r="G437" s="9" t="s">
        <v>1397</v>
      </c>
      <c r="H437" s="9" t="s">
        <v>1398</v>
      </c>
      <c r="I437" s="10">
        <v>45489</v>
      </c>
    </row>
    <row r="438" spans="1:9" x14ac:dyDescent="0.15">
      <c r="A438" s="9">
        <v>437</v>
      </c>
      <c r="B438" s="9" t="s">
        <v>9</v>
      </c>
      <c r="C438" s="9">
        <v>1910</v>
      </c>
      <c r="D438" s="10">
        <v>45602</v>
      </c>
      <c r="E438" s="13" t="str">
        <f>+HYPERLINK("http://trademark.i-assist.jp/data/china/image_1910th/79820901.pdf","79820901")</f>
        <v>79820901</v>
      </c>
      <c r="F438" s="9" t="s">
        <v>1399</v>
      </c>
      <c r="G438" s="11" t="s">
        <v>1400</v>
      </c>
      <c r="H438" s="9" t="s">
        <v>1401</v>
      </c>
      <c r="I438" s="10">
        <v>45489</v>
      </c>
    </row>
    <row r="439" spans="1:9" x14ac:dyDescent="0.15">
      <c r="A439" s="9">
        <v>438</v>
      </c>
      <c r="B439" s="9" t="s">
        <v>9</v>
      </c>
      <c r="C439" s="9">
        <v>1910</v>
      </c>
      <c r="D439" s="10">
        <v>45602</v>
      </c>
      <c r="E439" s="13" t="str">
        <f>+HYPERLINK("http://trademark.i-assist.jp/data/china/image_1910th/79821122.pdf","79821122")</f>
        <v>79821122</v>
      </c>
      <c r="F439" s="9" t="s">
        <v>1402</v>
      </c>
      <c r="G439" s="9" t="s">
        <v>1403</v>
      </c>
      <c r="H439" s="9" t="s">
        <v>1404</v>
      </c>
      <c r="I439" s="10">
        <v>45489</v>
      </c>
    </row>
    <row r="440" spans="1:9" x14ac:dyDescent="0.15">
      <c r="A440" s="9">
        <v>439</v>
      </c>
      <c r="B440" s="9" t="s">
        <v>9</v>
      </c>
      <c r="C440" s="9">
        <v>1910</v>
      </c>
      <c r="D440" s="10">
        <v>45602</v>
      </c>
      <c r="E440" s="13" t="str">
        <f>+HYPERLINK("http://trademark.i-assist.jp/data/china/image_1910th/79822103.pdf","79822103")</f>
        <v>79822103</v>
      </c>
      <c r="F440" s="9" t="s">
        <v>1405</v>
      </c>
      <c r="G440" s="11" t="s">
        <v>1406</v>
      </c>
      <c r="H440" s="11" t="s">
        <v>1407</v>
      </c>
      <c r="I440" s="10">
        <v>45489</v>
      </c>
    </row>
    <row r="441" spans="1:9" x14ac:dyDescent="0.15">
      <c r="A441" s="9">
        <v>440</v>
      </c>
      <c r="B441" s="9" t="s">
        <v>9</v>
      </c>
      <c r="C441" s="9">
        <v>1910</v>
      </c>
      <c r="D441" s="10">
        <v>45602</v>
      </c>
      <c r="E441" s="13" t="str">
        <f>+HYPERLINK("http://trademark.i-assist.jp/data/china/image_1910th/79822904.pdf","79822904")</f>
        <v>79822904</v>
      </c>
      <c r="F441" s="11" t="s">
        <v>19</v>
      </c>
      <c r="G441" s="11" t="s">
        <v>1408</v>
      </c>
      <c r="H441" s="11" t="s">
        <v>1409</v>
      </c>
      <c r="I441" s="10">
        <v>45489</v>
      </c>
    </row>
    <row r="442" spans="1:9" x14ac:dyDescent="0.15">
      <c r="A442" s="9">
        <v>441</v>
      </c>
      <c r="B442" s="9" t="s">
        <v>9</v>
      </c>
      <c r="C442" s="9">
        <v>1910</v>
      </c>
      <c r="D442" s="10">
        <v>45602</v>
      </c>
      <c r="E442" s="13" t="str">
        <f>+HYPERLINK("http://trademark.i-assist.jp/data/china/image_1910th/79826148.pdf","79826148")</f>
        <v>79826148</v>
      </c>
      <c r="F442" s="11" t="s">
        <v>1410</v>
      </c>
      <c r="G442" s="9" t="s">
        <v>88</v>
      </c>
      <c r="H442" s="9" t="s">
        <v>1411</v>
      </c>
      <c r="I442" s="10">
        <v>45489</v>
      </c>
    </row>
    <row r="443" spans="1:9" x14ac:dyDescent="0.15">
      <c r="A443" s="9">
        <v>442</v>
      </c>
      <c r="B443" s="9" t="s">
        <v>9</v>
      </c>
      <c r="C443" s="9">
        <v>1910</v>
      </c>
      <c r="D443" s="10">
        <v>45602</v>
      </c>
      <c r="E443" s="13" t="str">
        <f>+HYPERLINK("http://trademark.i-assist.jp/data/china/image_1910th/79828361.pdf","79828361")</f>
        <v>79828361</v>
      </c>
      <c r="F443" s="9" t="s">
        <v>1412</v>
      </c>
      <c r="G443" s="11" t="s">
        <v>1408</v>
      </c>
      <c r="H443" s="9" t="s">
        <v>1413</v>
      </c>
      <c r="I443" s="10">
        <v>45489</v>
      </c>
    </row>
    <row r="444" spans="1:9" x14ac:dyDescent="0.15">
      <c r="A444" s="9">
        <v>443</v>
      </c>
      <c r="B444" s="9" t="s">
        <v>9</v>
      </c>
      <c r="C444" s="9">
        <v>1910</v>
      </c>
      <c r="D444" s="10">
        <v>45602</v>
      </c>
      <c r="E444" s="13" t="str">
        <f>+HYPERLINK("http://trademark.i-assist.jp/data/china/image_1910th/79828427.pdf","79828427")</f>
        <v>79828427</v>
      </c>
      <c r="F444" s="11" t="s">
        <v>1414</v>
      </c>
      <c r="G444" s="9" t="s">
        <v>88</v>
      </c>
      <c r="H444" s="9" t="s">
        <v>1415</v>
      </c>
      <c r="I444" s="10">
        <v>45489</v>
      </c>
    </row>
    <row r="445" spans="1:9" x14ac:dyDescent="0.15">
      <c r="A445" s="9">
        <v>444</v>
      </c>
      <c r="B445" s="9" t="s">
        <v>9</v>
      </c>
      <c r="C445" s="9">
        <v>1910</v>
      </c>
      <c r="D445" s="10">
        <v>45602</v>
      </c>
      <c r="E445" s="13" t="str">
        <f>+HYPERLINK("http://trademark.i-assist.jp/data/china/image_1910th/79828435.pdf","79828435")</f>
        <v>79828435</v>
      </c>
      <c r="F445" s="9" t="s">
        <v>1416</v>
      </c>
      <c r="G445" s="11" t="s">
        <v>1417</v>
      </c>
      <c r="H445" s="9" t="s">
        <v>1418</v>
      </c>
      <c r="I445" s="10">
        <v>45489</v>
      </c>
    </row>
    <row r="446" spans="1:9" x14ac:dyDescent="0.15">
      <c r="A446" s="9">
        <v>445</v>
      </c>
      <c r="B446" s="9" t="s">
        <v>9</v>
      </c>
      <c r="C446" s="9">
        <v>1910</v>
      </c>
      <c r="D446" s="10">
        <v>45602</v>
      </c>
      <c r="E446" s="13" t="str">
        <f>+HYPERLINK("http://trademark.i-assist.jp/data/china/image_1910th/79829159.pdf","79829159")</f>
        <v>79829159</v>
      </c>
      <c r="F446" s="9" t="s">
        <v>1419</v>
      </c>
      <c r="G446" s="11" t="s">
        <v>1420</v>
      </c>
      <c r="H446" s="9" t="s">
        <v>1421</v>
      </c>
      <c r="I446" s="10">
        <v>45489</v>
      </c>
    </row>
    <row r="447" spans="1:9" x14ac:dyDescent="0.15">
      <c r="A447" s="9">
        <v>446</v>
      </c>
      <c r="B447" s="9" t="s">
        <v>9</v>
      </c>
      <c r="C447" s="9">
        <v>1910</v>
      </c>
      <c r="D447" s="10">
        <v>45602</v>
      </c>
      <c r="E447" s="13" t="str">
        <f>+HYPERLINK("http://trademark.i-assist.jp/data/china/image_1910th/79829328.pdf","79829328")</f>
        <v>79829328</v>
      </c>
      <c r="F447" s="11" t="s">
        <v>1422</v>
      </c>
      <c r="G447" s="11" t="s">
        <v>1423</v>
      </c>
      <c r="H447" s="9" t="s">
        <v>1424</v>
      </c>
      <c r="I447" s="10">
        <v>45489</v>
      </c>
    </row>
    <row r="448" spans="1:9" x14ac:dyDescent="0.15">
      <c r="A448" s="9">
        <v>447</v>
      </c>
      <c r="B448" s="9" t="s">
        <v>9</v>
      </c>
      <c r="C448" s="9">
        <v>1910</v>
      </c>
      <c r="D448" s="10">
        <v>45602</v>
      </c>
      <c r="E448" s="13" t="str">
        <f>+HYPERLINK("http://trademark.i-assist.jp/data/china/image_1910th/79832753.pdf","79832753")</f>
        <v>79832753</v>
      </c>
      <c r="F448" s="11" t="s">
        <v>1425</v>
      </c>
      <c r="G448" s="11" t="s">
        <v>1426</v>
      </c>
      <c r="H448" s="9" t="s">
        <v>1427</v>
      </c>
      <c r="I448" s="10">
        <v>45490</v>
      </c>
    </row>
    <row r="449" spans="1:9" x14ac:dyDescent="0.15">
      <c r="A449" s="9">
        <v>448</v>
      </c>
      <c r="B449" s="9" t="s">
        <v>9</v>
      </c>
      <c r="C449" s="9">
        <v>1910</v>
      </c>
      <c r="D449" s="10">
        <v>45602</v>
      </c>
      <c r="E449" s="13" t="str">
        <f>+HYPERLINK("http://trademark.i-assist.jp/data/china/image_1910th/79833358.pdf","79833358")</f>
        <v>79833358</v>
      </c>
      <c r="F449" s="9" t="s">
        <v>1428</v>
      </c>
      <c r="G449" s="11" t="s">
        <v>1429</v>
      </c>
      <c r="H449" s="9" t="s">
        <v>1430</v>
      </c>
      <c r="I449" s="10">
        <v>45490</v>
      </c>
    </row>
    <row r="450" spans="1:9" x14ac:dyDescent="0.15">
      <c r="A450" s="9">
        <v>449</v>
      </c>
      <c r="B450" s="9" t="s">
        <v>9</v>
      </c>
      <c r="C450" s="9">
        <v>1910</v>
      </c>
      <c r="D450" s="10">
        <v>45602</v>
      </c>
      <c r="E450" s="13" t="str">
        <f>+HYPERLINK("http://trademark.i-assist.jp/data/china/image_1910th/79835571.pdf","79835571")</f>
        <v>79835571</v>
      </c>
      <c r="F450" s="11" t="s">
        <v>19</v>
      </c>
      <c r="G450" s="9" t="s">
        <v>1431</v>
      </c>
      <c r="H450" s="9" t="s">
        <v>1432</v>
      </c>
      <c r="I450" s="10">
        <v>45490</v>
      </c>
    </row>
    <row r="451" spans="1:9" x14ac:dyDescent="0.15">
      <c r="A451" s="9">
        <v>450</v>
      </c>
      <c r="B451" s="9" t="s">
        <v>9</v>
      </c>
      <c r="C451" s="9">
        <v>1910</v>
      </c>
      <c r="D451" s="10">
        <v>45602</v>
      </c>
      <c r="E451" s="13" t="str">
        <f>+HYPERLINK("http://trademark.i-assist.jp/data/china/image_1910th/79836954.pdf","79836954")</f>
        <v>79836954</v>
      </c>
      <c r="F451" s="11" t="s">
        <v>19</v>
      </c>
      <c r="G451" s="11" t="s">
        <v>1433</v>
      </c>
      <c r="H451" s="9" t="s">
        <v>1434</v>
      </c>
      <c r="I451" s="10">
        <v>45490</v>
      </c>
    </row>
    <row r="452" spans="1:9" x14ac:dyDescent="0.15">
      <c r="A452" s="9">
        <v>451</v>
      </c>
      <c r="B452" s="9" t="s">
        <v>9</v>
      </c>
      <c r="C452" s="9">
        <v>1910</v>
      </c>
      <c r="D452" s="10">
        <v>45602</v>
      </c>
      <c r="E452" s="13" t="str">
        <f>+HYPERLINK("http://trademark.i-assist.jp/data/china/image_1910th/79838372.pdf","79838372")</f>
        <v>79838372</v>
      </c>
      <c r="F452" s="9" t="s">
        <v>1435</v>
      </c>
      <c r="G452" s="11" t="s">
        <v>45</v>
      </c>
      <c r="H452" s="9" t="s">
        <v>1436</v>
      </c>
      <c r="I452" s="10">
        <v>45490</v>
      </c>
    </row>
    <row r="453" spans="1:9" x14ac:dyDescent="0.15">
      <c r="A453" s="9">
        <v>452</v>
      </c>
      <c r="B453" s="9" t="s">
        <v>9</v>
      </c>
      <c r="C453" s="9">
        <v>1910</v>
      </c>
      <c r="D453" s="10">
        <v>45602</v>
      </c>
      <c r="E453" s="13" t="str">
        <f>+HYPERLINK("http://trademark.i-assist.jp/data/china/image_1910th/79839273.pdf","79839273")</f>
        <v>79839273</v>
      </c>
      <c r="F453" s="9" t="s">
        <v>1437</v>
      </c>
      <c r="G453" s="9" t="s">
        <v>1438</v>
      </c>
      <c r="H453" s="9" t="s">
        <v>10</v>
      </c>
      <c r="I453" s="10">
        <v>45490</v>
      </c>
    </row>
    <row r="454" spans="1:9" x14ac:dyDescent="0.15">
      <c r="A454" s="9">
        <v>453</v>
      </c>
      <c r="B454" s="9" t="s">
        <v>9</v>
      </c>
      <c r="C454" s="9">
        <v>1910</v>
      </c>
      <c r="D454" s="10">
        <v>45602</v>
      </c>
      <c r="E454" s="13" t="str">
        <f>+HYPERLINK("http://trademark.i-assist.jp/data/china/image_1910th/79840486.pdf","79840486")</f>
        <v>79840486</v>
      </c>
      <c r="F454" s="11" t="s">
        <v>19</v>
      </c>
      <c r="G454" s="11" t="s">
        <v>1439</v>
      </c>
      <c r="H454" s="9" t="s">
        <v>1440</v>
      </c>
      <c r="I454" s="10">
        <v>45490</v>
      </c>
    </row>
    <row r="455" spans="1:9" x14ac:dyDescent="0.15">
      <c r="A455" s="9">
        <v>454</v>
      </c>
      <c r="B455" s="9" t="s">
        <v>9</v>
      </c>
      <c r="C455" s="9">
        <v>1910</v>
      </c>
      <c r="D455" s="10">
        <v>45602</v>
      </c>
      <c r="E455" s="13" t="str">
        <f>+HYPERLINK("http://trademark.i-assist.jp/data/china/image_1910th/79840524.pdf","79840524")</f>
        <v>79840524</v>
      </c>
      <c r="F455" s="9" t="s">
        <v>1441</v>
      </c>
      <c r="G455" s="11" t="s">
        <v>1442</v>
      </c>
      <c r="H455" s="9" t="s">
        <v>1443</v>
      </c>
      <c r="I455" s="10">
        <v>45490</v>
      </c>
    </row>
    <row r="456" spans="1:9" x14ac:dyDescent="0.15">
      <c r="A456" s="9">
        <v>455</v>
      </c>
      <c r="B456" s="9" t="s">
        <v>9</v>
      </c>
      <c r="C456" s="9">
        <v>1910</v>
      </c>
      <c r="D456" s="10">
        <v>45602</v>
      </c>
      <c r="E456" s="13" t="str">
        <f>+HYPERLINK("http://trademark.i-assist.jp/data/china/image_1910th/79841065.pdf","79841065")</f>
        <v>79841065</v>
      </c>
      <c r="F456" s="9" t="s">
        <v>1444</v>
      </c>
      <c r="G456" s="11" t="s">
        <v>1445</v>
      </c>
      <c r="H456" s="9" t="s">
        <v>1446</v>
      </c>
      <c r="I456" s="10">
        <v>45490</v>
      </c>
    </row>
    <row r="457" spans="1:9" x14ac:dyDescent="0.15">
      <c r="A457" s="9">
        <v>456</v>
      </c>
      <c r="B457" s="9" t="s">
        <v>9</v>
      </c>
      <c r="C457" s="9">
        <v>1910</v>
      </c>
      <c r="D457" s="10">
        <v>45602</v>
      </c>
      <c r="E457" s="13" t="str">
        <f>+HYPERLINK("http://trademark.i-assist.jp/data/china/image_1910th/79843853.pdf","79843853")</f>
        <v>79843853</v>
      </c>
      <c r="F457" s="11" t="s">
        <v>1447</v>
      </c>
      <c r="G457" s="11" t="s">
        <v>1448</v>
      </c>
      <c r="H457" s="9" t="s">
        <v>1449</v>
      </c>
      <c r="I457" s="10">
        <v>45490</v>
      </c>
    </row>
    <row r="458" spans="1:9" x14ac:dyDescent="0.15">
      <c r="A458" s="9">
        <v>457</v>
      </c>
      <c r="B458" s="9" t="s">
        <v>9</v>
      </c>
      <c r="C458" s="9">
        <v>1910</v>
      </c>
      <c r="D458" s="10">
        <v>45602</v>
      </c>
      <c r="E458" s="13" t="str">
        <f>+HYPERLINK("http://trademark.i-assist.jp/data/china/image_1910th/79844403.pdf","79844403")</f>
        <v>79844403</v>
      </c>
      <c r="F458" s="11" t="s">
        <v>19</v>
      </c>
      <c r="G458" s="11" t="s">
        <v>1450</v>
      </c>
      <c r="H458" s="9" t="s">
        <v>1451</v>
      </c>
      <c r="I458" s="10">
        <v>45490</v>
      </c>
    </row>
    <row r="459" spans="1:9" x14ac:dyDescent="0.15">
      <c r="A459" s="9">
        <v>458</v>
      </c>
      <c r="B459" s="9" t="s">
        <v>9</v>
      </c>
      <c r="C459" s="9">
        <v>1910</v>
      </c>
      <c r="D459" s="10">
        <v>45602</v>
      </c>
      <c r="E459" s="13" t="str">
        <f>+HYPERLINK("http://trademark.i-assist.jp/data/china/image_1910th/79844641.pdf","79844641")</f>
        <v>79844641</v>
      </c>
      <c r="F459" s="9" t="s">
        <v>1452</v>
      </c>
      <c r="G459" s="9" t="s">
        <v>1453</v>
      </c>
      <c r="H459" s="9" t="s">
        <v>1454</v>
      </c>
      <c r="I459" s="10">
        <v>45490</v>
      </c>
    </row>
    <row r="460" spans="1:9" x14ac:dyDescent="0.15">
      <c r="A460" s="9">
        <v>459</v>
      </c>
      <c r="B460" s="9" t="s">
        <v>9</v>
      </c>
      <c r="C460" s="9">
        <v>1910</v>
      </c>
      <c r="D460" s="10">
        <v>45602</v>
      </c>
      <c r="E460" s="13" t="str">
        <f>+HYPERLINK("http://trademark.i-assist.jp/data/china/image_1910th/79846452.pdf","79846452")</f>
        <v>79846452</v>
      </c>
      <c r="F460" s="9" t="s">
        <v>1455</v>
      </c>
      <c r="G460" s="9" t="s">
        <v>1456</v>
      </c>
      <c r="H460" s="9" t="s">
        <v>1457</v>
      </c>
      <c r="I460" s="10">
        <v>45490</v>
      </c>
    </row>
    <row r="461" spans="1:9" x14ac:dyDescent="0.15">
      <c r="A461" s="9">
        <v>460</v>
      </c>
      <c r="B461" s="9" t="s">
        <v>9</v>
      </c>
      <c r="C461" s="9">
        <v>1910</v>
      </c>
      <c r="D461" s="10">
        <v>45602</v>
      </c>
      <c r="E461" s="13" t="str">
        <f>+HYPERLINK("http://trademark.i-assist.jp/data/china/image_1910th/79846775.pdf","79846775")</f>
        <v>79846775</v>
      </c>
      <c r="F461" s="9" t="s">
        <v>33</v>
      </c>
      <c r="G461" s="9" t="s">
        <v>34</v>
      </c>
      <c r="H461" s="9" t="s">
        <v>1458</v>
      </c>
      <c r="I461" s="10">
        <v>45490</v>
      </c>
    </row>
    <row r="462" spans="1:9" x14ac:dyDescent="0.15">
      <c r="A462" s="9">
        <v>461</v>
      </c>
      <c r="B462" s="9" t="s">
        <v>9</v>
      </c>
      <c r="C462" s="9">
        <v>1910</v>
      </c>
      <c r="D462" s="10">
        <v>45602</v>
      </c>
      <c r="E462" s="13" t="str">
        <f>+HYPERLINK("http://trademark.i-assist.jp/data/china/image_1910th/79847679.pdf","79847679")</f>
        <v>79847679</v>
      </c>
      <c r="F462" s="9" t="s">
        <v>1459</v>
      </c>
      <c r="G462" s="9" t="s">
        <v>1460</v>
      </c>
      <c r="H462" s="9" t="s">
        <v>1461</v>
      </c>
      <c r="I462" s="10">
        <v>45490</v>
      </c>
    </row>
    <row r="463" spans="1:9" x14ac:dyDescent="0.15">
      <c r="A463" s="9">
        <v>462</v>
      </c>
      <c r="B463" s="9" t="s">
        <v>9</v>
      </c>
      <c r="C463" s="9">
        <v>1910</v>
      </c>
      <c r="D463" s="10">
        <v>45602</v>
      </c>
      <c r="E463" s="13" t="str">
        <f>+HYPERLINK("http://trademark.i-assist.jp/data/china/image_1910th/79847762.pdf","79847762")</f>
        <v>79847762</v>
      </c>
      <c r="F463" s="9" t="s">
        <v>1462</v>
      </c>
      <c r="G463" s="11" t="s">
        <v>1463</v>
      </c>
      <c r="H463" s="9" t="s">
        <v>145</v>
      </c>
      <c r="I463" s="10">
        <v>45490</v>
      </c>
    </row>
    <row r="464" spans="1:9" x14ac:dyDescent="0.15">
      <c r="A464" s="9">
        <v>463</v>
      </c>
      <c r="B464" s="9" t="s">
        <v>9</v>
      </c>
      <c r="C464" s="9">
        <v>1910</v>
      </c>
      <c r="D464" s="10">
        <v>45602</v>
      </c>
      <c r="E464" s="13" t="str">
        <f>+HYPERLINK("http://trademark.i-assist.jp/data/china/image_1910th/79847971.pdf","79847971")</f>
        <v>79847971</v>
      </c>
      <c r="F464" s="9" t="s">
        <v>1464</v>
      </c>
      <c r="G464" s="11" t="s">
        <v>1465</v>
      </c>
      <c r="H464" s="9" t="s">
        <v>1466</v>
      </c>
      <c r="I464" s="10">
        <v>45490</v>
      </c>
    </row>
    <row r="465" spans="1:9" x14ac:dyDescent="0.15">
      <c r="A465" s="9">
        <v>464</v>
      </c>
      <c r="B465" s="9" t="s">
        <v>9</v>
      </c>
      <c r="C465" s="9">
        <v>1910</v>
      </c>
      <c r="D465" s="10">
        <v>45602</v>
      </c>
      <c r="E465" s="13" t="str">
        <f>+HYPERLINK("http://trademark.i-assist.jp/data/china/image_1910th/79849516.pdf","79849516")</f>
        <v>79849516</v>
      </c>
      <c r="F465" s="9" t="s">
        <v>1467</v>
      </c>
      <c r="G465" s="11" t="s">
        <v>1468</v>
      </c>
      <c r="H465" s="11" t="s">
        <v>1469</v>
      </c>
      <c r="I465" s="10">
        <v>45490</v>
      </c>
    </row>
    <row r="466" spans="1:9" x14ac:dyDescent="0.15">
      <c r="A466" s="9">
        <v>465</v>
      </c>
      <c r="B466" s="9" t="s">
        <v>9</v>
      </c>
      <c r="C466" s="9">
        <v>1910</v>
      </c>
      <c r="D466" s="10">
        <v>45602</v>
      </c>
      <c r="E466" s="13" t="str">
        <f>+HYPERLINK("http://trademark.i-assist.jp/data/china/image_1910th/79850855.pdf","79850855")</f>
        <v>79850855</v>
      </c>
      <c r="F466" s="9" t="s">
        <v>1470</v>
      </c>
      <c r="G466" s="11" t="s">
        <v>1471</v>
      </c>
      <c r="H466" s="9" t="s">
        <v>1472</v>
      </c>
      <c r="I466" s="10">
        <v>45490</v>
      </c>
    </row>
    <row r="467" spans="1:9" x14ac:dyDescent="0.15">
      <c r="A467" s="9">
        <v>466</v>
      </c>
      <c r="B467" s="9" t="s">
        <v>9</v>
      </c>
      <c r="C467" s="9">
        <v>1910</v>
      </c>
      <c r="D467" s="10">
        <v>45602</v>
      </c>
      <c r="E467" s="13" t="str">
        <f>+HYPERLINK("http://trademark.i-assist.jp/data/china/image_1910th/79851463.pdf","79851463")</f>
        <v>79851463</v>
      </c>
      <c r="F467" s="9" t="s">
        <v>1473</v>
      </c>
      <c r="G467" s="9" t="s">
        <v>43</v>
      </c>
      <c r="H467" s="9" t="s">
        <v>1474</v>
      </c>
      <c r="I467" s="10">
        <v>45490</v>
      </c>
    </row>
    <row r="468" spans="1:9" x14ac:dyDescent="0.15">
      <c r="A468" s="9">
        <v>467</v>
      </c>
      <c r="B468" s="9" t="s">
        <v>9</v>
      </c>
      <c r="C468" s="9">
        <v>1910</v>
      </c>
      <c r="D468" s="10">
        <v>45602</v>
      </c>
      <c r="E468" s="13" t="str">
        <f>+HYPERLINK("http://trademark.i-assist.jp/data/china/image_1910th/79853148.pdf","79853148")</f>
        <v>79853148</v>
      </c>
      <c r="F468" s="9" t="s">
        <v>1475</v>
      </c>
      <c r="G468" s="9" t="s">
        <v>1476</v>
      </c>
      <c r="H468" s="9" t="s">
        <v>30</v>
      </c>
      <c r="I468" s="10">
        <v>45490</v>
      </c>
    </row>
    <row r="469" spans="1:9" x14ac:dyDescent="0.15">
      <c r="A469" s="9">
        <v>468</v>
      </c>
      <c r="B469" s="9" t="s">
        <v>9</v>
      </c>
      <c r="C469" s="9">
        <v>1910</v>
      </c>
      <c r="D469" s="10">
        <v>45602</v>
      </c>
      <c r="E469" s="13" t="str">
        <f>+HYPERLINK("http://trademark.i-assist.jp/data/china/image_1910th/79853525.pdf","79853525")</f>
        <v>79853525</v>
      </c>
      <c r="F469" s="9" t="s">
        <v>1477</v>
      </c>
      <c r="G469" s="11" t="s">
        <v>1478</v>
      </c>
      <c r="H469" s="9" t="s">
        <v>1479</v>
      </c>
      <c r="I469" s="10">
        <v>45490</v>
      </c>
    </row>
    <row r="470" spans="1:9" x14ac:dyDescent="0.15">
      <c r="A470" s="9">
        <v>469</v>
      </c>
      <c r="B470" s="9" t="s">
        <v>9</v>
      </c>
      <c r="C470" s="9">
        <v>1910</v>
      </c>
      <c r="D470" s="10">
        <v>45602</v>
      </c>
      <c r="E470" s="13" t="str">
        <f>+HYPERLINK("http://trademark.i-assist.jp/data/china/image_1910th/79854545.pdf","79854545")</f>
        <v>79854545</v>
      </c>
      <c r="F470" s="11" t="s">
        <v>19</v>
      </c>
      <c r="G470" s="9" t="s">
        <v>1480</v>
      </c>
      <c r="H470" s="9" t="s">
        <v>1481</v>
      </c>
      <c r="I470" s="10">
        <v>45490</v>
      </c>
    </row>
    <row r="471" spans="1:9" x14ac:dyDescent="0.15">
      <c r="A471" s="9">
        <v>470</v>
      </c>
      <c r="B471" s="9" t="s">
        <v>9</v>
      </c>
      <c r="C471" s="9">
        <v>1910</v>
      </c>
      <c r="D471" s="10">
        <v>45602</v>
      </c>
      <c r="E471" s="13" t="str">
        <f>+HYPERLINK("http://trademark.i-assist.jp/data/china/image_1910th/79858665.pdf","79858665")</f>
        <v>79858665</v>
      </c>
      <c r="F471" s="9" t="s">
        <v>1482</v>
      </c>
      <c r="G471" s="9" t="s">
        <v>1483</v>
      </c>
      <c r="H471" s="9" t="s">
        <v>1484</v>
      </c>
      <c r="I471" s="10">
        <v>45491</v>
      </c>
    </row>
    <row r="472" spans="1:9" x14ac:dyDescent="0.15">
      <c r="A472" s="9">
        <v>471</v>
      </c>
      <c r="B472" s="9" t="s">
        <v>9</v>
      </c>
      <c r="C472" s="9">
        <v>1910</v>
      </c>
      <c r="D472" s="10">
        <v>45602</v>
      </c>
      <c r="E472" s="13" t="str">
        <f>+HYPERLINK("http://trademark.i-assist.jp/data/china/image_1910th/79859195.pdf","79859195")</f>
        <v>79859195</v>
      </c>
      <c r="F472" s="9" t="s">
        <v>1485</v>
      </c>
      <c r="G472" s="11" t="s">
        <v>1486</v>
      </c>
      <c r="H472" s="9" t="s">
        <v>1487</v>
      </c>
      <c r="I472" s="10">
        <v>45491</v>
      </c>
    </row>
    <row r="473" spans="1:9" x14ac:dyDescent="0.15">
      <c r="A473" s="9">
        <v>472</v>
      </c>
      <c r="B473" s="9" t="s">
        <v>9</v>
      </c>
      <c r="C473" s="9">
        <v>1910</v>
      </c>
      <c r="D473" s="10">
        <v>45602</v>
      </c>
      <c r="E473" s="13" t="str">
        <f>+HYPERLINK("http://trademark.i-assist.jp/data/china/image_1910th/79860060.pdf","79860060")</f>
        <v>79860060</v>
      </c>
      <c r="F473" s="9" t="s">
        <v>1488</v>
      </c>
      <c r="G473" s="9" t="s">
        <v>1489</v>
      </c>
      <c r="H473" s="9" t="s">
        <v>1490</v>
      </c>
      <c r="I473" s="10">
        <v>45491</v>
      </c>
    </row>
    <row r="474" spans="1:9" x14ac:dyDescent="0.15">
      <c r="A474" s="9">
        <v>473</v>
      </c>
      <c r="B474" s="9" t="s">
        <v>9</v>
      </c>
      <c r="C474" s="9">
        <v>1910</v>
      </c>
      <c r="D474" s="10">
        <v>45602</v>
      </c>
      <c r="E474" s="13" t="str">
        <f>+HYPERLINK("http://trademark.i-assist.jp/data/china/image_1910th/79860102.pdf","79860102")</f>
        <v>79860102</v>
      </c>
      <c r="F474" s="9" t="s">
        <v>1491</v>
      </c>
      <c r="G474" s="11" t="s">
        <v>1492</v>
      </c>
      <c r="H474" s="9" t="s">
        <v>1493</v>
      </c>
      <c r="I474" s="10">
        <v>45491</v>
      </c>
    </row>
    <row r="475" spans="1:9" x14ac:dyDescent="0.15">
      <c r="A475" s="9">
        <v>474</v>
      </c>
      <c r="B475" s="9" t="s">
        <v>9</v>
      </c>
      <c r="C475" s="9">
        <v>1910</v>
      </c>
      <c r="D475" s="10">
        <v>45602</v>
      </c>
      <c r="E475" s="13" t="str">
        <f>+HYPERLINK("http://trademark.i-assist.jp/data/china/image_1910th/79860959.pdf","79860959")</f>
        <v>79860959</v>
      </c>
      <c r="F475" s="9" t="s">
        <v>1494</v>
      </c>
      <c r="G475" s="11" t="s">
        <v>64</v>
      </c>
      <c r="H475" s="11" t="s">
        <v>1495</v>
      </c>
      <c r="I475" s="10">
        <v>45491</v>
      </c>
    </row>
    <row r="476" spans="1:9" x14ac:dyDescent="0.15">
      <c r="A476" s="9">
        <v>475</v>
      </c>
      <c r="B476" s="9" t="s">
        <v>9</v>
      </c>
      <c r="C476" s="9">
        <v>1910</v>
      </c>
      <c r="D476" s="10">
        <v>45602</v>
      </c>
      <c r="E476" s="13" t="str">
        <f>+HYPERLINK("http://trademark.i-assist.jp/data/china/image_1910th/79862108.pdf","79862108")</f>
        <v>79862108</v>
      </c>
      <c r="F476" s="9" t="s">
        <v>1496</v>
      </c>
      <c r="G476" s="9" t="s">
        <v>1497</v>
      </c>
      <c r="H476" s="11" t="s">
        <v>1498</v>
      </c>
      <c r="I476" s="10">
        <v>45491</v>
      </c>
    </row>
    <row r="477" spans="1:9" x14ac:dyDescent="0.15">
      <c r="A477" s="9">
        <v>476</v>
      </c>
      <c r="B477" s="9" t="s">
        <v>9</v>
      </c>
      <c r="C477" s="9">
        <v>1910</v>
      </c>
      <c r="D477" s="10">
        <v>45602</v>
      </c>
      <c r="E477" s="13" t="str">
        <f>+HYPERLINK("http://trademark.i-assist.jp/data/china/image_1910th/79864416.pdf","79864416")</f>
        <v>79864416</v>
      </c>
      <c r="F477" s="11" t="s">
        <v>1499</v>
      </c>
      <c r="G477" s="9" t="s">
        <v>1500</v>
      </c>
      <c r="H477" s="9" t="s">
        <v>1501</v>
      </c>
      <c r="I477" s="10">
        <v>45491</v>
      </c>
    </row>
    <row r="478" spans="1:9" x14ac:dyDescent="0.15">
      <c r="A478" s="9">
        <v>477</v>
      </c>
      <c r="B478" s="9" t="s">
        <v>9</v>
      </c>
      <c r="C478" s="9">
        <v>1910</v>
      </c>
      <c r="D478" s="10">
        <v>45602</v>
      </c>
      <c r="E478" s="13" t="str">
        <f>+HYPERLINK("http://trademark.i-assist.jp/data/china/image_1910th/79871053.pdf","79871053")</f>
        <v>79871053</v>
      </c>
      <c r="F478" s="11" t="s">
        <v>1502</v>
      </c>
      <c r="G478" s="11" t="s">
        <v>1503</v>
      </c>
      <c r="H478" s="9" t="s">
        <v>1504</v>
      </c>
      <c r="I478" s="10">
        <v>45491</v>
      </c>
    </row>
    <row r="479" spans="1:9" x14ac:dyDescent="0.15">
      <c r="A479" s="9">
        <v>478</v>
      </c>
      <c r="B479" s="9" t="s">
        <v>9</v>
      </c>
      <c r="C479" s="9">
        <v>1910</v>
      </c>
      <c r="D479" s="10">
        <v>45602</v>
      </c>
      <c r="E479" s="13" t="str">
        <f>+HYPERLINK("http://trademark.i-assist.jp/data/china/image_1910th/79874214.pdf","79874214")</f>
        <v>79874214</v>
      </c>
      <c r="F479" s="9" t="s">
        <v>1505</v>
      </c>
      <c r="G479" s="11" t="s">
        <v>1506</v>
      </c>
      <c r="H479" s="9" t="s">
        <v>1507</v>
      </c>
      <c r="I479" s="10">
        <v>45491</v>
      </c>
    </row>
    <row r="480" spans="1:9" x14ac:dyDescent="0.15">
      <c r="A480" s="9">
        <v>479</v>
      </c>
      <c r="B480" s="9" t="s">
        <v>9</v>
      </c>
      <c r="C480" s="9">
        <v>1910</v>
      </c>
      <c r="D480" s="10">
        <v>45602</v>
      </c>
      <c r="E480" s="13" t="str">
        <f>+HYPERLINK("http://trademark.i-assist.jp/data/china/image_1910th/79874624.pdf","79874624")</f>
        <v>79874624</v>
      </c>
      <c r="F480" s="11" t="s">
        <v>1508</v>
      </c>
      <c r="G480" s="11" t="s">
        <v>1509</v>
      </c>
      <c r="H480" s="9" t="s">
        <v>1510</v>
      </c>
      <c r="I480" s="10">
        <v>45491</v>
      </c>
    </row>
    <row r="481" spans="1:9" x14ac:dyDescent="0.15">
      <c r="A481" s="9">
        <v>480</v>
      </c>
      <c r="B481" s="9" t="s">
        <v>9</v>
      </c>
      <c r="C481" s="9">
        <v>1910</v>
      </c>
      <c r="D481" s="10">
        <v>45602</v>
      </c>
      <c r="E481" s="13" t="str">
        <f>+HYPERLINK("http://trademark.i-assist.jp/data/china/image_1910th/79877478.pdf","79877478")</f>
        <v>79877478</v>
      </c>
      <c r="F481" s="9" t="s">
        <v>1511</v>
      </c>
      <c r="G481" s="9" t="s">
        <v>1512</v>
      </c>
      <c r="H481" s="9" t="s">
        <v>1513</v>
      </c>
      <c r="I481" s="10">
        <v>45491</v>
      </c>
    </row>
    <row r="482" spans="1:9" x14ac:dyDescent="0.15">
      <c r="A482" s="9">
        <v>481</v>
      </c>
      <c r="B482" s="9" t="s">
        <v>9</v>
      </c>
      <c r="C482" s="9">
        <v>1910</v>
      </c>
      <c r="D482" s="10">
        <v>45602</v>
      </c>
      <c r="E482" s="13" t="str">
        <f>+HYPERLINK("http://trademark.i-assist.jp/data/china/image_1910th/79877966.pdf","79877966")</f>
        <v>79877966</v>
      </c>
      <c r="F482" s="9" t="s">
        <v>1514</v>
      </c>
      <c r="G482" s="9" t="s">
        <v>1515</v>
      </c>
      <c r="H482" s="9" t="s">
        <v>1516</v>
      </c>
      <c r="I482" s="10">
        <v>45491</v>
      </c>
    </row>
    <row r="483" spans="1:9" x14ac:dyDescent="0.15">
      <c r="A483" s="9">
        <v>482</v>
      </c>
      <c r="B483" s="9" t="s">
        <v>9</v>
      </c>
      <c r="C483" s="9">
        <v>1910</v>
      </c>
      <c r="D483" s="10">
        <v>45602</v>
      </c>
      <c r="E483" s="13" t="str">
        <f>+HYPERLINK("http://trademark.i-assist.jp/data/china/image_1910th/79879123.pdf","79879123")</f>
        <v>79879123</v>
      </c>
      <c r="F483" s="11" t="s">
        <v>1517</v>
      </c>
      <c r="G483" s="9" t="s">
        <v>1518</v>
      </c>
      <c r="H483" s="9" t="s">
        <v>1519</v>
      </c>
      <c r="I483" s="10">
        <v>45491</v>
      </c>
    </row>
    <row r="484" spans="1:9" x14ac:dyDescent="0.15">
      <c r="A484" s="9">
        <v>483</v>
      </c>
      <c r="B484" s="9" t="s">
        <v>9</v>
      </c>
      <c r="C484" s="9">
        <v>1910</v>
      </c>
      <c r="D484" s="10">
        <v>45602</v>
      </c>
      <c r="E484" s="13" t="str">
        <f>+HYPERLINK("http://trademark.i-assist.jp/data/china/image_1910th/79879275.pdf","79879275")</f>
        <v>79879275</v>
      </c>
      <c r="F484" s="11" t="s">
        <v>1520</v>
      </c>
      <c r="G484" s="9" t="s">
        <v>1521</v>
      </c>
      <c r="H484" s="9" t="s">
        <v>1522</v>
      </c>
      <c r="I484" s="10">
        <v>45491</v>
      </c>
    </row>
    <row r="485" spans="1:9" x14ac:dyDescent="0.15">
      <c r="A485" s="9">
        <v>484</v>
      </c>
      <c r="B485" s="9" t="s">
        <v>9</v>
      </c>
      <c r="C485" s="9">
        <v>1910</v>
      </c>
      <c r="D485" s="10">
        <v>45602</v>
      </c>
      <c r="E485" s="13" t="str">
        <f>+HYPERLINK("http://trademark.i-assist.jp/data/china/image_1910th/79879357.pdf","79879357")</f>
        <v>79879357</v>
      </c>
      <c r="F485" s="9" t="s">
        <v>1523</v>
      </c>
      <c r="G485" s="11" t="s">
        <v>1524</v>
      </c>
      <c r="H485" s="9" t="s">
        <v>1525</v>
      </c>
      <c r="I485" s="10">
        <v>45491</v>
      </c>
    </row>
    <row r="486" spans="1:9" x14ac:dyDescent="0.15">
      <c r="A486" s="9">
        <v>485</v>
      </c>
      <c r="B486" s="9" t="s">
        <v>9</v>
      </c>
      <c r="C486" s="9">
        <v>1910</v>
      </c>
      <c r="D486" s="10">
        <v>45602</v>
      </c>
      <c r="E486" s="13" t="str">
        <f>+HYPERLINK("http://trademark.i-assist.jp/data/china/image_1910th/79880290.pdf","79880290")</f>
        <v>79880290</v>
      </c>
      <c r="F486" s="11" t="s">
        <v>1526</v>
      </c>
      <c r="G486" s="11" t="s">
        <v>1527</v>
      </c>
      <c r="H486" s="9" t="s">
        <v>1528</v>
      </c>
      <c r="I486" s="10">
        <v>45491</v>
      </c>
    </row>
    <row r="487" spans="1:9" x14ac:dyDescent="0.15">
      <c r="A487" s="9">
        <v>486</v>
      </c>
      <c r="B487" s="9" t="s">
        <v>9</v>
      </c>
      <c r="C487" s="9">
        <v>1910</v>
      </c>
      <c r="D487" s="10">
        <v>45602</v>
      </c>
      <c r="E487" s="13" t="str">
        <f>+HYPERLINK("http://trademark.i-assist.jp/data/china/image_1910th/79880426.pdf","79880426")</f>
        <v>79880426</v>
      </c>
      <c r="F487" s="9" t="s">
        <v>1529</v>
      </c>
      <c r="G487" s="9" t="s">
        <v>1530</v>
      </c>
      <c r="H487" s="9" t="s">
        <v>1531</v>
      </c>
      <c r="I487" s="10">
        <v>45491</v>
      </c>
    </row>
    <row r="488" spans="1:9" x14ac:dyDescent="0.15">
      <c r="A488" s="9">
        <v>487</v>
      </c>
      <c r="B488" s="9" t="s">
        <v>9</v>
      </c>
      <c r="C488" s="9">
        <v>1910</v>
      </c>
      <c r="D488" s="10">
        <v>45602</v>
      </c>
      <c r="E488" s="13" t="str">
        <f>+HYPERLINK("http://trademark.i-assist.jp/data/china/image_1910th/79881789.pdf","79881789")</f>
        <v>79881789</v>
      </c>
      <c r="F488" s="11" t="s">
        <v>1532</v>
      </c>
      <c r="G488" s="9" t="s">
        <v>1533</v>
      </c>
      <c r="H488" s="9" t="s">
        <v>1534</v>
      </c>
      <c r="I488" s="10">
        <v>45492</v>
      </c>
    </row>
    <row r="489" spans="1:9" x14ac:dyDescent="0.15">
      <c r="A489" s="9">
        <v>488</v>
      </c>
      <c r="B489" s="9" t="s">
        <v>9</v>
      </c>
      <c r="C489" s="9">
        <v>1910</v>
      </c>
      <c r="D489" s="10">
        <v>45602</v>
      </c>
      <c r="E489" s="13" t="str">
        <f>+HYPERLINK("http://trademark.i-assist.jp/data/china/image_1910th/79882768.pdf","79882768")</f>
        <v>79882768</v>
      </c>
      <c r="F489" s="9" t="s">
        <v>1535</v>
      </c>
      <c r="G489" s="9" t="s">
        <v>1536</v>
      </c>
      <c r="H489" s="9" t="s">
        <v>1537</v>
      </c>
      <c r="I489" s="10">
        <v>45492</v>
      </c>
    </row>
    <row r="490" spans="1:9" x14ac:dyDescent="0.15">
      <c r="A490" s="9">
        <v>489</v>
      </c>
      <c r="B490" s="9" t="s">
        <v>9</v>
      </c>
      <c r="C490" s="9">
        <v>1910</v>
      </c>
      <c r="D490" s="10">
        <v>45602</v>
      </c>
      <c r="E490" s="13" t="str">
        <f>+HYPERLINK("http://trademark.i-assist.jp/data/china/image_1910th/79882869.pdf","79882869")</f>
        <v>79882869</v>
      </c>
      <c r="F490" s="9" t="s">
        <v>1538</v>
      </c>
      <c r="G490" s="9" t="s">
        <v>1539</v>
      </c>
      <c r="H490" s="11" t="s">
        <v>1540</v>
      </c>
      <c r="I490" s="10">
        <v>45492</v>
      </c>
    </row>
    <row r="491" spans="1:9" x14ac:dyDescent="0.15">
      <c r="A491" s="9">
        <v>490</v>
      </c>
      <c r="B491" s="9" t="s">
        <v>9</v>
      </c>
      <c r="C491" s="9">
        <v>1910</v>
      </c>
      <c r="D491" s="10">
        <v>45602</v>
      </c>
      <c r="E491" s="13" t="str">
        <f>+HYPERLINK("http://trademark.i-assist.jp/data/china/image_1910th/79882886.pdf","79882886")</f>
        <v>79882886</v>
      </c>
      <c r="F491" s="9" t="s">
        <v>1541</v>
      </c>
      <c r="G491" s="9" t="s">
        <v>1542</v>
      </c>
      <c r="H491" s="9" t="s">
        <v>1543</v>
      </c>
      <c r="I491" s="10">
        <v>45492</v>
      </c>
    </row>
    <row r="492" spans="1:9" x14ac:dyDescent="0.15">
      <c r="A492" s="9">
        <v>491</v>
      </c>
      <c r="B492" s="9" t="s">
        <v>9</v>
      </c>
      <c r="C492" s="9">
        <v>1910</v>
      </c>
      <c r="D492" s="10">
        <v>45602</v>
      </c>
      <c r="E492" s="13" t="str">
        <f>+HYPERLINK("http://trademark.i-assist.jp/data/china/image_1910th/79883072.pdf","79883072")</f>
        <v>79883072</v>
      </c>
      <c r="F492" s="9" t="s">
        <v>1544</v>
      </c>
      <c r="G492" s="11" t="s">
        <v>1545</v>
      </c>
      <c r="H492" s="9" t="s">
        <v>1546</v>
      </c>
      <c r="I492" s="10">
        <v>45492</v>
      </c>
    </row>
    <row r="493" spans="1:9" x14ac:dyDescent="0.15">
      <c r="A493" s="9">
        <v>492</v>
      </c>
      <c r="B493" s="9" t="s">
        <v>9</v>
      </c>
      <c r="C493" s="9">
        <v>1910</v>
      </c>
      <c r="D493" s="10">
        <v>45602</v>
      </c>
      <c r="E493" s="13" t="str">
        <f>+HYPERLINK("http://trademark.i-assist.jp/data/china/image_1910th/79885811.pdf","79885811")</f>
        <v>79885811</v>
      </c>
      <c r="F493" s="9" t="s">
        <v>1547</v>
      </c>
      <c r="G493" s="9" t="s">
        <v>1548</v>
      </c>
      <c r="H493" s="11" t="s">
        <v>1549</v>
      </c>
      <c r="I493" s="10">
        <v>45492</v>
      </c>
    </row>
    <row r="494" spans="1:9" x14ac:dyDescent="0.15">
      <c r="A494" s="9">
        <v>493</v>
      </c>
      <c r="B494" s="9" t="s">
        <v>9</v>
      </c>
      <c r="C494" s="9">
        <v>1910</v>
      </c>
      <c r="D494" s="10">
        <v>45602</v>
      </c>
      <c r="E494" s="13" t="str">
        <f>+HYPERLINK("http://trademark.i-assist.jp/data/china/image_1910th/79886653.pdf","79886653")</f>
        <v>79886653</v>
      </c>
      <c r="F494" s="9" t="s">
        <v>1550</v>
      </c>
      <c r="G494" s="11" t="s">
        <v>1551</v>
      </c>
      <c r="H494" s="9" t="s">
        <v>1552</v>
      </c>
      <c r="I494" s="10">
        <v>45492</v>
      </c>
    </row>
    <row r="495" spans="1:9" x14ac:dyDescent="0.15">
      <c r="A495" s="9">
        <v>494</v>
      </c>
      <c r="B495" s="9" t="s">
        <v>9</v>
      </c>
      <c r="C495" s="9">
        <v>1910</v>
      </c>
      <c r="D495" s="10">
        <v>45602</v>
      </c>
      <c r="E495" s="13" t="str">
        <f>+HYPERLINK("http://trademark.i-assist.jp/data/china/image_1910th/79886893.pdf","79886893")</f>
        <v>79886893</v>
      </c>
      <c r="F495" s="11" t="s">
        <v>1553</v>
      </c>
      <c r="G495" s="9" t="s">
        <v>1554</v>
      </c>
      <c r="H495" s="11" t="s">
        <v>1555</v>
      </c>
      <c r="I495" s="10">
        <v>45492</v>
      </c>
    </row>
    <row r="496" spans="1:9" x14ac:dyDescent="0.15">
      <c r="A496" s="9">
        <v>495</v>
      </c>
      <c r="B496" s="9" t="s">
        <v>9</v>
      </c>
      <c r="C496" s="9">
        <v>1910</v>
      </c>
      <c r="D496" s="10">
        <v>45602</v>
      </c>
      <c r="E496" s="13" t="str">
        <f>+HYPERLINK("http://trademark.i-assist.jp/data/china/image_1910th/79887346.pdf","79887346")</f>
        <v>79887346</v>
      </c>
      <c r="F496" s="9" t="s">
        <v>1556</v>
      </c>
      <c r="G496" s="11" t="s">
        <v>1557</v>
      </c>
      <c r="H496" s="11" t="s">
        <v>1558</v>
      </c>
      <c r="I496" s="10">
        <v>45492</v>
      </c>
    </row>
    <row r="497" spans="1:9" x14ac:dyDescent="0.15">
      <c r="A497" s="9">
        <v>496</v>
      </c>
      <c r="B497" s="9" t="s">
        <v>9</v>
      </c>
      <c r="C497" s="9">
        <v>1910</v>
      </c>
      <c r="D497" s="10">
        <v>45602</v>
      </c>
      <c r="E497" s="13" t="str">
        <f>+HYPERLINK("http://trademark.i-assist.jp/data/china/image_1910th/79887587.pdf","79887587")</f>
        <v>79887587</v>
      </c>
      <c r="F497" s="9" t="s">
        <v>1559</v>
      </c>
      <c r="G497" s="9" t="s">
        <v>1560</v>
      </c>
      <c r="H497" s="9" t="s">
        <v>1561</v>
      </c>
      <c r="I497" s="10">
        <v>45492</v>
      </c>
    </row>
    <row r="498" spans="1:9" x14ac:dyDescent="0.15">
      <c r="A498" s="9">
        <v>497</v>
      </c>
      <c r="B498" s="9" t="s">
        <v>9</v>
      </c>
      <c r="C498" s="9">
        <v>1910</v>
      </c>
      <c r="D498" s="10">
        <v>45602</v>
      </c>
      <c r="E498" s="13" t="str">
        <f>+HYPERLINK("http://trademark.i-assist.jp/data/china/image_1910th/79887795.pdf","79887795")</f>
        <v>79887795</v>
      </c>
      <c r="F498" s="9" t="s">
        <v>1562</v>
      </c>
      <c r="G498" s="9" t="s">
        <v>1563</v>
      </c>
      <c r="H498" s="9" t="s">
        <v>1564</v>
      </c>
      <c r="I498" s="10">
        <v>45492</v>
      </c>
    </row>
    <row r="499" spans="1:9" x14ac:dyDescent="0.15">
      <c r="A499" s="9">
        <v>498</v>
      </c>
      <c r="B499" s="9" t="s">
        <v>9</v>
      </c>
      <c r="C499" s="9">
        <v>1910</v>
      </c>
      <c r="D499" s="10">
        <v>45602</v>
      </c>
      <c r="E499" s="13" t="str">
        <f>+HYPERLINK("http://trademark.i-assist.jp/data/china/image_1910th/79888440.pdf","79888440")</f>
        <v>79888440</v>
      </c>
      <c r="F499" s="9" t="s">
        <v>1565</v>
      </c>
      <c r="G499" s="11" t="s">
        <v>1566</v>
      </c>
      <c r="H499" s="9" t="s">
        <v>1567</v>
      </c>
      <c r="I499" s="10">
        <v>45492</v>
      </c>
    </row>
    <row r="500" spans="1:9" x14ac:dyDescent="0.15">
      <c r="A500" s="9">
        <v>499</v>
      </c>
      <c r="B500" s="9" t="s">
        <v>9</v>
      </c>
      <c r="C500" s="9">
        <v>1910</v>
      </c>
      <c r="D500" s="10">
        <v>45602</v>
      </c>
      <c r="E500" s="13" t="str">
        <f>+HYPERLINK("http://trademark.i-assist.jp/data/china/image_1910th/79890967.pdf","79890967")</f>
        <v>79890967</v>
      </c>
      <c r="F500" s="9" t="s">
        <v>1568</v>
      </c>
      <c r="G500" s="11" t="s">
        <v>1569</v>
      </c>
      <c r="H500" s="9" t="s">
        <v>1570</v>
      </c>
      <c r="I500" s="10">
        <v>45492</v>
      </c>
    </row>
    <row r="501" spans="1:9" x14ac:dyDescent="0.15">
      <c r="A501" s="9">
        <v>500</v>
      </c>
      <c r="B501" s="9" t="s">
        <v>9</v>
      </c>
      <c r="C501" s="9">
        <v>1910</v>
      </c>
      <c r="D501" s="10">
        <v>45602</v>
      </c>
      <c r="E501" s="13" t="str">
        <f>+HYPERLINK("http://trademark.i-assist.jp/data/china/image_1910th/79892712.pdf","79892712")</f>
        <v>79892712</v>
      </c>
      <c r="F501" s="9" t="s">
        <v>1571</v>
      </c>
      <c r="G501" s="9" t="s">
        <v>1572</v>
      </c>
      <c r="H501" s="9" t="s">
        <v>1573</v>
      </c>
      <c r="I501" s="10">
        <v>45492</v>
      </c>
    </row>
    <row r="502" spans="1:9" x14ac:dyDescent="0.15">
      <c r="A502" s="9">
        <v>501</v>
      </c>
      <c r="B502" s="9" t="s">
        <v>9</v>
      </c>
      <c r="C502" s="9">
        <v>1910</v>
      </c>
      <c r="D502" s="10">
        <v>45602</v>
      </c>
      <c r="E502" s="13" t="str">
        <f>+HYPERLINK("http://trademark.i-assist.jp/data/china/image_1910th/79893708.pdf","79893708")</f>
        <v>79893708</v>
      </c>
      <c r="F502" s="9" t="s">
        <v>1574</v>
      </c>
      <c r="G502" s="9" t="s">
        <v>1575</v>
      </c>
      <c r="H502" s="9" t="s">
        <v>1576</v>
      </c>
      <c r="I502" s="10">
        <v>45492</v>
      </c>
    </row>
    <row r="503" spans="1:9" x14ac:dyDescent="0.15">
      <c r="A503" s="9">
        <v>502</v>
      </c>
      <c r="B503" s="9" t="s">
        <v>9</v>
      </c>
      <c r="C503" s="9">
        <v>1910</v>
      </c>
      <c r="D503" s="10">
        <v>45602</v>
      </c>
      <c r="E503" s="13" t="str">
        <f>+HYPERLINK("http://trademark.i-assist.jp/data/china/image_1910th/79893856.pdf","79893856")</f>
        <v>79893856</v>
      </c>
      <c r="F503" s="9" t="s">
        <v>1577</v>
      </c>
      <c r="G503" s="11" t="s">
        <v>1578</v>
      </c>
      <c r="H503" s="9" t="s">
        <v>1579</v>
      </c>
      <c r="I503" s="10">
        <v>45492</v>
      </c>
    </row>
    <row r="504" spans="1:9" x14ac:dyDescent="0.15">
      <c r="A504" s="9">
        <v>503</v>
      </c>
      <c r="B504" s="9" t="s">
        <v>9</v>
      </c>
      <c r="C504" s="9">
        <v>1910</v>
      </c>
      <c r="D504" s="10">
        <v>45602</v>
      </c>
      <c r="E504" s="13" t="str">
        <f>+HYPERLINK("http://trademark.i-assist.jp/data/china/image_1910th/79894511.pdf","79894511")</f>
        <v>79894511</v>
      </c>
      <c r="F504" s="9" t="s">
        <v>1580</v>
      </c>
      <c r="G504" s="9" t="s">
        <v>1581</v>
      </c>
      <c r="H504" s="9" t="s">
        <v>1582</v>
      </c>
      <c r="I504" s="10">
        <v>45492</v>
      </c>
    </row>
    <row r="505" spans="1:9" x14ac:dyDescent="0.15">
      <c r="A505" s="9">
        <v>504</v>
      </c>
      <c r="B505" s="9" t="s">
        <v>9</v>
      </c>
      <c r="C505" s="9">
        <v>1910</v>
      </c>
      <c r="D505" s="10">
        <v>45602</v>
      </c>
      <c r="E505" s="13" t="str">
        <f>+HYPERLINK("http://trademark.i-assist.jp/data/china/image_1910th/79894714.pdf","79894714")</f>
        <v>79894714</v>
      </c>
      <c r="F505" s="9" t="s">
        <v>1583</v>
      </c>
      <c r="G505" s="9" t="s">
        <v>1584</v>
      </c>
      <c r="H505" s="9" t="s">
        <v>1585</v>
      </c>
      <c r="I505" s="10">
        <v>45492</v>
      </c>
    </row>
    <row r="506" spans="1:9" x14ac:dyDescent="0.15">
      <c r="A506" s="9">
        <v>505</v>
      </c>
      <c r="B506" s="9" t="s">
        <v>9</v>
      </c>
      <c r="C506" s="9">
        <v>1910</v>
      </c>
      <c r="D506" s="10">
        <v>45602</v>
      </c>
      <c r="E506" s="13" t="str">
        <f>+HYPERLINK("http://trademark.i-assist.jp/data/china/image_1910th/79897151.pdf","79897151")</f>
        <v>79897151</v>
      </c>
      <c r="F506" s="9" t="s">
        <v>1586</v>
      </c>
      <c r="G506" s="11" t="s">
        <v>1587</v>
      </c>
      <c r="H506" s="11" t="s">
        <v>1588</v>
      </c>
      <c r="I506" s="10">
        <v>45492</v>
      </c>
    </row>
    <row r="507" spans="1:9" x14ac:dyDescent="0.15">
      <c r="A507" s="9">
        <v>506</v>
      </c>
      <c r="B507" s="9" t="s">
        <v>9</v>
      </c>
      <c r="C507" s="9">
        <v>1910</v>
      </c>
      <c r="D507" s="10">
        <v>45602</v>
      </c>
      <c r="E507" s="13" t="str">
        <f>+HYPERLINK("http://trademark.i-assist.jp/data/china/image_1910th/79897831.pdf","79897831")</f>
        <v>79897831</v>
      </c>
      <c r="F507" s="9" t="s">
        <v>1589</v>
      </c>
      <c r="G507" s="11" t="s">
        <v>1557</v>
      </c>
      <c r="H507" s="11" t="s">
        <v>1590</v>
      </c>
      <c r="I507" s="10">
        <v>45492</v>
      </c>
    </row>
    <row r="508" spans="1:9" x14ac:dyDescent="0.15">
      <c r="A508" s="9">
        <v>507</v>
      </c>
      <c r="B508" s="9" t="s">
        <v>9</v>
      </c>
      <c r="C508" s="9">
        <v>1910</v>
      </c>
      <c r="D508" s="10">
        <v>45602</v>
      </c>
      <c r="E508" s="13" t="str">
        <f>+HYPERLINK("http://trademark.i-assist.jp/data/china/image_1910th/79898753.pdf","79898753")</f>
        <v>79898753</v>
      </c>
      <c r="F508" s="9" t="s">
        <v>1591</v>
      </c>
      <c r="G508" s="11" t="s">
        <v>1592</v>
      </c>
      <c r="H508" s="9" t="s">
        <v>1593</v>
      </c>
      <c r="I508" s="10">
        <v>45492</v>
      </c>
    </row>
    <row r="509" spans="1:9" x14ac:dyDescent="0.15">
      <c r="A509" s="9">
        <v>508</v>
      </c>
      <c r="B509" s="9" t="s">
        <v>9</v>
      </c>
      <c r="C509" s="9">
        <v>1910</v>
      </c>
      <c r="D509" s="10">
        <v>45602</v>
      </c>
      <c r="E509" s="13" t="str">
        <f>+HYPERLINK("http://trademark.i-assist.jp/data/china/image_1910th/79899691.pdf","79899691")</f>
        <v>79899691</v>
      </c>
      <c r="F509" s="9" t="s">
        <v>1594</v>
      </c>
      <c r="G509" s="11" t="s">
        <v>1557</v>
      </c>
      <c r="H509" s="9" t="s">
        <v>1595</v>
      </c>
      <c r="I509" s="10">
        <v>45492</v>
      </c>
    </row>
    <row r="510" spans="1:9" x14ac:dyDescent="0.15">
      <c r="A510" s="9">
        <v>509</v>
      </c>
      <c r="B510" s="9" t="s">
        <v>9</v>
      </c>
      <c r="C510" s="9">
        <v>1910</v>
      </c>
      <c r="D510" s="10">
        <v>45602</v>
      </c>
      <c r="E510" s="13" t="str">
        <f>+HYPERLINK("http://trademark.i-assist.jp/data/china/image_1910th/79900397.pdf","79900397")</f>
        <v>79900397</v>
      </c>
      <c r="F510" s="9" t="s">
        <v>1596</v>
      </c>
      <c r="G510" s="11" t="s">
        <v>1587</v>
      </c>
      <c r="H510" s="9" t="s">
        <v>1597</v>
      </c>
      <c r="I510" s="10">
        <v>45492</v>
      </c>
    </row>
    <row r="511" spans="1:9" x14ac:dyDescent="0.15">
      <c r="A511" s="9">
        <v>510</v>
      </c>
      <c r="B511" s="9" t="s">
        <v>9</v>
      </c>
      <c r="C511" s="9">
        <v>1910</v>
      </c>
      <c r="D511" s="10">
        <v>45602</v>
      </c>
      <c r="E511" s="13" t="str">
        <f>+HYPERLINK("http://trademark.i-assist.jp/data/china/image_1910th/79900430.pdf","79900430")</f>
        <v>79900430</v>
      </c>
      <c r="F511" s="9" t="s">
        <v>1598</v>
      </c>
      <c r="G511" s="9" t="s">
        <v>1599</v>
      </c>
      <c r="H511" s="9" t="s">
        <v>1600</v>
      </c>
      <c r="I511" s="10">
        <v>45492</v>
      </c>
    </row>
    <row r="512" spans="1:9" x14ac:dyDescent="0.15">
      <c r="A512" s="9">
        <v>511</v>
      </c>
      <c r="B512" s="9" t="s">
        <v>9</v>
      </c>
      <c r="C512" s="9">
        <v>1910</v>
      </c>
      <c r="D512" s="10">
        <v>45602</v>
      </c>
      <c r="E512" s="13" t="str">
        <f>+HYPERLINK("http://trademark.i-assist.jp/data/china/image_1910th/79900476.pdf","79900476")</f>
        <v>79900476</v>
      </c>
      <c r="F512" s="9" t="s">
        <v>1601</v>
      </c>
      <c r="G512" s="9" t="s">
        <v>1602</v>
      </c>
      <c r="H512" s="9" t="s">
        <v>1603</v>
      </c>
      <c r="I512" s="10">
        <v>45492</v>
      </c>
    </row>
    <row r="513" spans="1:9" x14ac:dyDescent="0.15">
      <c r="A513" s="9">
        <v>512</v>
      </c>
      <c r="B513" s="9" t="s">
        <v>9</v>
      </c>
      <c r="C513" s="9">
        <v>1910</v>
      </c>
      <c r="D513" s="10">
        <v>45602</v>
      </c>
      <c r="E513" s="13" t="str">
        <f>+HYPERLINK("http://trademark.i-assist.jp/data/china/image_1910th/79902887.pdf","79902887")</f>
        <v>79902887</v>
      </c>
      <c r="F513" s="9" t="s">
        <v>1583</v>
      </c>
      <c r="G513" s="9" t="s">
        <v>1584</v>
      </c>
      <c r="H513" s="9" t="s">
        <v>1604</v>
      </c>
      <c r="I513" s="10">
        <v>45492</v>
      </c>
    </row>
    <row r="514" spans="1:9" x14ac:dyDescent="0.15">
      <c r="A514" s="9">
        <v>513</v>
      </c>
      <c r="B514" s="9" t="s">
        <v>9</v>
      </c>
      <c r="C514" s="9">
        <v>1910</v>
      </c>
      <c r="D514" s="10">
        <v>45602</v>
      </c>
      <c r="E514" s="13" t="str">
        <f>+HYPERLINK("http://trademark.i-assist.jp/data/china/image_1910th/79904707.pdf","79904707")</f>
        <v>79904707</v>
      </c>
      <c r="F514" s="11" t="s">
        <v>1605</v>
      </c>
      <c r="G514" s="9" t="s">
        <v>1536</v>
      </c>
      <c r="H514" s="9" t="s">
        <v>1606</v>
      </c>
      <c r="I514" s="10">
        <v>45492</v>
      </c>
    </row>
    <row r="515" spans="1:9" x14ac:dyDescent="0.15">
      <c r="A515" s="9">
        <v>514</v>
      </c>
      <c r="B515" s="9" t="s">
        <v>9</v>
      </c>
      <c r="C515" s="9">
        <v>1910</v>
      </c>
      <c r="D515" s="10">
        <v>45602</v>
      </c>
      <c r="E515" s="13" t="str">
        <f>+HYPERLINK("http://trademark.i-assist.jp/data/china/image_1910th/79906362.pdf","79906362")</f>
        <v>79906362</v>
      </c>
      <c r="F515" s="11" t="s">
        <v>19</v>
      </c>
      <c r="G515" s="9" t="s">
        <v>1607</v>
      </c>
      <c r="H515" s="9" t="s">
        <v>1608</v>
      </c>
      <c r="I515" s="10">
        <v>45493</v>
      </c>
    </row>
    <row r="516" spans="1:9" x14ac:dyDescent="0.15">
      <c r="A516" s="9">
        <v>515</v>
      </c>
      <c r="B516" s="9" t="s">
        <v>9</v>
      </c>
      <c r="C516" s="9">
        <v>1910</v>
      </c>
      <c r="D516" s="10">
        <v>45602</v>
      </c>
      <c r="E516" s="13" t="str">
        <f>+HYPERLINK("http://trademark.i-assist.jp/data/china/image_1910th/79906772.pdf","79906772")</f>
        <v>79906772</v>
      </c>
      <c r="F516" s="11" t="s">
        <v>1609</v>
      </c>
      <c r="G516" s="9" t="s">
        <v>1610</v>
      </c>
      <c r="H516" s="9" t="s">
        <v>1611</v>
      </c>
      <c r="I516" s="10">
        <v>45493</v>
      </c>
    </row>
    <row r="517" spans="1:9" x14ac:dyDescent="0.15">
      <c r="A517" s="9">
        <v>516</v>
      </c>
      <c r="B517" s="9" t="s">
        <v>9</v>
      </c>
      <c r="C517" s="9">
        <v>1910</v>
      </c>
      <c r="D517" s="10">
        <v>45602</v>
      </c>
      <c r="E517" s="13" t="str">
        <f>+HYPERLINK("http://trademark.i-assist.jp/data/china/image_1910th/79908926.pdf","79908926")</f>
        <v>79908926</v>
      </c>
      <c r="F517" s="9" t="s">
        <v>1612</v>
      </c>
      <c r="G517" s="11" t="s">
        <v>1613</v>
      </c>
      <c r="H517" s="9" t="s">
        <v>1614</v>
      </c>
      <c r="I517" s="10">
        <v>45493</v>
      </c>
    </row>
    <row r="518" spans="1:9" x14ac:dyDescent="0.15">
      <c r="A518" s="9">
        <v>517</v>
      </c>
      <c r="B518" s="9" t="s">
        <v>9</v>
      </c>
      <c r="C518" s="9">
        <v>1910</v>
      </c>
      <c r="D518" s="10">
        <v>45602</v>
      </c>
      <c r="E518" s="13" t="str">
        <f>+HYPERLINK("http://trademark.i-assist.jp/data/china/image_1910th/79909332.pdf","79909332")</f>
        <v>79909332</v>
      </c>
      <c r="F518" s="11" t="s">
        <v>1615</v>
      </c>
      <c r="G518" s="9" t="s">
        <v>1616</v>
      </c>
      <c r="H518" s="9" t="s">
        <v>1617</v>
      </c>
      <c r="I518" s="10">
        <v>45493</v>
      </c>
    </row>
    <row r="519" spans="1:9" x14ac:dyDescent="0.15">
      <c r="A519" s="9">
        <v>518</v>
      </c>
      <c r="B519" s="9" t="s">
        <v>9</v>
      </c>
      <c r="C519" s="9">
        <v>1910</v>
      </c>
      <c r="D519" s="10">
        <v>45602</v>
      </c>
      <c r="E519" s="13" t="str">
        <f>+HYPERLINK("http://trademark.i-assist.jp/data/china/image_1910th/79909501.pdf","79909501")</f>
        <v>79909501</v>
      </c>
      <c r="F519" s="9" t="s">
        <v>1618</v>
      </c>
      <c r="G519" s="9" t="s">
        <v>1619</v>
      </c>
      <c r="H519" s="9" t="s">
        <v>1620</v>
      </c>
      <c r="I519" s="10">
        <v>45493</v>
      </c>
    </row>
    <row r="520" spans="1:9" x14ac:dyDescent="0.15">
      <c r="A520" s="9">
        <v>519</v>
      </c>
      <c r="B520" s="9" t="s">
        <v>9</v>
      </c>
      <c r="C520" s="9">
        <v>1910</v>
      </c>
      <c r="D520" s="10">
        <v>45602</v>
      </c>
      <c r="E520" s="13" t="str">
        <f>+HYPERLINK("http://trademark.i-assist.jp/data/china/image_1910th/79912200.pdf","79912200")</f>
        <v>79912200</v>
      </c>
      <c r="F520" s="9" t="s">
        <v>1621</v>
      </c>
      <c r="G520" s="9" t="s">
        <v>1622</v>
      </c>
      <c r="H520" s="9" t="s">
        <v>1623</v>
      </c>
      <c r="I520" s="10">
        <v>45494</v>
      </c>
    </row>
    <row r="521" spans="1:9" x14ac:dyDescent="0.15">
      <c r="A521" s="9">
        <v>520</v>
      </c>
      <c r="B521" s="9" t="s">
        <v>9</v>
      </c>
      <c r="C521" s="9">
        <v>1910</v>
      </c>
      <c r="D521" s="10">
        <v>45602</v>
      </c>
      <c r="E521" s="13" t="str">
        <f>+HYPERLINK("http://trademark.i-assist.jp/data/china/image_1910th/79912846.pdf","79912846")</f>
        <v>79912846</v>
      </c>
      <c r="F521" s="9" t="s">
        <v>1624</v>
      </c>
      <c r="G521" s="11" t="s">
        <v>1625</v>
      </c>
      <c r="H521" s="9" t="s">
        <v>1626</v>
      </c>
      <c r="I521" s="10">
        <v>45492</v>
      </c>
    </row>
    <row r="522" spans="1:9" x14ac:dyDescent="0.15">
      <c r="A522" s="9">
        <v>521</v>
      </c>
      <c r="B522" s="9" t="s">
        <v>9</v>
      </c>
      <c r="C522" s="9">
        <v>1910</v>
      </c>
      <c r="D522" s="10">
        <v>45602</v>
      </c>
      <c r="E522" s="13" t="str">
        <f>+HYPERLINK("http://trademark.i-assist.jp/data/china/image_1910th/79913421.pdf","79913421")</f>
        <v>79913421</v>
      </c>
      <c r="F522" s="12" t="s">
        <v>1627</v>
      </c>
      <c r="G522" s="9" t="s">
        <v>1628</v>
      </c>
      <c r="H522" s="9" t="s">
        <v>1629</v>
      </c>
      <c r="I522" s="10">
        <v>45495</v>
      </c>
    </row>
    <row r="523" spans="1:9" x14ac:dyDescent="0.15">
      <c r="A523" s="9">
        <v>522</v>
      </c>
      <c r="B523" s="9" t="s">
        <v>9</v>
      </c>
      <c r="C523" s="9">
        <v>1910</v>
      </c>
      <c r="D523" s="10">
        <v>45602</v>
      </c>
      <c r="E523" s="13" t="str">
        <f>+HYPERLINK("http://trademark.i-assist.jp/data/china/image_1910th/79914144.pdf","79914144")</f>
        <v>79914144</v>
      </c>
      <c r="F523" s="9" t="s">
        <v>1630</v>
      </c>
      <c r="G523" s="9" t="s">
        <v>1631</v>
      </c>
      <c r="H523" s="9" t="s">
        <v>16</v>
      </c>
      <c r="I523" s="10">
        <v>45495</v>
      </c>
    </row>
    <row r="524" spans="1:9" x14ac:dyDescent="0.15">
      <c r="A524" s="9">
        <v>523</v>
      </c>
      <c r="B524" s="9" t="s">
        <v>9</v>
      </c>
      <c r="C524" s="9">
        <v>1910</v>
      </c>
      <c r="D524" s="10">
        <v>45602</v>
      </c>
      <c r="E524" s="13" t="str">
        <f>+HYPERLINK("http://trademark.i-assist.jp/data/china/image_1910th/79915153.pdf","79915153")</f>
        <v>79915153</v>
      </c>
      <c r="F524" s="11" t="s">
        <v>19</v>
      </c>
      <c r="G524" s="9" t="s">
        <v>1632</v>
      </c>
      <c r="H524" s="9" t="s">
        <v>1633</v>
      </c>
      <c r="I524" s="10">
        <v>45495</v>
      </c>
    </row>
    <row r="525" spans="1:9" x14ac:dyDescent="0.15">
      <c r="A525" s="9">
        <v>524</v>
      </c>
      <c r="B525" s="9" t="s">
        <v>9</v>
      </c>
      <c r="C525" s="9">
        <v>1910</v>
      </c>
      <c r="D525" s="10">
        <v>45602</v>
      </c>
      <c r="E525" s="13" t="str">
        <f>+HYPERLINK("http://trademark.i-assist.jp/data/china/image_1910th/79915543.pdf","79915543")</f>
        <v>79915543</v>
      </c>
      <c r="F525" s="9" t="s">
        <v>1634</v>
      </c>
      <c r="G525" s="9" t="s">
        <v>312</v>
      </c>
      <c r="H525" s="9" t="s">
        <v>1635</v>
      </c>
      <c r="I525" s="10">
        <v>45495</v>
      </c>
    </row>
    <row r="526" spans="1:9" x14ac:dyDescent="0.15">
      <c r="A526" s="9">
        <v>525</v>
      </c>
      <c r="B526" s="9" t="s">
        <v>9</v>
      </c>
      <c r="C526" s="9">
        <v>1910</v>
      </c>
      <c r="D526" s="10">
        <v>45602</v>
      </c>
      <c r="E526" s="13" t="str">
        <f>+HYPERLINK("http://trademark.i-assist.jp/data/china/image_1910th/79916374.pdf","79916374")</f>
        <v>79916374</v>
      </c>
      <c r="F526" s="9" t="s">
        <v>1636</v>
      </c>
      <c r="G526" s="11" t="s">
        <v>1637</v>
      </c>
      <c r="H526" s="9" t="s">
        <v>1638</v>
      </c>
      <c r="I526" s="10">
        <v>45495</v>
      </c>
    </row>
    <row r="527" spans="1:9" x14ac:dyDescent="0.15">
      <c r="A527" s="9">
        <v>526</v>
      </c>
      <c r="B527" s="9" t="s">
        <v>9</v>
      </c>
      <c r="C527" s="9">
        <v>1910</v>
      </c>
      <c r="D527" s="10">
        <v>45602</v>
      </c>
      <c r="E527" s="13" t="str">
        <f>+HYPERLINK("http://trademark.i-assist.jp/data/china/image_1910th/79916725.pdf","79916725")</f>
        <v>79916725</v>
      </c>
      <c r="F527" s="9" t="s">
        <v>1639</v>
      </c>
      <c r="G527" s="9" t="s">
        <v>1640</v>
      </c>
      <c r="H527" s="9" t="s">
        <v>1641</v>
      </c>
      <c r="I527" s="10">
        <v>45495</v>
      </c>
    </row>
    <row r="528" spans="1:9" x14ac:dyDescent="0.15">
      <c r="A528" s="9">
        <v>527</v>
      </c>
      <c r="B528" s="9" t="s">
        <v>9</v>
      </c>
      <c r="C528" s="9">
        <v>1910</v>
      </c>
      <c r="D528" s="10">
        <v>45602</v>
      </c>
      <c r="E528" s="13" t="str">
        <f>+HYPERLINK("http://trademark.i-assist.jp/data/china/image_1910th/79917610.pdf","79917610")</f>
        <v>79917610</v>
      </c>
      <c r="F528" s="9" t="s">
        <v>1642</v>
      </c>
      <c r="G528" s="11" t="s">
        <v>1643</v>
      </c>
      <c r="H528" s="9" t="s">
        <v>1644</v>
      </c>
      <c r="I528" s="10">
        <v>45495</v>
      </c>
    </row>
    <row r="529" spans="1:9" x14ac:dyDescent="0.15">
      <c r="A529" s="9">
        <v>528</v>
      </c>
      <c r="B529" s="9" t="s">
        <v>9</v>
      </c>
      <c r="C529" s="9">
        <v>1910</v>
      </c>
      <c r="D529" s="10">
        <v>45602</v>
      </c>
      <c r="E529" s="13" t="str">
        <f>+HYPERLINK("http://trademark.i-assist.jp/data/china/image_1910th/79918347.pdf","79918347")</f>
        <v>79918347</v>
      </c>
      <c r="F529" s="9" t="s">
        <v>1645</v>
      </c>
      <c r="G529" s="11" t="s">
        <v>1646</v>
      </c>
      <c r="H529" s="9" t="s">
        <v>1647</v>
      </c>
      <c r="I529" s="10">
        <v>45495</v>
      </c>
    </row>
    <row r="530" spans="1:9" x14ac:dyDescent="0.15">
      <c r="A530" s="9">
        <v>529</v>
      </c>
      <c r="B530" s="9" t="s">
        <v>9</v>
      </c>
      <c r="C530" s="9">
        <v>1910</v>
      </c>
      <c r="D530" s="10">
        <v>45602</v>
      </c>
      <c r="E530" s="13" t="str">
        <f>+HYPERLINK("http://trademark.i-assist.jp/data/china/image_1910th/79919077.pdf","79919077")</f>
        <v>79919077</v>
      </c>
      <c r="F530" s="11" t="s">
        <v>1648</v>
      </c>
      <c r="G530" s="9" t="s">
        <v>70</v>
      </c>
      <c r="H530" s="9" t="s">
        <v>1649</v>
      </c>
      <c r="I530" s="10">
        <v>45495</v>
      </c>
    </row>
    <row r="531" spans="1:9" x14ac:dyDescent="0.15">
      <c r="A531" s="9">
        <v>530</v>
      </c>
      <c r="B531" s="9" t="s">
        <v>9</v>
      </c>
      <c r="C531" s="9">
        <v>1910</v>
      </c>
      <c r="D531" s="10">
        <v>45602</v>
      </c>
      <c r="E531" s="13" t="str">
        <f>+HYPERLINK("http://trademark.i-assist.jp/data/china/image_1910th/79919962.pdf","79919962")</f>
        <v>79919962</v>
      </c>
      <c r="F531" s="9" t="s">
        <v>1650</v>
      </c>
      <c r="G531" s="11" t="s">
        <v>1651</v>
      </c>
      <c r="H531" s="9" t="s">
        <v>1652</v>
      </c>
      <c r="I531" s="10">
        <v>45495</v>
      </c>
    </row>
    <row r="532" spans="1:9" x14ac:dyDescent="0.15">
      <c r="A532" s="9">
        <v>531</v>
      </c>
      <c r="B532" s="9" t="s">
        <v>9</v>
      </c>
      <c r="C532" s="9">
        <v>1910</v>
      </c>
      <c r="D532" s="10">
        <v>45602</v>
      </c>
      <c r="E532" s="13" t="str">
        <f>+HYPERLINK("http://trademark.i-assist.jp/data/china/image_1910th/79920920.pdf","79920920")</f>
        <v>79920920</v>
      </c>
      <c r="F532" s="11" t="s">
        <v>1653</v>
      </c>
      <c r="G532" s="9" t="s">
        <v>1654</v>
      </c>
      <c r="H532" s="9" t="s">
        <v>1655</v>
      </c>
      <c r="I532" s="10">
        <v>45495</v>
      </c>
    </row>
    <row r="533" spans="1:9" x14ac:dyDescent="0.15">
      <c r="A533" s="9">
        <v>532</v>
      </c>
      <c r="B533" s="9" t="s">
        <v>9</v>
      </c>
      <c r="C533" s="9">
        <v>1910</v>
      </c>
      <c r="D533" s="10">
        <v>45602</v>
      </c>
      <c r="E533" s="13" t="str">
        <f>+HYPERLINK("http://trademark.i-assist.jp/data/china/image_1910th/79921245.pdf","79921245")</f>
        <v>79921245</v>
      </c>
      <c r="F533" s="9" t="s">
        <v>1656</v>
      </c>
      <c r="G533" s="9" t="s">
        <v>117</v>
      </c>
      <c r="H533" s="9" t="s">
        <v>1657</v>
      </c>
      <c r="I533" s="10">
        <v>45495</v>
      </c>
    </row>
    <row r="534" spans="1:9" x14ac:dyDescent="0.15">
      <c r="A534" s="9">
        <v>533</v>
      </c>
      <c r="B534" s="9" t="s">
        <v>9</v>
      </c>
      <c r="C534" s="9">
        <v>1910</v>
      </c>
      <c r="D534" s="10">
        <v>45602</v>
      </c>
      <c r="E534" s="13" t="str">
        <f>+HYPERLINK("http://trademark.i-assist.jp/data/china/image_1910th/79921935.pdf","79921935")</f>
        <v>79921935</v>
      </c>
      <c r="F534" s="9" t="s">
        <v>1658</v>
      </c>
      <c r="G534" s="9" t="s">
        <v>73</v>
      </c>
      <c r="H534" s="11" t="s">
        <v>1659</v>
      </c>
      <c r="I534" s="10">
        <v>45495</v>
      </c>
    </row>
    <row r="535" spans="1:9" x14ac:dyDescent="0.15">
      <c r="A535" s="9">
        <v>534</v>
      </c>
      <c r="B535" s="9" t="s">
        <v>9</v>
      </c>
      <c r="C535" s="9">
        <v>1910</v>
      </c>
      <c r="D535" s="10">
        <v>45602</v>
      </c>
      <c r="E535" s="13" t="str">
        <f>+HYPERLINK("http://trademark.i-assist.jp/data/china/image_1910th/79924306.pdf","79924306")</f>
        <v>79924306</v>
      </c>
      <c r="F535" s="9" t="s">
        <v>1660</v>
      </c>
      <c r="G535" s="9" t="s">
        <v>53</v>
      </c>
      <c r="H535" s="9" t="s">
        <v>1661</v>
      </c>
      <c r="I535" s="10">
        <v>45495</v>
      </c>
    </row>
    <row r="536" spans="1:9" x14ac:dyDescent="0.15">
      <c r="A536" s="9">
        <v>535</v>
      </c>
      <c r="B536" s="9" t="s">
        <v>9</v>
      </c>
      <c r="C536" s="9">
        <v>1910</v>
      </c>
      <c r="D536" s="10">
        <v>45602</v>
      </c>
      <c r="E536" s="13" t="str">
        <f>+HYPERLINK("http://trademark.i-assist.jp/data/china/image_1910th/79926895.pdf","79926895")</f>
        <v>79926895</v>
      </c>
      <c r="F536" s="9" t="s">
        <v>1662</v>
      </c>
      <c r="G536" s="11" t="s">
        <v>1663</v>
      </c>
      <c r="H536" s="9" t="s">
        <v>1664</v>
      </c>
      <c r="I536" s="10">
        <v>45495</v>
      </c>
    </row>
    <row r="537" spans="1:9" x14ac:dyDescent="0.15">
      <c r="A537" s="9">
        <v>536</v>
      </c>
      <c r="B537" s="9" t="s">
        <v>9</v>
      </c>
      <c r="C537" s="9">
        <v>1910</v>
      </c>
      <c r="D537" s="10">
        <v>45602</v>
      </c>
      <c r="E537" s="13" t="str">
        <f>+HYPERLINK("http://trademark.i-assist.jp/data/china/image_1910th/79927591.pdf","79927591")</f>
        <v>79927591</v>
      </c>
      <c r="F537" s="9" t="s">
        <v>1665</v>
      </c>
      <c r="G537" s="11" t="s">
        <v>1651</v>
      </c>
      <c r="H537" s="9" t="s">
        <v>1666</v>
      </c>
      <c r="I537" s="10">
        <v>45495</v>
      </c>
    </row>
    <row r="538" spans="1:9" x14ac:dyDescent="0.15">
      <c r="A538" s="9">
        <v>537</v>
      </c>
      <c r="B538" s="9" t="s">
        <v>9</v>
      </c>
      <c r="C538" s="9">
        <v>1910</v>
      </c>
      <c r="D538" s="10">
        <v>45602</v>
      </c>
      <c r="E538" s="13" t="str">
        <f>+HYPERLINK("http://trademark.i-assist.jp/data/china/image_1910th/79928052.pdf","79928052")</f>
        <v>79928052</v>
      </c>
      <c r="F538" s="9" t="s">
        <v>1667</v>
      </c>
      <c r="G538" s="11" t="s">
        <v>1668</v>
      </c>
      <c r="H538" s="11" t="s">
        <v>1669</v>
      </c>
      <c r="I538" s="10">
        <v>45495</v>
      </c>
    </row>
    <row r="539" spans="1:9" x14ac:dyDescent="0.15">
      <c r="A539" s="9">
        <v>538</v>
      </c>
      <c r="B539" s="9" t="s">
        <v>9</v>
      </c>
      <c r="C539" s="9">
        <v>1910</v>
      </c>
      <c r="D539" s="10">
        <v>45602</v>
      </c>
      <c r="E539" s="13" t="str">
        <f>+HYPERLINK("http://trademark.i-assist.jp/data/china/image_1910th/79928172.pdf","79928172")</f>
        <v>79928172</v>
      </c>
      <c r="F539" s="9" t="s">
        <v>1670</v>
      </c>
      <c r="G539" s="9" t="s">
        <v>1671</v>
      </c>
      <c r="H539" s="9" t="s">
        <v>1672</v>
      </c>
      <c r="I539" s="10">
        <v>45495</v>
      </c>
    </row>
    <row r="540" spans="1:9" x14ac:dyDescent="0.15">
      <c r="A540" s="9">
        <v>539</v>
      </c>
      <c r="B540" s="9" t="s">
        <v>9</v>
      </c>
      <c r="C540" s="9">
        <v>1910</v>
      </c>
      <c r="D540" s="10">
        <v>45602</v>
      </c>
      <c r="E540" s="13" t="str">
        <f>+HYPERLINK("http://trademark.i-assist.jp/data/china/image_1910th/79928644.pdf","79928644")</f>
        <v>79928644</v>
      </c>
      <c r="F540" s="9" t="s">
        <v>1673</v>
      </c>
      <c r="G540" s="9" t="s">
        <v>1674</v>
      </c>
      <c r="H540" s="9" t="s">
        <v>1675</v>
      </c>
      <c r="I540" s="10">
        <v>45495</v>
      </c>
    </row>
    <row r="541" spans="1:9" x14ac:dyDescent="0.15">
      <c r="A541" s="9">
        <v>540</v>
      </c>
      <c r="B541" s="9" t="s">
        <v>9</v>
      </c>
      <c r="C541" s="9">
        <v>1910</v>
      </c>
      <c r="D541" s="10">
        <v>45602</v>
      </c>
      <c r="E541" s="13" t="str">
        <f>+HYPERLINK("http://trademark.i-assist.jp/data/china/image_1910th/79928864.pdf","79928864")</f>
        <v>79928864</v>
      </c>
      <c r="F541" s="9" t="s">
        <v>1676</v>
      </c>
      <c r="G541" s="9" t="s">
        <v>1677</v>
      </c>
      <c r="H541" s="9" t="s">
        <v>1678</v>
      </c>
      <c r="I541" s="10">
        <v>45495</v>
      </c>
    </row>
    <row r="542" spans="1:9" x14ac:dyDescent="0.15">
      <c r="A542" s="9">
        <v>541</v>
      </c>
      <c r="B542" s="9" t="s">
        <v>9</v>
      </c>
      <c r="C542" s="9">
        <v>1910</v>
      </c>
      <c r="D542" s="10">
        <v>45602</v>
      </c>
      <c r="E542" s="13" t="str">
        <f>+HYPERLINK("http://trademark.i-assist.jp/data/china/image_1910th/79929296.pdf","79929296")</f>
        <v>79929296</v>
      </c>
      <c r="F542" s="9" t="s">
        <v>1679</v>
      </c>
      <c r="G542" s="9" t="s">
        <v>53</v>
      </c>
      <c r="H542" s="9" t="s">
        <v>1680</v>
      </c>
      <c r="I542" s="10">
        <v>45495</v>
      </c>
    </row>
    <row r="543" spans="1:9" x14ac:dyDescent="0.15">
      <c r="A543" s="9">
        <v>542</v>
      </c>
      <c r="B543" s="9" t="s">
        <v>9</v>
      </c>
      <c r="C543" s="9">
        <v>1910</v>
      </c>
      <c r="D543" s="10">
        <v>45602</v>
      </c>
      <c r="E543" s="13" t="str">
        <f>+HYPERLINK("http://trademark.i-assist.jp/data/china/image_1910th/79929355.pdf","79929355")</f>
        <v>79929355</v>
      </c>
      <c r="F543" s="9" t="s">
        <v>1681</v>
      </c>
      <c r="G543" s="9" t="s">
        <v>1682</v>
      </c>
      <c r="H543" s="9" t="s">
        <v>1683</v>
      </c>
      <c r="I543" s="10">
        <v>45495</v>
      </c>
    </row>
    <row r="544" spans="1:9" x14ac:dyDescent="0.15">
      <c r="A544" s="9">
        <v>543</v>
      </c>
      <c r="B544" s="9" t="s">
        <v>9</v>
      </c>
      <c r="C544" s="9">
        <v>1910</v>
      </c>
      <c r="D544" s="10">
        <v>45602</v>
      </c>
      <c r="E544" s="13" t="str">
        <f>+HYPERLINK("http://trademark.i-assist.jp/data/china/image_1910th/79929576.pdf","79929576")</f>
        <v>79929576</v>
      </c>
      <c r="F544" s="9" t="s">
        <v>1684</v>
      </c>
      <c r="G544" s="9" t="s">
        <v>1685</v>
      </c>
      <c r="H544" s="11" t="s">
        <v>1686</v>
      </c>
      <c r="I544" s="10">
        <v>45495</v>
      </c>
    </row>
    <row r="545" spans="1:9" x14ac:dyDescent="0.15">
      <c r="A545" s="9">
        <v>544</v>
      </c>
      <c r="B545" s="9" t="s">
        <v>9</v>
      </c>
      <c r="C545" s="9">
        <v>1910</v>
      </c>
      <c r="D545" s="10">
        <v>45602</v>
      </c>
      <c r="E545" s="13" t="str">
        <f>+HYPERLINK("http://trademark.i-assist.jp/data/china/image_1910th/79930413.pdf","79930413")</f>
        <v>79930413</v>
      </c>
      <c r="F545" s="9" t="s">
        <v>1687</v>
      </c>
      <c r="G545" s="9" t="s">
        <v>70</v>
      </c>
      <c r="H545" s="9" t="s">
        <v>1688</v>
      </c>
      <c r="I545" s="10">
        <v>45495</v>
      </c>
    </row>
    <row r="546" spans="1:9" x14ac:dyDescent="0.15">
      <c r="A546" s="9">
        <v>545</v>
      </c>
      <c r="B546" s="9" t="s">
        <v>9</v>
      </c>
      <c r="C546" s="9">
        <v>1910</v>
      </c>
      <c r="D546" s="10">
        <v>45602</v>
      </c>
      <c r="E546" s="13" t="str">
        <f>+HYPERLINK("http://trademark.i-assist.jp/data/china/image_1910th/79930956.pdf","79930956")</f>
        <v>79930956</v>
      </c>
      <c r="F546" s="9" t="s">
        <v>1689</v>
      </c>
      <c r="G546" s="9" t="s">
        <v>1690</v>
      </c>
      <c r="H546" s="9" t="s">
        <v>1691</v>
      </c>
      <c r="I546" s="10">
        <v>45495</v>
      </c>
    </row>
    <row r="547" spans="1:9" x14ac:dyDescent="0.15">
      <c r="A547" s="9">
        <v>546</v>
      </c>
      <c r="B547" s="9" t="s">
        <v>9</v>
      </c>
      <c r="C547" s="9">
        <v>1910</v>
      </c>
      <c r="D547" s="10">
        <v>45602</v>
      </c>
      <c r="E547" s="13" t="str">
        <f>+HYPERLINK("http://trademark.i-assist.jp/data/china/image_1910th/79931506.pdf","79931506")</f>
        <v>79931506</v>
      </c>
      <c r="F547" s="9" t="s">
        <v>1692</v>
      </c>
      <c r="G547" s="9" t="s">
        <v>1693</v>
      </c>
      <c r="H547" s="11" t="s">
        <v>1694</v>
      </c>
      <c r="I547" s="10">
        <v>45495</v>
      </c>
    </row>
    <row r="548" spans="1:9" x14ac:dyDescent="0.15">
      <c r="A548" s="9">
        <v>547</v>
      </c>
      <c r="B548" s="9" t="s">
        <v>9</v>
      </c>
      <c r="C548" s="9">
        <v>1910</v>
      </c>
      <c r="D548" s="10">
        <v>45602</v>
      </c>
      <c r="E548" s="13" t="str">
        <f>+HYPERLINK("http://trademark.i-assist.jp/data/china/image_1910th/79931997.pdf","79931997")</f>
        <v>79931997</v>
      </c>
      <c r="F548" s="9" t="s">
        <v>1695</v>
      </c>
      <c r="G548" s="9" t="s">
        <v>1696</v>
      </c>
      <c r="H548" s="9" t="s">
        <v>1697</v>
      </c>
      <c r="I548" s="10">
        <v>45495</v>
      </c>
    </row>
    <row r="549" spans="1:9" x14ac:dyDescent="0.15">
      <c r="A549" s="9">
        <v>548</v>
      </c>
      <c r="B549" s="9" t="s">
        <v>9</v>
      </c>
      <c r="C549" s="9">
        <v>1910</v>
      </c>
      <c r="D549" s="10">
        <v>45602</v>
      </c>
      <c r="E549" s="13" t="str">
        <f>+HYPERLINK("http://trademark.i-assist.jp/data/china/image_1910th/79932148.pdf","79932148")</f>
        <v>79932148</v>
      </c>
      <c r="F549" s="9" t="s">
        <v>1698</v>
      </c>
      <c r="G549" s="9" t="s">
        <v>53</v>
      </c>
      <c r="H549" s="9" t="s">
        <v>1699</v>
      </c>
      <c r="I549" s="10">
        <v>45495</v>
      </c>
    </row>
    <row r="550" spans="1:9" x14ac:dyDescent="0.15">
      <c r="A550" s="9">
        <v>549</v>
      </c>
      <c r="B550" s="9" t="s">
        <v>9</v>
      </c>
      <c r="C550" s="9">
        <v>1910</v>
      </c>
      <c r="D550" s="10">
        <v>45602</v>
      </c>
      <c r="E550" s="13" t="str">
        <f>+HYPERLINK("http://trademark.i-assist.jp/data/china/image_1910th/79932479.pdf","79932479")</f>
        <v>79932479</v>
      </c>
      <c r="F550" s="11" t="s">
        <v>1700</v>
      </c>
      <c r="G550" s="9" t="s">
        <v>1701</v>
      </c>
      <c r="H550" s="9" t="s">
        <v>1702</v>
      </c>
      <c r="I550" s="10">
        <v>45495</v>
      </c>
    </row>
    <row r="551" spans="1:9" x14ac:dyDescent="0.15">
      <c r="A551" s="9">
        <v>550</v>
      </c>
      <c r="B551" s="9" t="s">
        <v>9</v>
      </c>
      <c r="C551" s="9">
        <v>1910</v>
      </c>
      <c r="D551" s="10">
        <v>45602</v>
      </c>
      <c r="E551" s="13" t="str">
        <f>+HYPERLINK("http://trademark.i-assist.jp/data/china/image_1910th/79933294.pdf","79933294")</f>
        <v>79933294</v>
      </c>
      <c r="F551" s="9" t="s">
        <v>1703</v>
      </c>
      <c r="G551" s="9" t="s">
        <v>1674</v>
      </c>
      <c r="H551" s="11" t="s">
        <v>1704</v>
      </c>
      <c r="I551" s="10">
        <v>45495</v>
      </c>
    </row>
    <row r="552" spans="1:9" x14ac:dyDescent="0.15">
      <c r="A552" s="9">
        <v>551</v>
      </c>
      <c r="B552" s="9" t="s">
        <v>9</v>
      </c>
      <c r="C552" s="9">
        <v>1910</v>
      </c>
      <c r="D552" s="10">
        <v>45602</v>
      </c>
      <c r="E552" s="13" t="str">
        <f>+HYPERLINK("http://trademark.i-assist.jp/data/china/image_1910th/79933350.pdf","79933350")</f>
        <v>79933350</v>
      </c>
      <c r="F552" s="9" t="s">
        <v>1705</v>
      </c>
      <c r="G552" s="9" t="s">
        <v>1706</v>
      </c>
      <c r="H552" s="9" t="s">
        <v>1707</v>
      </c>
      <c r="I552" s="10">
        <v>45495</v>
      </c>
    </row>
    <row r="553" spans="1:9" x14ac:dyDescent="0.15">
      <c r="A553" s="9">
        <v>552</v>
      </c>
      <c r="B553" s="9" t="s">
        <v>9</v>
      </c>
      <c r="C553" s="9">
        <v>1910</v>
      </c>
      <c r="D553" s="10">
        <v>45602</v>
      </c>
      <c r="E553" s="13" t="str">
        <f>+HYPERLINK("http://trademark.i-assist.jp/data/china/image_1910th/79935390.pdf","79935390")</f>
        <v>79935390</v>
      </c>
      <c r="F553" s="11" t="s">
        <v>1708</v>
      </c>
      <c r="G553" s="9" t="s">
        <v>1709</v>
      </c>
      <c r="H553" s="9" t="s">
        <v>1710</v>
      </c>
      <c r="I553" s="10">
        <v>45495</v>
      </c>
    </row>
    <row r="554" spans="1:9" x14ac:dyDescent="0.15">
      <c r="A554" s="9">
        <v>553</v>
      </c>
      <c r="B554" s="9" t="s">
        <v>9</v>
      </c>
      <c r="C554" s="9">
        <v>1910</v>
      </c>
      <c r="D554" s="10">
        <v>45602</v>
      </c>
      <c r="E554" s="13" t="str">
        <f>+HYPERLINK("http://trademark.i-assist.jp/data/china/image_1910th/79935421.pdf","79935421")</f>
        <v>79935421</v>
      </c>
      <c r="F554" s="11" t="s">
        <v>1711</v>
      </c>
      <c r="G554" s="9" t="s">
        <v>71</v>
      </c>
      <c r="H554" s="9" t="s">
        <v>1712</v>
      </c>
      <c r="I554" s="10">
        <v>45495</v>
      </c>
    </row>
    <row r="555" spans="1:9" x14ac:dyDescent="0.15">
      <c r="A555" s="9">
        <v>554</v>
      </c>
      <c r="B555" s="9" t="s">
        <v>9</v>
      </c>
      <c r="C555" s="9">
        <v>1910</v>
      </c>
      <c r="D555" s="10">
        <v>45602</v>
      </c>
      <c r="E555" s="13" t="str">
        <f>+HYPERLINK("http://trademark.i-assist.jp/data/china/image_1910th/79936270.pdf","79936270")</f>
        <v>79936270</v>
      </c>
      <c r="F555" s="9" t="s">
        <v>1713</v>
      </c>
      <c r="G555" s="9" t="s">
        <v>1714</v>
      </c>
      <c r="H555" s="9" t="s">
        <v>1715</v>
      </c>
      <c r="I555" s="10">
        <v>45495</v>
      </c>
    </row>
    <row r="556" spans="1:9" x14ac:dyDescent="0.15">
      <c r="A556" s="9">
        <v>555</v>
      </c>
      <c r="B556" s="9" t="s">
        <v>9</v>
      </c>
      <c r="C556" s="9">
        <v>1910</v>
      </c>
      <c r="D556" s="10">
        <v>45602</v>
      </c>
      <c r="E556" s="13" t="str">
        <f>+HYPERLINK("http://trademark.i-assist.jp/data/china/image_1910th/79936382.pdf","79936382")</f>
        <v>79936382</v>
      </c>
      <c r="F556" s="11" t="s">
        <v>1716</v>
      </c>
      <c r="G556" s="9" t="s">
        <v>1717</v>
      </c>
      <c r="H556" s="9" t="s">
        <v>1718</v>
      </c>
      <c r="I556" s="10">
        <v>45495</v>
      </c>
    </row>
    <row r="557" spans="1:9" x14ac:dyDescent="0.15">
      <c r="A557" s="9">
        <v>556</v>
      </c>
      <c r="B557" s="9" t="s">
        <v>9</v>
      </c>
      <c r="C557" s="9">
        <v>1910</v>
      </c>
      <c r="D557" s="10">
        <v>45602</v>
      </c>
      <c r="E557" s="13" t="str">
        <f>+HYPERLINK("http://trademark.i-assist.jp/data/china/image_1910th/79937047.pdf","79937047")</f>
        <v>79937047</v>
      </c>
      <c r="F557" s="9" t="s">
        <v>1719</v>
      </c>
      <c r="G557" s="11" t="s">
        <v>1720</v>
      </c>
      <c r="H557" s="9" t="s">
        <v>1721</v>
      </c>
      <c r="I557" s="10">
        <v>45495</v>
      </c>
    </row>
    <row r="558" spans="1:9" x14ac:dyDescent="0.15">
      <c r="A558" s="9">
        <v>557</v>
      </c>
      <c r="B558" s="9" t="s">
        <v>9</v>
      </c>
      <c r="C558" s="9">
        <v>1910</v>
      </c>
      <c r="D558" s="10">
        <v>45602</v>
      </c>
      <c r="E558" s="13" t="str">
        <f>+HYPERLINK("http://trademark.i-assist.jp/data/china/image_1910th/79937204.pdf","79937204")</f>
        <v>79937204</v>
      </c>
      <c r="F558" s="9" t="s">
        <v>1722</v>
      </c>
      <c r="G558" s="9" t="s">
        <v>1723</v>
      </c>
      <c r="H558" s="9" t="s">
        <v>1724</v>
      </c>
      <c r="I558" s="10">
        <v>45495</v>
      </c>
    </row>
    <row r="559" spans="1:9" x14ac:dyDescent="0.15">
      <c r="A559" s="9">
        <v>558</v>
      </c>
      <c r="B559" s="9" t="s">
        <v>9</v>
      </c>
      <c r="C559" s="9">
        <v>1910</v>
      </c>
      <c r="D559" s="10">
        <v>45602</v>
      </c>
      <c r="E559" s="13" t="str">
        <f>+HYPERLINK("http://trademark.i-assist.jp/data/china/image_1910th/79937585.pdf","79937585")</f>
        <v>79937585</v>
      </c>
      <c r="F559" s="9" t="s">
        <v>1725</v>
      </c>
      <c r="G559" s="11" t="s">
        <v>1726</v>
      </c>
      <c r="H559" s="9" t="s">
        <v>1727</v>
      </c>
      <c r="I559" s="10">
        <v>45496</v>
      </c>
    </row>
    <row r="560" spans="1:9" x14ac:dyDescent="0.15">
      <c r="A560" s="9">
        <v>559</v>
      </c>
      <c r="B560" s="9" t="s">
        <v>9</v>
      </c>
      <c r="C560" s="9">
        <v>1910</v>
      </c>
      <c r="D560" s="10">
        <v>45602</v>
      </c>
      <c r="E560" s="13" t="str">
        <f>+HYPERLINK("http://trademark.i-assist.jp/data/china/image_1910th/79939338.pdf","79939338")</f>
        <v>79939338</v>
      </c>
      <c r="F560" s="9" t="s">
        <v>1728</v>
      </c>
      <c r="G560" s="11" t="s">
        <v>74</v>
      </c>
      <c r="H560" s="9" t="s">
        <v>1729</v>
      </c>
      <c r="I560" s="10">
        <v>45496</v>
      </c>
    </row>
    <row r="561" spans="1:9" x14ac:dyDescent="0.15">
      <c r="A561" s="9">
        <v>560</v>
      </c>
      <c r="B561" s="9" t="s">
        <v>9</v>
      </c>
      <c r="C561" s="9">
        <v>1910</v>
      </c>
      <c r="D561" s="10">
        <v>45602</v>
      </c>
      <c r="E561" s="13" t="str">
        <f>+HYPERLINK("http://trademark.i-assist.jp/data/china/image_1910th/79940040.pdf","79940040")</f>
        <v>79940040</v>
      </c>
      <c r="F561" s="9" t="s">
        <v>1730</v>
      </c>
      <c r="G561" s="9" t="s">
        <v>1731</v>
      </c>
      <c r="H561" s="9" t="s">
        <v>1732</v>
      </c>
      <c r="I561" s="10">
        <v>45496</v>
      </c>
    </row>
    <row r="562" spans="1:9" x14ac:dyDescent="0.15">
      <c r="A562" s="9">
        <v>561</v>
      </c>
      <c r="B562" s="9" t="s">
        <v>9</v>
      </c>
      <c r="C562" s="9">
        <v>1910</v>
      </c>
      <c r="D562" s="10">
        <v>45602</v>
      </c>
      <c r="E562" s="13" t="str">
        <f>+HYPERLINK("http://trademark.i-assist.jp/data/china/image_1910th/79940854.pdf","79940854")</f>
        <v>79940854</v>
      </c>
      <c r="F562" s="9" t="s">
        <v>1733</v>
      </c>
      <c r="G562" s="9" t="s">
        <v>1734</v>
      </c>
      <c r="H562" s="9" t="s">
        <v>1735</v>
      </c>
      <c r="I562" s="10">
        <v>45496</v>
      </c>
    </row>
    <row r="563" spans="1:9" x14ac:dyDescent="0.15">
      <c r="A563" s="9">
        <v>562</v>
      </c>
      <c r="B563" s="9" t="s">
        <v>9</v>
      </c>
      <c r="C563" s="9">
        <v>1910</v>
      </c>
      <c r="D563" s="10">
        <v>45602</v>
      </c>
      <c r="E563" s="13" t="str">
        <f>+HYPERLINK("http://trademark.i-assist.jp/data/china/image_1910th/79941312.pdf","79941312")</f>
        <v>79941312</v>
      </c>
      <c r="F563" s="9" t="s">
        <v>1736</v>
      </c>
      <c r="G563" s="9" t="s">
        <v>1737</v>
      </c>
      <c r="H563" s="9" t="s">
        <v>1738</v>
      </c>
      <c r="I563" s="10">
        <v>45496</v>
      </c>
    </row>
    <row r="564" spans="1:9" x14ac:dyDescent="0.15">
      <c r="A564" s="9">
        <v>563</v>
      </c>
      <c r="B564" s="9" t="s">
        <v>9</v>
      </c>
      <c r="C564" s="9">
        <v>1910</v>
      </c>
      <c r="D564" s="10">
        <v>45602</v>
      </c>
      <c r="E564" s="13" t="str">
        <f>+HYPERLINK("http://trademark.i-assist.jp/data/china/image_1910th/79941698.pdf","79941698")</f>
        <v>79941698</v>
      </c>
      <c r="F564" s="11" t="s">
        <v>19</v>
      </c>
      <c r="G564" s="11" t="s">
        <v>1739</v>
      </c>
      <c r="H564" s="9" t="s">
        <v>1740</v>
      </c>
      <c r="I564" s="10">
        <v>45496</v>
      </c>
    </row>
    <row r="565" spans="1:9" x14ac:dyDescent="0.15">
      <c r="A565" s="9">
        <v>564</v>
      </c>
      <c r="B565" s="9" t="s">
        <v>9</v>
      </c>
      <c r="C565" s="9">
        <v>1910</v>
      </c>
      <c r="D565" s="10">
        <v>45602</v>
      </c>
      <c r="E565" s="13" t="str">
        <f>+HYPERLINK("http://trademark.i-assist.jp/data/china/image_1910th/79942189.pdf","79942189")</f>
        <v>79942189</v>
      </c>
      <c r="F565" s="9" t="s">
        <v>1741</v>
      </c>
      <c r="G565" s="11" t="s">
        <v>76</v>
      </c>
      <c r="H565" s="9" t="s">
        <v>1742</v>
      </c>
      <c r="I565" s="10">
        <v>45496</v>
      </c>
    </row>
    <row r="566" spans="1:9" x14ac:dyDescent="0.15">
      <c r="A566" s="9">
        <v>565</v>
      </c>
      <c r="B566" s="9" t="s">
        <v>9</v>
      </c>
      <c r="C566" s="9">
        <v>1910</v>
      </c>
      <c r="D566" s="10">
        <v>45602</v>
      </c>
      <c r="E566" s="13" t="str">
        <f>+HYPERLINK("http://trademark.i-assist.jp/data/china/image_1910th/79942274.pdf","79942274")</f>
        <v>79942274</v>
      </c>
      <c r="F566" s="9" t="s">
        <v>1743</v>
      </c>
      <c r="G566" s="9" t="s">
        <v>1744</v>
      </c>
      <c r="H566" s="9" t="s">
        <v>1745</v>
      </c>
      <c r="I566" s="10">
        <v>45496</v>
      </c>
    </row>
    <row r="567" spans="1:9" x14ac:dyDescent="0.15">
      <c r="A567" s="9">
        <v>566</v>
      </c>
      <c r="B567" s="9" t="s">
        <v>9</v>
      </c>
      <c r="C567" s="9">
        <v>1910</v>
      </c>
      <c r="D567" s="10">
        <v>45602</v>
      </c>
      <c r="E567" s="13" t="str">
        <f>+HYPERLINK("http://trademark.i-assist.jp/data/china/image_1910th/79942314.pdf","79942314")</f>
        <v>79942314</v>
      </c>
      <c r="F567" s="9" t="s">
        <v>1746</v>
      </c>
      <c r="G567" s="11" t="s">
        <v>1747</v>
      </c>
      <c r="H567" s="9" t="s">
        <v>1748</v>
      </c>
      <c r="I567" s="10">
        <v>45496</v>
      </c>
    </row>
    <row r="568" spans="1:9" x14ac:dyDescent="0.15">
      <c r="A568" s="9">
        <v>567</v>
      </c>
      <c r="B568" s="9" t="s">
        <v>9</v>
      </c>
      <c r="C568" s="9">
        <v>1910</v>
      </c>
      <c r="D568" s="10">
        <v>45602</v>
      </c>
      <c r="E568" s="13" t="str">
        <f>+HYPERLINK("http://trademark.i-assist.jp/data/china/image_1910th/79942965.pdf","79942965")</f>
        <v>79942965</v>
      </c>
      <c r="F568" s="9" t="s">
        <v>1749</v>
      </c>
      <c r="G568" s="11" t="s">
        <v>1750</v>
      </c>
      <c r="H568" s="9" t="s">
        <v>1751</v>
      </c>
      <c r="I568" s="10">
        <v>45496</v>
      </c>
    </row>
    <row r="569" spans="1:9" x14ac:dyDescent="0.15">
      <c r="A569" s="9">
        <v>568</v>
      </c>
      <c r="B569" s="9" t="s">
        <v>9</v>
      </c>
      <c r="C569" s="9">
        <v>1910</v>
      </c>
      <c r="D569" s="10">
        <v>45602</v>
      </c>
      <c r="E569" s="13" t="str">
        <f>+HYPERLINK("http://trademark.i-assist.jp/data/china/image_1910th/79943636.pdf","79943636")</f>
        <v>79943636</v>
      </c>
      <c r="F569" s="9" t="s">
        <v>1752</v>
      </c>
      <c r="G569" s="9" t="s">
        <v>1753</v>
      </c>
      <c r="H569" s="9" t="s">
        <v>1754</v>
      </c>
      <c r="I569" s="10">
        <v>45496</v>
      </c>
    </row>
    <row r="570" spans="1:9" x14ac:dyDescent="0.15">
      <c r="A570" s="9">
        <v>569</v>
      </c>
      <c r="B570" s="9" t="s">
        <v>9</v>
      </c>
      <c r="C570" s="9">
        <v>1910</v>
      </c>
      <c r="D570" s="10">
        <v>45602</v>
      </c>
      <c r="E570" s="13" t="str">
        <f>+HYPERLINK("http://trademark.i-assist.jp/data/china/image_1910th/79943908.pdf","79943908")</f>
        <v>79943908</v>
      </c>
      <c r="F570" s="9" t="s">
        <v>1755</v>
      </c>
      <c r="G570" s="9" t="s">
        <v>1756</v>
      </c>
      <c r="H570" s="9" t="s">
        <v>1757</v>
      </c>
      <c r="I570" s="10">
        <v>45496</v>
      </c>
    </row>
    <row r="571" spans="1:9" x14ac:dyDescent="0.15">
      <c r="A571" s="9">
        <v>570</v>
      </c>
      <c r="B571" s="9" t="s">
        <v>9</v>
      </c>
      <c r="C571" s="9">
        <v>1910</v>
      </c>
      <c r="D571" s="10">
        <v>45602</v>
      </c>
      <c r="E571" s="13" t="str">
        <f>+HYPERLINK("http://trademark.i-assist.jp/data/china/image_1910th/79945649.pdf","79945649")</f>
        <v>79945649</v>
      </c>
      <c r="F571" s="9" t="s">
        <v>1758</v>
      </c>
      <c r="G571" s="9" t="s">
        <v>1759</v>
      </c>
      <c r="H571" s="9" t="s">
        <v>1760</v>
      </c>
      <c r="I571" s="10">
        <v>45496</v>
      </c>
    </row>
    <row r="572" spans="1:9" x14ac:dyDescent="0.15">
      <c r="A572" s="9">
        <v>571</v>
      </c>
      <c r="B572" s="9" t="s">
        <v>9</v>
      </c>
      <c r="C572" s="9">
        <v>1910</v>
      </c>
      <c r="D572" s="10">
        <v>45602</v>
      </c>
      <c r="E572" s="13" t="str">
        <f>+HYPERLINK("http://trademark.i-assist.jp/data/china/image_1910th/79947581.pdf","79947581")</f>
        <v>79947581</v>
      </c>
      <c r="F572" s="11" t="s">
        <v>1761</v>
      </c>
      <c r="G572" s="11" t="s">
        <v>1762</v>
      </c>
      <c r="H572" s="9" t="s">
        <v>1763</v>
      </c>
      <c r="I572" s="10">
        <v>45496</v>
      </c>
    </row>
    <row r="573" spans="1:9" x14ac:dyDescent="0.15">
      <c r="A573" s="9">
        <v>572</v>
      </c>
      <c r="B573" s="9" t="s">
        <v>9</v>
      </c>
      <c r="C573" s="9">
        <v>1910</v>
      </c>
      <c r="D573" s="10">
        <v>45602</v>
      </c>
      <c r="E573" s="13" t="str">
        <f>+HYPERLINK("http://trademark.i-assist.jp/data/china/image_1910th/79949254.pdf","79949254")</f>
        <v>79949254</v>
      </c>
      <c r="F573" s="9" t="s">
        <v>1764</v>
      </c>
      <c r="G573" s="9" t="s">
        <v>1765</v>
      </c>
      <c r="H573" s="9" t="s">
        <v>1766</v>
      </c>
      <c r="I573" s="10">
        <v>45496</v>
      </c>
    </row>
    <row r="574" spans="1:9" x14ac:dyDescent="0.15">
      <c r="A574" s="9">
        <v>573</v>
      </c>
      <c r="B574" s="9" t="s">
        <v>9</v>
      </c>
      <c r="C574" s="9">
        <v>1910</v>
      </c>
      <c r="D574" s="10">
        <v>45602</v>
      </c>
      <c r="E574" s="13" t="str">
        <f>+HYPERLINK("http://trademark.i-assist.jp/data/china/image_1910th/79949370.pdf","79949370")</f>
        <v>79949370</v>
      </c>
      <c r="F574" s="9" t="s">
        <v>1767</v>
      </c>
      <c r="G574" s="9" t="s">
        <v>1768</v>
      </c>
      <c r="H574" s="11" t="s">
        <v>1769</v>
      </c>
      <c r="I574" s="10">
        <v>45496</v>
      </c>
    </row>
    <row r="575" spans="1:9" x14ac:dyDescent="0.15">
      <c r="A575" s="9">
        <v>574</v>
      </c>
      <c r="B575" s="9" t="s">
        <v>9</v>
      </c>
      <c r="C575" s="9">
        <v>1910</v>
      </c>
      <c r="D575" s="10">
        <v>45602</v>
      </c>
      <c r="E575" s="13" t="str">
        <f>+HYPERLINK("http://trademark.i-assist.jp/data/china/image_1910th/79950222.pdf","79950222")</f>
        <v>79950222</v>
      </c>
      <c r="F575" s="9" t="s">
        <v>1770</v>
      </c>
      <c r="G575" s="11" t="s">
        <v>1771</v>
      </c>
      <c r="H575" s="9" t="s">
        <v>1772</v>
      </c>
      <c r="I575" s="10">
        <v>45496</v>
      </c>
    </row>
    <row r="576" spans="1:9" x14ac:dyDescent="0.15">
      <c r="A576" s="9">
        <v>575</v>
      </c>
      <c r="B576" s="9" t="s">
        <v>9</v>
      </c>
      <c r="C576" s="9">
        <v>1910</v>
      </c>
      <c r="D576" s="10">
        <v>45602</v>
      </c>
      <c r="E576" s="13" t="str">
        <f>+HYPERLINK("http://trademark.i-assist.jp/data/china/image_1910th/79950874.pdf","79950874")</f>
        <v>79950874</v>
      </c>
      <c r="F576" s="9" t="s">
        <v>1773</v>
      </c>
      <c r="G576" s="11" t="s">
        <v>1774</v>
      </c>
      <c r="H576" s="9" t="s">
        <v>1775</v>
      </c>
      <c r="I576" s="10">
        <v>45496</v>
      </c>
    </row>
    <row r="577" spans="1:9" x14ac:dyDescent="0.15">
      <c r="A577" s="9">
        <v>576</v>
      </c>
      <c r="B577" s="9" t="s">
        <v>9</v>
      </c>
      <c r="C577" s="9">
        <v>1910</v>
      </c>
      <c r="D577" s="10">
        <v>45602</v>
      </c>
      <c r="E577" s="13" t="str">
        <f>+HYPERLINK("http://trademark.i-assist.jp/data/china/image_1910th/79952183.pdf","79952183")</f>
        <v>79952183</v>
      </c>
      <c r="F577" s="9" t="s">
        <v>1776</v>
      </c>
      <c r="G577" s="9" t="s">
        <v>1777</v>
      </c>
      <c r="H577" s="11" t="s">
        <v>1778</v>
      </c>
      <c r="I577" s="10">
        <v>45496</v>
      </c>
    </row>
    <row r="578" spans="1:9" x14ac:dyDescent="0.15">
      <c r="A578" s="9">
        <v>577</v>
      </c>
      <c r="B578" s="9" t="s">
        <v>9</v>
      </c>
      <c r="C578" s="9">
        <v>1910</v>
      </c>
      <c r="D578" s="10">
        <v>45602</v>
      </c>
      <c r="E578" s="13" t="str">
        <f>+HYPERLINK("http://trademark.i-assist.jp/data/china/image_1910th/79952218.pdf","79952218")</f>
        <v>79952218</v>
      </c>
      <c r="F578" s="9" t="s">
        <v>1779</v>
      </c>
      <c r="G578" s="11" t="s">
        <v>1780</v>
      </c>
      <c r="H578" s="9" t="s">
        <v>1781</v>
      </c>
      <c r="I578" s="10">
        <v>45496</v>
      </c>
    </row>
    <row r="579" spans="1:9" x14ac:dyDescent="0.15">
      <c r="A579" s="9">
        <v>578</v>
      </c>
      <c r="B579" s="9" t="s">
        <v>9</v>
      </c>
      <c r="C579" s="9">
        <v>1910</v>
      </c>
      <c r="D579" s="10">
        <v>45602</v>
      </c>
      <c r="E579" s="13" t="str">
        <f>+HYPERLINK("http://trademark.i-assist.jp/data/china/image_1910th/79952337.pdf","79952337")</f>
        <v>79952337</v>
      </c>
      <c r="F579" s="9" t="s">
        <v>1782</v>
      </c>
      <c r="G579" s="11" t="s">
        <v>1783</v>
      </c>
      <c r="H579" s="11" t="s">
        <v>1784</v>
      </c>
      <c r="I579" s="10">
        <v>45496</v>
      </c>
    </row>
    <row r="580" spans="1:9" x14ac:dyDescent="0.15">
      <c r="A580" s="9">
        <v>579</v>
      </c>
      <c r="B580" s="9" t="s">
        <v>9</v>
      </c>
      <c r="C580" s="9">
        <v>1910</v>
      </c>
      <c r="D580" s="10">
        <v>45602</v>
      </c>
      <c r="E580" s="13" t="str">
        <f>+HYPERLINK("http://trademark.i-assist.jp/data/china/image_1910th/79952791.pdf","79952791")</f>
        <v>79952791</v>
      </c>
      <c r="F580" s="11" t="s">
        <v>19</v>
      </c>
      <c r="G580" s="9" t="s">
        <v>1785</v>
      </c>
      <c r="H580" s="9" t="s">
        <v>1786</v>
      </c>
      <c r="I580" s="10">
        <v>45496</v>
      </c>
    </row>
    <row r="581" spans="1:9" x14ac:dyDescent="0.15">
      <c r="A581" s="9">
        <v>580</v>
      </c>
      <c r="B581" s="9" t="s">
        <v>9</v>
      </c>
      <c r="C581" s="9">
        <v>1910</v>
      </c>
      <c r="D581" s="10">
        <v>45602</v>
      </c>
      <c r="E581" s="13" t="str">
        <f>+HYPERLINK("http://trademark.i-assist.jp/data/china/image_1910th/79953019.pdf","79953019")</f>
        <v>79953019</v>
      </c>
      <c r="F581" s="11" t="s">
        <v>1787</v>
      </c>
      <c r="G581" s="9" t="s">
        <v>92</v>
      </c>
      <c r="H581" s="9" t="s">
        <v>1788</v>
      </c>
      <c r="I581" s="10">
        <v>45496</v>
      </c>
    </row>
    <row r="582" spans="1:9" x14ac:dyDescent="0.15">
      <c r="A582" s="9">
        <v>581</v>
      </c>
      <c r="B582" s="9" t="s">
        <v>9</v>
      </c>
      <c r="C582" s="9">
        <v>1910</v>
      </c>
      <c r="D582" s="10">
        <v>45602</v>
      </c>
      <c r="E582" s="13" t="str">
        <f>+HYPERLINK("http://trademark.i-assist.jp/data/china/image_1910th/79953727.pdf","79953727")</f>
        <v>79953727</v>
      </c>
      <c r="F582" s="11" t="s">
        <v>1789</v>
      </c>
      <c r="G582" s="9" t="s">
        <v>1790</v>
      </c>
      <c r="H582" s="9" t="s">
        <v>1791</v>
      </c>
      <c r="I582" s="10">
        <v>45496</v>
      </c>
    </row>
    <row r="583" spans="1:9" x14ac:dyDescent="0.15">
      <c r="A583" s="9">
        <v>582</v>
      </c>
      <c r="B583" s="9" t="s">
        <v>9</v>
      </c>
      <c r="C583" s="9">
        <v>1910</v>
      </c>
      <c r="D583" s="10">
        <v>45602</v>
      </c>
      <c r="E583" s="13" t="str">
        <f>+HYPERLINK("http://trademark.i-assist.jp/data/china/image_1910th/79954036.pdf","79954036")</f>
        <v>79954036</v>
      </c>
      <c r="F583" s="9" t="s">
        <v>1792</v>
      </c>
      <c r="G583" s="9" t="s">
        <v>1793</v>
      </c>
      <c r="H583" s="11" t="s">
        <v>1794</v>
      </c>
      <c r="I583" s="10">
        <v>45496</v>
      </c>
    </row>
    <row r="584" spans="1:9" x14ac:dyDescent="0.15">
      <c r="A584" s="9">
        <v>583</v>
      </c>
      <c r="B584" s="9" t="s">
        <v>9</v>
      </c>
      <c r="C584" s="9">
        <v>1910</v>
      </c>
      <c r="D584" s="10">
        <v>45602</v>
      </c>
      <c r="E584" s="13" t="str">
        <f>+HYPERLINK("http://trademark.i-assist.jp/data/china/image_1910th/79955153.pdf","79955153")</f>
        <v>79955153</v>
      </c>
      <c r="F584" s="11" t="s">
        <v>1795</v>
      </c>
      <c r="G584" s="11" t="s">
        <v>1771</v>
      </c>
      <c r="H584" s="11" t="s">
        <v>1796</v>
      </c>
      <c r="I584" s="10">
        <v>45496</v>
      </c>
    </row>
    <row r="585" spans="1:9" x14ac:dyDescent="0.15">
      <c r="A585" s="9">
        <v>584</v>
      </c>
      <c r="B585" s="9" t="s">
        <v>9</v>
      </c>
      <c r="C585" s="9">
        <v>1910</v>
      </c>
      <c r="D585" s="10">
        <v>45602</v>
      </c>
      <c r="E585" s="13" t="str">
        <f>+HYPERLINK("http://trademark.i-assist.jp/data/china/image_1910th/79955226.pdf","79955226")</f>
        <v>79955226</v>
      </c>
      <c r="F585" s="11" t="s">
        <v>19</v>
      </c>
      <c r="G585" s="11" t="s">
        <v>75</v>
      </c>
      <c r="H585" s="9" t="s">
        <v>12</v>
      </c>
      <c r="I585" s="10">
        <v>45496</v>
      </c>
    </row>
    <row r="586" spans="1:9" x14ac:dyDescent="0.15">
      <c r="A586" s="9">
        <v>585</v>
      </c>
      <c r="B586" s="9" t="s">
        <v>9</v>
      </c>
      <c r="C586" s="9">
        <v>1910</v>
      </c>
      <c r="D586" s="10">
        <v>45602</v>
      </c>
      <c r="E586" s="13" t="str">
        <f>+HYPERLINK("http://trademark.i-assist.jp/data/china/image_1910th/79957855.pdf","79957855")</f>
        <v>79957855</v>
      </c>
      <c r="F586" s="11" t="s">
        <v>1797</v>
      </c>
      <c r="G586" s="11" t="s">
        <v>1771</v>
      </c>
      <c r="H586" s="9" t="s">
        <v>1798</v>
      </c>
      <c r="I586" s="10">
        <v>45496</v>
      </c>
    </row>
    <row r="587" spans="1:9" x14ac:dyDescent="0.15">
      <c r="A587" s="9">
        <v>586</v>
      </c>
      <c r="B587" s="9" t="s">
        <v>9</v>
      </c>
      <c r="C587" s="9">
        <v>1910</v>
      </c>
      <c r="D587" s="10">
        <v>45602</v>
      </c>
      <c r="E587" s="13" t="str">
        <f>+HYPERLINK("http://trademark.i-assist.jp/data/china/image_1910th/79958300.pdf","79958300")</f>
        <v>79958300</v>
      </c>
      <c r="F587" s="9" t="s">
        <v>1799</v>
      </c>
      <c r="G587" s="9" t="s">
        <v>1800</v>
      </c>
      <c r="H587" s="9" t="s">
        <v>1801</v>
      </c>
      <c r="I587" s="10">
        <v>45496</v>
      </c>
    </row>
    <row r="588" spans="1:9" x14ac:dyDescent="0.15">
      <c r="A588" s="9">
        <v>587</v>
      </c>
      <c r="B588" s="9" t="s">
        <v>9</v>
      </c>
      <c r="C588" s="9">
        <v>1910</v>
      </c>
      <c r="D588" s="10">
        <v>45602</v>
      </c>
      <c r="E588" s="13" t="str">
        <f>+HYPERLINK("http://trademark.i-assist.jp/data/china/image_1910th/79959115.pdf","79959115")</f>
        <v>79959115</v>
      </c>
      <c r="F588" s="9" t="s">
        <v>1802</v>
      </c>
      <c r="G588" s="9" t="s">
        <v>1803</v>
      </c>
      <c r="H588" s="9" t="s">
        <v>1804</v>
      </c>
      <c r="I588" s="10">
        <v>45496</v>
      </c>
    </row>
    <row r="589" spans="1:9" x14ac:dyDescent="0.15">
      <c r="A589" s="9">
        <v>588</v>
      </c>
      <c r="B589" s="9" t="s">
        <v>9</v>
      </c>
      <c r="C589" s="9">
        <v>1910</v>
      </c>
      <c r="D589" s="10">
        <v>45602</v>
      </c>
      <c r="E589" s="13" t="str">
        <f>+HYPERLINK("http://trademark.i-assist.jp/data/china/image_1910th/79959496.pdf","79959496")</f>
        <v>79959496</v>
      </c>
      <c r="F589" s="9" t="s">
        <v>1805</v>
      </c>
      <c r="G589" s="9" t="s">
        <v>1806</v>
      </c>
      <c r="H589" s="9" t="s">
        <v>1807</v>
      </c>
      <c r="I589" s="10">
        <v>45496</v>
      </c>
    </row>
    <row r="590" spans="1:9" x14ac:dyDescent="0.15">
      <c r="A590" s="9">
        <v>589</v>
      </c>
      <c r="B590" s="9" t="s">
        <v>9</v>
      </c>
      <c r="C590" s="9">
        <v>1910</v>
      </c>
      <c r="D590" s="10">
        <v>45602</v>
      </c>
      <c r="E590" s="13" t="str">
        <f>+HYPERLINK("http://trademark.i-assist.jp/data/china/image_1910th/79959708.pdf","79959708")</f>
        <v>79959708</v>
      </c>
      <c r="F590" s="9" t="s">
        <v>1808</v>
      </c>
      <c r="G590" s="9" t="s">
        <v>1809</v>
      </c>
      <c r="H590" s="9" t="s">
        <v>1810</v>
      </c>
      <c r="I590" s="10">
        <v>45496</v>
      </c>
    </row>
    <row r="591" spans="1:9" x14ac:dyDescent="0.15">
      <c r="A591" s="9">
        <v>590</v>
      </c>
      <c r="B591" s="9" t="s">
        <v>9</v>
      </c>
      <c r="C591" s="9">
        <v>1910</v>
      </c>
      <c r="D591" s="10">
        <v>45602</v>
      </c>
      <c r="E591" s="13" t="str">
        <f>+HYPERLINK("http://trademark.i-assist.jp/data/china/image_1910th/79959753.pdf","79959753")</f>
        <v>79959753</v>
      </c>
      <c r="F591" s="9" t="s">
        <v>1811</v>
      </c>
      <c r="G591" s="11" t="s">
        <v>1812</v>
      </c>
      <c r="H591" s="9" t="s">
        <v>1813</v>
      </c>
      <c r="I591" s="10">
        <v>45496</v>
      </c>
    </row>
    <row r="592" spans="1:9" x14ac:dyDescent="0.15">
      <c r="A592" s="9">
        <v>591</v>
      </c>
      <c r="B592" s="9" t="s">
        <v>9</v>
      </c>
      <c r="C592" s="9">
        <v>1910</v>
      </c>
      <c r="D592" s="10">
        <v>45602</v>
      </c>
      <c r="E592" s="13" t="str">
        <f>+HYPERLINK("http://trademark.i-assist.jp/data/china/image_1910th/79960513.pdf","79960513")</f>
        <v>79960513</v>
      </c>
      <c r="F592" s="11" t="s">
        <v>19</v>
      </c>
      <c r="G592" s="11" t="s">
        <v>1814</v>
      </c>
      <c r="H592" s="9" t="s">
        <v>1815</v>
      </c>
      <c r="I592" s="10">
        <v>45496</v>
      </c>
    </row>
    <row r="593" spans="1:9" x14ac:dyDescent="0.15">
      <c r="A593" s="9">
        <v>592</v>
      </c>
      <c r="B593" s="9" t="s">
        <v>9</v>
      </c>
      <c r="C593" s="9">
        <v>1910</v>
      </c>
      <c r="D593" s="10">
        <v>45602</v>
      </c>
      <c r="E593" s="13" t="str">
        <f>+HYPERLINK("http://trademark.i-assist.jp/data/china/image_1910th/79960668.pdf","79960668")</f>
        <v>79960668</v>
      </c>
      <c r="F593" s="9" t="s">
        <v>1816</v>
      </c>
      <c r="G593" s="11" t="s">
        <v>1817</v>
      </c>
      <c r="H593" s="9" t="s">
        <v>1818</v>
      </c>
      <c r="I593" s="10">
        <v>45496</v>
      </c>
    </row>
    <row r="594" spans="1:9" x14ac:dyDescent="0.15">
      <c r="A594" s="9">
        <v>593</v>
      </c>
      <c r="B594" s="9" t="s">
        <v>9</v>
      </c>
      <c r="C594" s="9">
        <v>1910</v>
      </c>
      <c r="D594" s="10">
        <v>45602</v>
      </c>
      <c r="E594" s="13" t="str">
        <f>+HYPERLINK("http://trademark.i-assist.jp/data/china/image_1910th/79960760.pdf","79960760")</f>
        <v>79960760</v>
      </c>
      <c r="F594" s="11" t="s">
        <v>1819</v>
      </c>
      <c r="G594" s="11" t="s">
        <v>1820</v>
      </c>
      <c r="H594" s="9" t="s">
        <v>1821</v>
      </c>
      <c r="I594" s="10">
        <v>45496</v>
      </c>
    </row>
    <row r="595" spans="1:9" x14ac:dyDescent="0.15">
      <c r="A595" s="9">
        <v>594</v>
      </c>
      <c r="B595" s="9" t="s">
        <v>9</v>
      </c>
      <c r="C595" s="9">
        <v>1910</v>
      </c>
      <c r="D595" s="10">
        <v>45602</v>
      </c>
      <c r="E595" s="13" t="str">
        <f>+HYPERLINK("http://trademark.i-assist.jp/data/china/image_1910th/79961589.pdf","79961589")</f>
        <v>79961589</v>
      </c>
      <c r="F595" s="9" t="s">
        <v>1822</v>
      </c>
      <c r="G595" s="9" t="s">
        <v>1809</v>
      </c>
      <c r="H595" s="9" t="s">
        <v>1823</v>
      </c>
      <c r="I595" s="10">
        <v>45496</v>
      </c>
    </row>
    <row r="596" spans="1:9" x14ac:dyDescent="0.15">
      <c r="A596" s="9">
        <v>595</v>
      </c>
      <c r="B596" s="9" t="s">
        <v>9</v>
      </c>
      <c r="C596" s="9">
        <v>1910</v>
      </c>
      <c r="D596" s="10">
        <v>45602</v>
      </c>
      <c r="E596" s="13" t="str">
        <f>+HYPERLINK("http://trademark.i-assist.jp/data/china/image_1910th/79963341.pdf","79963341")</f>
        <v>79963341</v>
      </c>
      <c r="F596" s="9" t="s">
        <v>1824</v>
      </c>
      <c r="G596" s="11" t="s">
        <v>1825</v>
      </c>
      <c r="H596" s="9" t="s">
        <v>1826</v>
      </c>
      <c r="I596" s="10">
        <v>45497</v>
      </c>
    </row>
    <row r="597" spans="1:9" x14ac:dyDescent="0.15">
      <c r="A597" s="9">
        <v>596</v>
      </c>
      <c r="B597" s="9" t="s">
        <v>9</v>
      </c>
      <c r="C597" s="9">
        <v>1910</v>
      </c>
      <c r="D597" s="10">
        <v>45602</v>
      </c>
      <c r="E597" s="13" t="str">
        <f>+HYPERLINK("http://trademark.i-assist.jp/data/china/image_1910th/79963732.pdf","79963732")</f>
        <v>79963732</v>
      </c>
      <c r="F597" s="11" t="s">
        <v>19</v>
      </c>
      <c r="G597" s="9" t="s">
        <v>1827</v>
      </c>
      <c r="H597" s="9" t="s">
        <v>1828</v>
      </c>
      <c r="I597" s="10">
        <v>45497</v>
      </c>
    </row>
    <row r="598" spans="1:9" x14ac:dyDescent="0.15">
      <c r="A598" s="9">
        <v>597</v>
      </c>
      <c r="B598" s="9" t="s">
        <v>9</v>
      </c>
      <c r="C598" s="9">
        <v>1910</v>
      </c>
      <c r="D598" s="10">
        <v>45602</v>
      </c>
      <c r="E598" s="13" t="str">
        <f>+HYPERLINK("http://trademark.i-assist.jp/data/china/image_1910th/79963823.pdf","79963823")</f>
        <v>79963823</v>
      </c>
      <c r="F598" s="9" t="s">
        <v>1829</v>
      </c>
      <c r="G598" s="9" t="s">
        <v>1830</v>
      </c>
      <c r="H598" s="9" t="s">
        <v>72</v>
      </c>
      <c r="I598" s="10">
        <v>45497</v>
      </c>
    </row>
    <row r="599" spans="1:9" x14ac:dyDescent="0.15">
      <c r="A599" s="9">
        <v>598</v>
      </c>
      <c r="B599" s="9" t="s">
        <v>9</v>
      </c>
      <c r="C599" s="9">
        <v>1910</v>
      </c>
      <c r="D599" s="10">
        <v>45602</v>
      </c>
      <c r="E599" s="13" t="str">
        <f>+HYPERLINK("http://trademark.i-assist.jp/data/china/image_1910th/79963887.pdf","79963887")</f>
        <v>79963887</v>
      </c>
      <c r="F599" s="9" t="s">
        <v>1831</v>
      </c>
      <c r="G599" s="9" t="s">
        <v>1832</v>
      </c>
      <c r="H599" s="9" t="s">
        <v>1833</v>
      </c>
      <c r="I599" s="10">
        <v>45497</v>
      </c>
    </row>
    <row r="600" spans="1:9" x14ac:dyDescent="0.15">
      <c r="A600" s="9">
        <v>599</v>
      </c>
      <c r="B600" s="9" t="s">
        <v>9</v>
      </c>
      <c r="C600" s="9">
        <v>1910</v>
      </c>
      <c r="D600" s="10">
        <v>45602</v>
      </c>
      <c r="E600" s="13" t="str">
        <f>+HYPERLINK("http://trademark.i-assist.jp/data/china/image_1910th/79963982.pdf","79963982")</f>
        <v>79963982</v>
      </c>
      <c r="F600" s="11" t="s">
        <v>1834</v>
      </c>
      <c r="G600" s="9" t="s">
        <v>80</v>
      </c>
      <c r="H600" s="9" t="s">
        <v>1835</v>
      </c>
      <c r="I600" s="10">
        <v>45497</v>
      </c>
    </row>
    <row r="601" spans="1:9" x14ac:dyDescent="0.15">
      <c r="A601" s="9">
        <v>600</v>
      </c>
      <c r="B601" s="9" t="s">
        <v>9</v>
      </c>
      <c r="C601" s="9">
        <v>1910</v>
      </c>
      <c r="D601" s="10">
        <v>45602</v>
      </c>
      <c r="E601" s="13" t="str">
        <f>+HYPERLINK("http://trademark.i-assist.jp/data/china/image_1910th/79965222.pdf","79965222")</f>
        <v>79965222</v>
      </c>
      <c r="F601" s="9" t="s">
        <v>1836</v>
      </c>
      <c r="G601" s="9" t="s">
        <v>1837</v>
      </c>
      <c r="H601" s="9" t="s">
        <v>1838</v>
      </c>
      <c r="I601" s="10">
        <v>45497</v>
      </c>
    </row>
    <row r="602" spans="1:9" x14ac:dyDescent="0.15">
      <c r="A602" s="9">
        <v>601</v>
      </c>
      <c r="B602" s="9" t="s">
        <v>9</v>
      </c>
      <c r="C602" s="9">
        <v>1910</v>
      </c>
      <c r="D602" s="10">
        <v>45602</v>
      </c>
      <c r="E602" s="13" t="str">
        <f>+HYPERLINK("http://trademark.i-assist.jp/data/china/image_1910th/79965319.pdf","79965319")</f>
        <v>79965319</v>
      </c>
      <c r="F602" s="9" t="s">
        <v>1839</v>
      </c>
      <c r="G602" s="9" t="s">
        <v>1840</v>
      </c>
      <c r="H602" s="9" t="s">
        <v>1841</v>
      </c>
      <c r="I602" s="10">
        <v>45497</v>
      </c>
    </row>
    <row r="603" spans="1:9" x14ac:dyDescent="0.15">
      <c r="A603" s="9">
        <v>602</v>
      </c>
      <c r="B603" s="9" t="s">
        <v>9</v>
      </c>
      <c r="C603" s="9">
        <v>1910</v>
      </c>
      <c r="D603" s="10">
        <v>45602</v>
      </c>
      <c r="E603" s="13" t="str">
        <f>+HYPERLINK("http://trademark.i-assist.jp/data/china/image_1910th/79965607.pdf","79965607")</f>
        <v>79965607</v>
      </c>
      <c r="F603" s="9" t="s">
        <v>1842</v>
      </c>
      <c r="G603" s="9" t="s">
        <v>1843</v>
      </c>
      <c r="H603" s="9" t="s">
        <v>1844</v>
      </c>
      <c r="I603" s="10">
        <v>45497</v>
      </c>
    </row>
    <row r="604" spans="1:9" x14ac:dyDescent="0.15">
      <c r="A604" s="9">
        <v>603</v>
      </c>
      <c r="B604" s="9" t="s">
        <v>9</v>
      </c>
      <c r="C604" s="9">
        <v>1910</v>
      </c>
      <c r="D604" s="10">
        <v>45602</v>
      </c>
      <c r="E604" s="13" t="str">
        <f>+HYPERLINK("http://trademark.i-assist.jp/data/china/image_1910th/79966067.pdf","79966067")</f>
        <v>79966067</v>
      </c>
      <c r="F604" s="9" t="s">
        <v>1845</v>
      </c>
      <c r="G604" s="9" t="s">
        <v>1846</v>
      </c>
      <c r="H604" s="9" t="s">
        <v>1847</v>
      </c>
      <c r="I604" s="10">
        <v>45497</v>
      </c>
    </row>
    <row r="605" spans="1:9" x14ac:dyDescent="0.15">
      <c r="A605" s="9">
        <v>604</v>
      </c>
      <c r="B605" s="9" t="s">
        <v>9</v>
      </c>
      <c r="C605" s="9">
        <v>1910</v>
      </c>
      <c r="D605" s="10">
        <v>45602</v>
      </c>
      <c r="E605" s="13" t="str">
        <f>+HYPERLINK("http://trademark.i-assist.jp/data/china/image_1910th/79966068.pdf","79966068")</f>
        <v>79966068</v>
      </c>
      <c r="F605" s="9" t="s">
        <v>1848</v>
      </c>
      <c r="G605" s="11" t="s">
        <v>1849</v>
      </c>
      <c r="H605" s="9" t="s">
        <v>1850</v>
      </c>
      <c r="I605" s="10">
        <v>45497</v>
      </c>
    </row>
    <row r="606" spans="1:9" x14ac:dyDescent="0.15">
      <c r="A606" s="9">
        <v>605</v>
      </c>
      <c r="B606" s="9" t="s">
        <v>9</v>
      </c>
      <c r="C606" s="9">
        <v>1910</v>
      </c>
      <c r="D606" s="10">
        <v>45602</v>
      </c>
      <c r="E606" s="13" t="str">
        <f>+HYPERLINK("http://trademark.i-assist.jp/data/china/image_1910th/79966577.pdf","79966577")</f>
        <v>79966577</v>
      </c>
      <c r="F606" s="9" t="s">
        <v>1851</v>
      </c>
      <c r="G606" s="9" t="s">
        <v>1852</v>
      </c>
      <c r="H606" s="9" t="s">
        <v>1853</v>
      </c>
      <c r="I606" s="10">
        <v>45497</v>
      </c>
    </row>
    <row r="607" spans="1:9" x14ac:dyDescent="0.15">
      <c r="A607" s="9">
        <v>606</v>
      </c>
      <c r="B607" s="9" t="s">
        <v>9</v>
      </c>
      <c r="C607" s="9">
        <v>1910</v>
      </c>
      <c r="D607" s="10">
        <v>45602</v>
      </c>
      <c r="E607" s="13" t="str">
        <f>+HYPERLINK("http://trademark.i-assist.jp/data/china/image_1910th/79966722.pdf","79966722")</f>
        <v>79966722</v>
      </c>
      <c r="F607" s="9" t="s">
        <v>1854</v>
      </c>
      <c r="G607" s="11" t="s">
        <v>1855</v>
      </c>
      <c r="H607" s="9" t="s">
        <v>1856</v>
      </c>
      <c r="I607" s="10">
        <v>45497</v>
      </c>
    </row>
    <row r="608" spans="1:9" x14ac:dyDescent="0.15">
      <c r="A608" s="9">
        <v>607</v>
      </c>
      <c r="B608" s="9" t="s">
        <v>9</v>
      </c>
      <c r="C608" s="9">
        <v>1910</v>
      </c>
      <c r="D608" s="10">
        <v>45602</v>
      </c>
      <c r="E608" s="13" t="str">
        <f>+HYPERLINK("http://trademark.i-assist.jp/data/china/image_1910th/79966939.pdf","79966939")</f>
        <v>79966939</v>
      </c>
      <c r="F608" s="9" t="s">
        <v>1857</v>
      </c>
      <c r="G608" s="9" t="s">
        <v>1858</v>
      </c>
      <c r="H608" s="9" t="s">
        <v>1859</v>
      </c>
      <c r="I608" s="10">
        <v>45497</v>
      </c>
    </row>
    <row r="609" spans="1:9" x14ac:dyDescent="0.15">
      <c r="A609" s="9">
        <v>608</v>
      </c>
      <c r="B609" s="9" t="s">
        <v>9</v>
      </c>
      <c r="C609" s="9">
        <v>1910</v>
      </c>
      <c r="D609" s="10">
        <v>45602</v>
      </c>
      <c r="E609" s="13" t="str">
        <f>+HYPERLINK("http://trademark.i-assist.jp/data/china/image_1910th/79967312.pdf","79967312")</f>
        <v>79967312</v>
      </c>
      <c r="F609" s="9" t="s">
        <v>1860</v>
      </c>
      <c r="G609" s="11" t="s">
        <v>1825</v>
      </c>
      <c r="H609" s="11" t="s">
        <v>1861</v>
      </c>
      <c r="I609" s="10">
        <v>45497</v>
      </c>
    </row>
    <row r="610" spans="1:9" x14ac:dyDescent="0.15">
      <c r="A610" s="9">
        <v>609</v>
      </c>
      <c r="B610" s="9" t="s">
        <v>9</v>
      </c>
      <c r="C610" s="9">
        <v>1910</v>
      </c>
      <c r="D610" s="10">
        <v>45602</v>
      </c>
      <c r="E610" s="13" t="str">
        <f>+HYPERLINK("http://trademark.i-assist.jp/data/china/image_1910th/79967468.pdf","79967468")</f>
        <v>79967468</v>
      </c>
      <c r="F610" s="9" t="s">
        <v>1862</v>
      </c>
      <c r="G610" s="9" t="s">
        <v>1863</v>
      </c>
      <c r="H610" s="9" t="s">
        <v>1864</v>
      </c>
      <c r="I610" s="10">
        <v>45497</v>
      </c>
    </row>
    <row r="611" spans="1:9" x14ac:dyDescent="0.15">
      <c r="A611" s="9">
        <v>610</v>
      </c>
      <c r="B611" s="9" t="s">
        <v>9</v>
      </c>
      <c r="C611" s="9">
        <v>1910</v>
      </c>
      <c r="D611" s="10">
        <v>45602</v>
      </c>
      <c r="E611" s="13" t="str">
        <f>+HYPERLINK("http://trademark.i-assist.jp/data/china/image_1910th/79968041.pdf","79968041")</f>
        <v>79968041</v>
      </c>
      <c r="F611" s="9" t="s">
        <v>1865</v>
      </c>
      <c r="G611" s="11" t="s">
        <v>1866</v>
      </c>
      <c r="H611" s="9" t="s">
        <v>1867</v>
      </c>
      <c r="I611" s="10">
        <v>45497</v>
      </c>
    </row>
    <row r="612" spans="1:9" x14ac:dyDescent="0.15">
      <c r="A612" s="9">
        <v>611</v>
      </c>
      <c r="B612" s="9" t="s">
        <v>9</v>
      </c>
      <c r="C612" s="9">
        <v>1910</v>
      </c>
      <c r="D612" s="10">
        <v>45602</v>
      </c>
      <c r="E612" s="13" t="str">
        <f>+HYPERLINK("http://trademark.i-assist.jp/data/china/image_1910th/79968082.pdf","79968082")</f>
        <v>79968082</v>
      </c>
      <c r="F612" s="9" t="s">
        <v>1868</v>
      </c>
      <c r="G612" s="11" t="s">
        <v>1869</v>
      </c>
      <c r="H612" s="9" t="s">
        <v>1870</v>
      </c>
      <c r="I612" s="10">
        <v>45497</v>
      </c>
    </row>
    <row r="613" spans="1:9" x14ac:dyDescent="0.15">
      <c r="A613" s="9">
        <v>612</v>
      </c>
      <c r="B613" s="9" t="s">
        <v>9</v>
      </c>
      <c r="C613" s="9">
        <v>1910</v>
      </c>
      <c r="D613" s="10">
        <v>45602</v>
      </c>
      <c r="E613" s="13" t="str">
        <f>+HYPERLINK("http://trademark.i-assist.jp/data/china/image_1910th/79968671.pdf","79968671")</f>
        <v>79968671</v>
      </c>
      <c r="F613" s="9" t="s">
        <v>1871</v>
      </c>
      <c r="G613" s="11" t="s">
        <v>1825</v>
      </c>
      <c r="H613" s="9" t="s">
        <v>1872</v>
      </c>
      <c r="I613" s="10">
        <v>45497</v>
      </c>
    </row>
    <row r="614" spans="1:9" x14ac:dyDescent="0.15">
      <c r="A614" s="9">
        <v>613</v>
      </c>
      <c r="B614" s="9" t="s">
        <v>9</v>
      </c>
      <c r="C614" s="9">
        <v>1910</v>
      </c>
      <c r="D614" s="10">
        <v>45602</v>
      </c>
      <c r="E614" s="13" t="str">
        <f>+HYPERLINK("http://trademark.i-assist.jp/data/china/image_1910th/79968769.pdf","79968769")</f>
        <v>79968769</v>
      </c>
      <c r="F614" s="9" t="s">
        <v>1873</v>
      </c>
      <c r="G614" s="11" t="s">
        <v>1874</v>
      </c>
      <c r="H614" s="9" t="s">
        <v>1875</v>
      </c>
      <c r="I614" s="10">
        <v>45497</v>
      </c>
    </row>
    <row r="615" spans="1:9" x14ac:dyDescent="0.15">
      <c r="A615" s="9">
        <v>614</v>
      </c>
      <c r="B615" s="9" t="s">
        <v>9</v>
      </c>
      <c r="C615" s="9">
        <v>1910</v>
      </c>
      <c r="D615" s="10">
        <v>45602</v>
      </c>
      <c r="E615" s="13" t="str">
        <f>+HYPERLINK("http://trademark.i-assist.jp/data/china/image_1910th/79968839.pdf","79968839")</f>
        <v>79968839</v>
      </c>
      <c r="F615" s="9" t="s">
        <v>1876</v>
      </c>
      <c r="G615" s="11" t="s">
        <v>1855</v>
      </c>
      <c r="H615" s="9" t="s">
        <v>1877</v>
      </c>
      <c r="I615" s="10">
        <v>45497</v>
      </c>
    </row>
    <row r="616" spans="1:9" x14ac:dyDescent="0.15">
      <c r="A616" s="9">
        <v>615</v>
      </c>
      <c r="B616" s="9" t="s">
        <v>9</v>
      </c>
      <c r="C616" s="9">
        <v>1910</v>
      </c>
      <c r="D616" s="10">
        <v>45602</v>
      </c>
      <c r="E616" s="13" t="str">
        <f>+HYPERLINK("http://trademark.i-assist.jp/data/china/image_1910th/79968880.pdf","79968880")</f>
        <v>79968880</v>
      </c>
      <c r="F616" s="9" t="s">
        <v>1878</v>
      </c>
      <c r="G616" s="11" t="s">
        <v>1855</v>
      </c>
      <c r="H616" s="9" t="s">
        <v>1879</v>
      </c>
      <c r="I616" s="10">
        <v>45497</v>
      </c>
    </row>
    <row r="617" spans="1:9" x14ac:dyDescent="0.15">
      <c r="A617" s="9">
        <v>616</v>
      </c>
      <c r="B617" s="9" t="s">
        <v>9</v>
      </c>
      <c r="C617" s="9">
        <v>1910</v>
      </c>
      <c r="D617" s="10">
        <v>45602</v>
      </c>
      <c r="E617" s="13" t="str">
        <f>+HYPERLINK("http://trademark.i-assist.jp/data/china/image_1910th/79969107.pdf","79969107")</f>
        <v>79969107</v>
      </c>
      <c r="F617" s="9" t="s">
        <v>1880</v>
      </c>
      <c r="G617" s="11" t="s">
        <v>1881</v>
      </c>
      <c r="H617" s="9" t="s">
        <v>1882</v>
      </c>
      <c r="I617" s="10">
        <v>45497</v>
      </c>
    </row>
    <row r="618" spans="1:9" x14ac:dyDescent="0.15">
      <c r="A618" s="9">
        <v>617</v>
      </c>
      <c r="B618" s="9" t="s">
        <v>9</v>
      </c>
      <c r="C618" s="9">
        <v>1910</v>
      </c>
      <c r="D618" s="10">
        <v>45602</v>
      </c>
      <c r="E618" s="13" t="str">
        <f>+HYPERLINK("http://trademark.i-assist.jp/data/china/image_1910th/79969614.pdf","79969614")</f>
        <v>79969614</v>
      </c>
      <c r="F618" s="9" t="s">
        <v>1883</v>
      </c>
      <c r="G618" s="9" t="s">
        <v>1884</v>
      </c>
      <c r="H618" s="9" t="s">
        <v>1885</v>
      </c>
      <c r="I618" s="10">
        <v>45497</v>
      </c>
    </row>
    <row r="619" spans="1:9" x14ac:dyDescent="0.15">
      <c r="A619" s="9">
        <v>618</v>
      </c>
      <c r="B619" s="9" t="s">
        <v>9</v>
      </c>
      <c r="C619" s="9">
        <v>1910</v>
      </c>
      <c r="D619" s="10">
        <v>45602</v>
      </c>
      <c r="E619" s="13" t="str">
        <f>+HYPERLINK("http://trademark.i-assist.jp/data/china/image_1910th/79969617.pdf","79969617")</f>
        <v>79969617</v>
      </c>
      <c r="F619" s="11" t="s">
        <v>1886</v>
      </c>
      <c r="G619" s="9" t="s">
        <v>1884</v>
      </c>
      <c r="H619" s="9" t="s">
        <v>1887</v>
      </c>
      <c r="I619" s="10">
        <v>45497</v>
      </c>
    </row>
    <row r="620" spans="1:9" x14ac:dyDescent="0.15">
      <c r="A620" s="9">
        <v>619</v>
      </c>
      <c r="B620" s="9" t="s">
        <v>9</v>
      </c>
      <c r="C620" s="9">
        <v>1910</v>
      </c>
      <c r="D620" s="10">
        <v>45602</v>
      </c>
      <c r="E620" s="13" t="str">
        <f>+HYPERLINK("http://trademark.i-assist.jp/data/china/image_1910th/79970590.pdf","79970590")</f>
        <v>79970590</v>
      </c>
      <c r="F620" s="9" t="s">
        <v>1888</v>
      </c>
      <c r="G620" s="11" t="s">
        <v>1889</v>
      </c>
      <c r="H620" s="9" t="s">
        <v>1890</v>
      </c>
      <c r="I620" s="10">
        <v>45497</v>
      </c>
    </row>
    <row r="621" spans="1:9" x14ac:dyDescent="0.15">
      <c r="A621" s="9">
        <v>620</v>
      </c>
      <c r="B621" s="9" t="s">
        <v>9</v>
      </c>
      <c r="C621" s="9">
        <v>1910</v>
      </c>
      <c r="D621" s="10">
        <v>45602</v>
      </c>
      <c r="E621" s="13" t="str">
        <f>+HYPERLINK("http://trademark.i-assist.jp/data/china/image_1910th/79971462.pdf","79971462")</f>
        <v>79971462</v>
      </c>
      <c r="F621" s="9" t="s">
        <v>1891</v>
      </c>
      <c r="G621" s="9" t="s">
        <v>1892</v>
      </c>
      <c r="H621" s="9" t="s">
        <v>1893</v>
      </c>
      <c r="I621" s="10">
        <v>45497</v>
      </c>
    </row>
    <row r="622" spans="1:9" x14ac:dyDescent="0.15">
      <c r="A622" s="9">
        <v>621</v>
      </c>
      <c r="B622" s="9" t="s">
        <v>9</v>
      </c>
      <c r="C622" s="9">
        <v>1910</v>
      </c>
      <c r="D622" s="10">
        <v>45602</v>
      </c>
      <c r="E622" s="13" t="str">
        <f>+HYPERLINK("http://trademark.i-assist.jp/data/china/image_1910th/79971536.pdf","79971536")</f>
        <v>79971536</v>
      </c>
      <c r="F622" s="11" t="s">
        <v>19</v>
      </c>
      <c r="G622" s="11" t="s">
        <v>1894</v>
      </c>
      <c r="H622" s="11" t="s">
        <v>1895</v>
      </c>
      <c r="I622" s="10">
        <v>45497</v>
      </c>
    </row>
    <row r="623" spans="1:9" x14ac:dyDescent="0.15">
      <c r="A623" s="9">
        <v>622</v>
      </c>
      <c r="B623" s="9" t="s">
        <v>9</v>
      </c>
      <c r="C623" s="9">
        <v>1910</v>
      </c>
      <c r="D623" s="10">
        <v>45602</v>
      </c>
      <c r="E623" s="13" t="str">
        <f>+HYPERLINK("http://trademark.i-assist.jp/data/china/image_1910th/79972069.pdf","79972069")</f>
        <v>79972069</v>
      </c>
      <c r="F623" s="11" t="s">
        <v>1896</v>
      </c>
      <c r="G623" s="11" t="s">
        <v>1825</v>
      </c>
      <c r="H623" s="11" t="s">
        <v>1897</v>
      </c>
      <c r="I623" s="10">
        <v>45497</v>
      </c>
    </row>
    <row r="624" spans="1:9" x14ac:dyDescent="0.15">
      <c r="A624" s="9">
        <v>623</v>
      </c>
      <c r="B624" s="9" t="s">
        <v>9</v>
      </c>
      <c r="C624" s="9">
        <v>1910</v>
      </c>
      <c r="D624" s="10">
        <v>45602</v>
      </c>
      <c r="E624" s="13" t="str">
        <f>+HYPERLINK("http://trademark.i-assist.jp/data/china/image_1910th/79972384.pdf","79972384")</f>
        <v>79972384</v>
      </c>
      <c r="F624" s="11" t="s">
        <v>1898</v>
      </c>
      <c r="G624" s="11" t="s">
        <v>1825</v>
      </c>
      <c r="H624" s="11" t="s">
        <v>1899</v>
      </c>
      <c r="I624" s="10">
        <v>45497</v>
      </c>
    </row>
    <row r="625" spans="1:9" x14ac:dyDescent="0.15">
      <c r="A625" s="9">
        <v>624</v>
      </c>
      <c r="B625" s="9" t="s">
        <v>9</v>
      </c>
      <c r="C625" s="9">
        <v>1910</v>
      </c>
      <c r="D625" s="10">
        <v>45602</v>
      </c>
      <c r="E625" s="13" t="str">
        <f>+HYPERLINK("http://trademark.i-assist.jp/data/china/image_1910th/79972848.pdf","79972848")</f>
        <v>79972848</v>
      </c>
      <c r="F625" s="9" t="s">
        <v>1900</v>
      </c>
      <c r="G625" s="9" t="s">
        <v>1901</v>
      </c>
      <c r="H625" s="11" t="s">
        <v>1902</v>
      </c>
      <c r="I625" s="10">
        <v>45497</v>
      </c>
    </row>
    <row r="626" spans="1:9" x14ac:dyDescent="0.15">
      <c r="A626" s="9">
        <v>625</v>
      </c>
      <c r="B626" s="9" t="s">
        <v>9</v>
      </c>
      <c r="C626" s="9">
        <v>1910</v>
      </c>
      <c r="D626" s="10">
        <v>45602</v>
      </c>
      <c r="E626" s="13" t="str">
        <f>+HYPERLINK("http://trademark.i-assist.jp/data/china/image_1910th/79973468.pdf","79973468")</f>
        <v>79973468</v>
      </c>
      <c r="F626" s="11" t="s">
        <v>19</v>
      </c>
      <c r="G626" s="9" t="s">
        <v>1903</v>
      </c>
      <c r="H626" s="9" t="s">
        <v>1904</v>
      </c>
      <c r="I626" s="10">
        <v>45497</v>
      </c>
    </row>
    <row r="627" spans="1:9" x14ac:dyDescent="0.15">
      <c r="A627" s="9">
        <v>626</v>
      </c>
      <c r="B627" s="9" t="s">
        <v>9</v>
      </c>
      <c r="C627" s="9">
        <v>1910</v>
      </c>
      <c r="D627" s="10">
        <v>45602</v>
      </c>
      <c r="E627" s="13" t="str">
        <f>+HYPERLINK("http://trademark.i-assist.jp/data/china/image_1910th/79973890.pdf","79973890")</f>
        <v>79973890</v>
      </c>
      <c r="F627" s="11" t="s">
        <v>1905</v>
      </c>
      <c r="G627" s="9" t="s">
        <v>1906</v>
      </c>
      <c r="H627" s="9" t="s">
        <v>1907</v>
      </c>
      <c r="I627" s="10">
        <v>45497</v>
      </c>
    </row>
    <row r="628" spans="1:9" x14ac:dyDescent="0.15">
      <c r="A628" s="9">
        <v>627</v>
      </c>
      <c r="B628" s="9" t="s">
        <v>9</v>
      </c>
      <c r="C628" s="9">
        <v>1910</v>
      </c>
      <c r="D628" s="10">
        <v>45602</v>
      </c>
      <c r="E628" s="13" t="str">
        <f>+HYPERLINK("http://trademark.i-assist.jp/data/china/image_1910th/79974448.pdf","79974448")</f>
        <v>79974448</v>
      </c>
      <c r="F628" s="9" t="s">
        <v>1908</v>
      </c>
      <c r="G628" s="9" t="s">
        <v>1909</v>
      </c>
      <c r="H628" s="9" t="s">
        <v>1910</v>
      </c>
      <c r="I628" s="10">
        <v>45497</v>
      </c>
    </row>
    <row r="629" spans="1:9" x14ac:dyDescent="0.15">
      <c r="A629" s="9">
        <v>628</v>
      </c>
      <c r="B629" s="9" t="s">
        <v>9</v>
      </c>
      <c r="C629" s="9">
        <v>1910</v>
      </c>
      <c r="D629" s="10">
        <v>45602</v>
      </c>
      <c r="E629" s="13" t="str">
        <f>+HYPERLINK("http://trademark.i-assist.jp/data/china/image_1910th/79974925.pdf","79974925")</f>
        <v>79974925</v>
      </c>
      <c r="F629" s="9" t="s">
        <v>1911</v>
      </c>
      <c r="G629" s="9" t="s">
        <v>1912</v>
      </c>
      <c r="H629" s="9" t="s">
        <v>1913</v>
      </c>
      <c r="I629" s="10">
        <v>45497</v>
      </c>
    </row>
    <row r="630" spans="1:9" x14ac:dyDescent="0.15">
      <c r="A630" s="9">
        <v>629</v>
      </c>
      <c r="B630" s="9" t="s">
        <v>9</v>
      </c>
      <c r="C630" s="9">
        <v>1910</v>
      </c>
      <c r="D630" s="10">
        <v>45602</v>
      </c>
      <c r="E630" s="13" t="str">
        <f>+HYPERLINK("http://trademark.i-assist.jp/data/china/image_1910th/79975082.pdf","79975082")</f>
        <v>79975082</v>
      </c>
      <c r="F630" s="9" t="s">
        <v>1914</v>
      </c>
      <c r="G630" s="11" t="s">
        <v>1915</v>
      </c>
      <c r="H630" s="9" t="s">
        <v>1916</v>
      </c>
      <c r="I630" s="10">
        <v>45497</v>
      </c>
    </row>
    <row r="631" spans="1:9" x14ac:dyDescent="0.15">
      <c r="A631" s="9">
        <v>630</v>
      </c>
      <c r="B631" s="9" t="s">
        <v>9</v>
      </c>
      <c r="C631" s="9">
        <v>1910</v>
      </c>
      <c r="D631" s="10">
        <v>45602</v>
      </c>
      <c r="E631" s="13" t="str">
        <f>+HYPERLINK("http://trademark.i-assist.jp/data/china/image_1910th/79976683.pdf","79976683")</f>
        <v>79976683</v>
      </c>
      <c r="F631" s="9" t="s">
        <v>1917</v>
      </c>
      <c r="G631" s="11" t="s">
        <v>1918</v>
      </c>
      <c r="H631" s="9" t="s">
        <v>1919</v>
      </c>
      <c r="I631" s="10">
        <v>45497</v>
      </c>
    </row>
    <row r="632" spans="1:9" x14ac:dyDescent="0.15">
      <c r="A632" s="9">
        <v>631</v>
      </c>
      <c r="B632" s="9" t="s">
        <v>9</v>
      </c>
      <c r="C632" s="9">
        <v>1910</v>
      </c>
      <c r="D632" s="10">
        <v>45602</v>
      </c>
      <c r="E632" s="13" t="str">
        <f>+HYPERLINK("http://trademark.i-assist.jp/data/china/image_1910th/79976785.pdf","79976785")</f>
        <v>79976785</v>
      </c>
      <c r="F632" s="9" t="s">
        <v>1920</v>
      </c>
      <c r="G632" s="11" t="s">
        <v>1921</v>
      </c>
      <c r="H632" s="9" t="s">
        <v>1922</v>
      </c>
      <c r="I632" s="10">
        <v>45497</v>
      </c>
    </row>
    <row r="633" spans="1:9" x14ac:dyDescent="0.15">
      <c r="A633" s="9">
        <v>632</v>
      </c>
      <c r="B633" s="9" t="s">
        <v>9</v>
      </c>
      <c r="C633" s="9">
        <v>1910</v>
      </c>
      <c r="D633" s="10">
        <v>45602</v>
      </c>
      <c r="E633" s="13" t="str">
        <f>+HYPERLINK("http://trademark.i-assist.jp/data/china/image_1910th/79977291.pdf","79977291")</f>
        <v>79977291</v>
      </c>
      <c r="F633" s="11" t="s">
        <v>1923</v>
      </c>
      <c r="G633" s="9" t="s">
        <v>1924</v>
      </c>
      <c r="H633" s="9" t="s">
        <v>1925</v>
      </c>
      <c r="I633" s="10">
        <v>45497</v>
      </c>
    </row>
    <row r="634" spans="1:9" x14ac:dyDescent="0.15">
      <c r="A634" s="9">
        <v>633</v>
      </c>
      <c r="B634" s="9" t="s">
        <v>9</v>
      </c>
      <c r="C634" s="9">
        <v>1910</v>
      </c>
      <c r="D634" s="10">
        <v>45602</v>
      </c>
      <c r="E634" s="13" t="str">
        <f>+HYPERLINK("http://trademark.i-assist.jp/data/china/image_1910th/79977938.pdf","79977938")</f>
        <v>79977938</v>
      </c>
      <c r="F634" s="9" t="s">
        <v>1926</v>
      </c>
      <c r="G634" s="11" t="s">
        <v>1927</v>
      </c>
      <c r="H634" s="9" t="s">
        <v>1928</v>
      </c>
      <c r="I634" s="10">
        <v>45497</v>
      </c>
    </row>
    <row r="635" spans="1:9" x14ac:dyDescent="0.15">
      <c r="A635" s="9">
        <v>634</v>
      </c>
      <c r="B635" s="9" t="s">
        <v>9</v>
      </c>
      <c r="C635" s="9">
        <v>1910</v>
      </c>
      <c r="D635" s="10">
        <v>45602</v>
      </c>
      <c r="E635" s="13" t="str">
        <f>+HYPERLINK("http://trademark.i-assist.jp/data/china/image_1910th/79978847.pdf","79978847")</f>
        <v>79978847</v>
      </c>
      <c r="F635" s="11" t="s">
        <v>1929</v>
      </c>
      <c r="G635" s="9" t="s">
        <v>1930</v>
      </c>
      <c r="H635" s="9" t="s">
        <v>1931</v>
      </c>
      <c r="I635" s="10">
        <v>45497</v>
      </c>
    </row>
    <row r="636" spans="1:9" x14ac:dyDescent="0.15">
      <c r="A636" s="9">
        <v>635</v>
      </c>
      <c r="B636" s="9" t="s">
        <v>9</v>
      </c>
      <c r="C636" s="9">
        <v>1910</v>
      </c>
      <c r="D636" s="10">
        <v>45602</v>
      </c>
      <c r="E636" s="13" t="str">
        <f>+HYPERLINK("http://trademark.i-assist.jp/data/china/image_1910th/79978932.pdf","79978932")</f>
        <v>79978932</v>
      </c>
      <c r="F636" s="9" t="s">
        <v>1932</v>
      </c>
      <c r="G636" s="9" t="s">
        <v>1933</v>
      </c>
      <c r="H636" s="9" t="s">
        <v>1934</v>
      </c>
      <c r="I636" s="10">
        <v>45497</v>
      </c>
    </row>
    <row r="637" spans="1:9" x14ac:dyDescent="0.15">
      <c r="A637" s="9">
        <v>636</v>
      </c>
      <c r="B637" s="9" t="s">
        <v>9</v>
      </c>
      <c r="C637" s="9">
        <v>1910</v>
      </c>
      <c r="D637" s="10">
        <v>45602</v>
      </c>
      <c r="E637" s="13" t="str">
        <f>+HYPERLINK("http://trademark.i-assist.jp/data/china/image_1910th/79980772.pdf","79980772")</f>
        <v>79980772</v>
      </c>
      <c r="F637" s="11" t="s">
        <v>19</v>
      </c>
      <c r="G637" s="9" t="s">
        <v>1935</v>
      </c>
      <c r="H637" s="9" t="s">
        <v>1936</v>
      </c>
      <c r="I637" s="10">
        <v>45497</v>
      </c>
    </row>
    <row r="638" spans="1:9" x14ac:dyDescent="0.15">
      <c r="A638" s="9">
        <v>637</v>
      </c>
      <c r="B638" s="9" t="s">
        <v>9</v>
      </c>
      <c r="C638" s="9">
        <v>1910</v>
      </c>
      <c r="D638" s="10">
        <v>45602</v>
      </c>
      <c r="E638" s="13" t="str">
        <f>+HYPERLINK("http://trademark.i-assist.jp/data/china/image_1910th/79981428.pdf","79981428")</f>
        <v>79981428</v>
      </c>
      <c r="F638" s="9" t="s">
        <v>1937</v>
      </c>
      <c r="G638" s="9" t="s">
        <v>1938</v>
      </c>
      <c r="H638" s="9" t="s">
        <v>1939</v>
      </c>
      <c r="I638" s="10">
        <v>45497</v>
      </c>
    </row>
    <row r="639" spans="1:9" x14ac:dyDescent="0.15">
      <c r="A639" s="9">
        <v>638</v>
      </c>
      <c r="B639" s="9" t="s">
        <v>9</v>
      </c>
      <c r="C639" s="9">
        <v>1910</v>
      </c>
      <c r="D639" s="10">
        <v>45602</v>
      </c>
      <c r="E639" s="13" t="str">
        <f>+HYPERLINK("http://trademark.i-assist.jp/data/china/image_1910th/79981974.pdf","79981974")</f>
        <v>79981974</v>
      </c>
      <c r="F639" s="9" t="s">
        <v>1940</v>
      </c>
      <c r="G639" s="11" t="s">
        <v>1825</v>
      </c>
      <c r="H639" s="9" t="s">
        <v>1941</v>
      </c>
      <c r="I639" s="10">
        <v>45497</v>
      </c>
    </row>
    <row r="640" spans="1:9" x14ac:dyDescent="0.15">
      <c r="A640" s="9">
        <v>639</v>
      </c>
      <c r="B640" s="9" t="s">
        <v>9</v>
      </c>
      <c r="C640" s="9">
        <v>1910</v>
      </c>
      <c r="D640" s="10">
        <v>45602</v>
      </c>
      <c r="E640" s="13" t="str">
        <f>+HYPERLINK("http://trademark.i-assist.jp/data/china/image_1910th/79982232.pdf","79982232")</f>
        <v>79982232</v>
      </c>
      <c r="F640" s="11" t="s">
        <v>1942</v>
      </c>
      <c r="G640" s="11" t="s">
        <v>1855</v>
      </c>
      <c r="H640" s="9" t="s">
        <v>1943</v>
      </c>
      <c r="I640" s="10">
        <v>45497</v>
      </c>
    </row>
    <row r="641" spans="1:9" x14ac:dyDescent="0.15">
      <c r="A641" s="9">
        <v>640</v>
      </c>
      <c r="B641" s="9" t="s">
        <v>9</v>
      </c>
      <c r="C641" s="9">
        <v>1910</v>
      </c>
      <c r="D641" s="10">
        <v>45602</v>
      </c>
      <c r="E641" s="13" t="str">
        <f>+HYPERLINK("http://trademark.i-assist.jp/data/china/image_1910th/79983913.pdf","79983913")</f>
        <v>79983913</v>
      </c>
      <c r="F641" s="9" t="s">
        <v>1944</v>
      </c>
      <c r="G641" s="9" t="s">
        <v>1945</v>
      </c>
      <c r="H641" s="9" t="s">
        <v>1946</v>
      </c>
      <c r="I641" s="10">
        <v>45497</v>
      </c>
    </row>
    <row r="642" spans="1:9" x14ac:dyDescent="0.15">
      <c r="A642" s="9">
        <v>641</v>
      </c>
      <c r="B642" s="9" t="s">
        <v>9</v>
      </c>
      <c r="C642" s="9">
        <v>1910</v>
      </c>
      <c r="D642" s="10">
        <v>45602</v>
      </c>
      <c r="E642" s="13" t="str">
        <f>+HYPERLINK("http://trademark.i-assist.jp/data/china/image_1910th/79984199.pdf","79984199")</f>
        <v>79984199</v>
      </c>
      <c r="F642" s="9" t="s">
        <v>1947</v>
      </c>
      <c r="G642" s="11" t="s">
        <v>1948</v>
      </c>
      <c r="H642" s="9" t="s">
        <v>1949</v>
      </c>
      <c r="I642" s="10">
        <v>45497</v>
      </c>
    </row>
    <row r="643" spans="1:9" x14ac:dyDescent="0.15">
      <c r="A643" s="9">
        <v>642</v>
      </c>
      <c r="B643" s="9" t="s">
        <v>9</v>
      </c>
      <c r="C643" s="9">
        <v>1910</v>
      </c>
      <c r="D643" s="10">
        <v>45602</v>
      </c>
      <c r="E643" s="13" t="str">
        <f>+HYPERLINK("http://trademark.i-assist.jp/data/china/image_1910th/79985193.pdf","79985193")</f>
        <v>79985193</v>
      </c>
      <c r="F643" s="11" t="s">
        <v>1950</v>
      </c>
      <c r="G643" s="11" t="s">
        <v>1889</v>
      </c>
      <c r="H643" s="9" t="s">
        <v>1951</v>
      </c>
      <c r="I643" s="10">
        <v>45497</v>
      </c>
    </row>
    <row r="644" spans="1:9" x14ac:dyDescent="0.15">
      <c r="A644" s="9">
        <v>643</v>
      </c>
      <c r="B644" s="9" t="s">
        <v>9</v>
      </c>
      <c r="C644" s="9">
        <v>1910</v>
      </c>
      <c r="D644" s="10">
        <v>45602</v>
      </c>
      <c r="E644" s="13" t="str">
        <f>+HYPERLINK("http://trademark.i-assist.jp/data/china/image_1910th/79985416.pdf","79985416")</f>
        <v>79985416</v>
      </c>
      <c r="F644" s="9" t="s">
        <v>1952</v>
      </c>
      <c r="G644" s="9" t="s">
        <v>1830</v>
      </c>
      <c r="H644" s="9" t="s">
        <v>72</v>
      </c>
      <c r="I644" s="10">
        <v>45497</v>
      </c>
    </row>
    <row r="645" spans="1:9" x14ac:dyDescent="0.15">
      <c r="A645" s="9">
        <v>644</v>
      </c>
      <c r="B645" s="9" t="s">
        <v>9</v>
      </c>
      <c r="C645" s="9">
        <v>1910</v>
      </c>
      <c r="D645" s="10">
        <v>45602</v>
      </c>
      <c r="E645" s="13" t="str">
        <f>+HYPERLINK("http://trademark.i-assist.jp/data/china/image_1910th/79985854.pdf","79985854")</f>
        <v>79985854</v>
      </c>
      <c r="F645" s="9" t="s">
        <v>1953</v>
      </c>
      <c r="G645" s="9" t="s">
        <v>1954</v>
      </c>
      <c r="H645" s="11" t="s">
        <v>1955</v>
      </c>
      <c r="I645" s="10">
        <v>45497</v>
      </c>
    </row>
    <row r="646" spans="1:9" x14ac:dyDescent="0.15">
      <c r="A646" s="9">
        <v>645</v>
      </c>
      <c r="B646" s="9" t="s">
        <v>9</v>
      </c>
      <c r="C646" s="9">
        <v>1910</v>
      </c>
      <c r="D646" s="10">
        <v>45602</v>
      </c>
      <c r="E646" s="13" t="str">
        <f>+HYPERLINK("http://trademark.i-assist.jp/data/china/image_1910th/79986120.pdf","79986120")</f>
        <v>79986120</v>
      </c>
      <c r="F646" s="11" t="s">
        <v>1956</v>
      </c>
      <c r="G646" s="9" t="s">
        <v>1957</v>
      </c>
      <c r="H646" s="11" t="s">
        <v>1958</v>
      </c>
      <c r="I646" s="10">
        <v>45497</v>
      </c>
    </row>
    <row r="647" spans="1:9" x14ac:dyDescent="0.15">
      <c r="A647" s="9">
        <v>646</v>
      </c>
      <c r="B647" s="9" t="s">
        <v>9</v>
      </c>
      <c r="C647" s="9">
        <v>1910</v>
      </c>
      <c r="D647" s="10">
        <v>45602</v>
      </c>
      <c r="E647" s="13" t="str">
        <f>+HYPERLINK("http://trademark.i-assist.jp/data/china/image_1910th/79986808.pdf","79986808")</f>
        <v>79986808</v>
      </c>
      <c r="F647" s="9" t="s">
        <v>1959</v>
      </c>
      <c r="G647" s="11" t="s">
        <v>1960</v>
      </c>
      <c r="H647" s="9" t="s">
        <v>1961</v>
      </c>
      <c r="I647" s="10">
        <v>45498</v>
      </c>
    </row>
    <row r="648" spans="1:9" x14ac:dyDescent="0.15">
      <c r="A648" s="9">
        <v>647</v>
      </c>
      <c r="B648" s="9" t="s">
        <v>9</v>
      </c>
      <c r="C648" s="9">
        <v>1910</v>
      </c>
      <c r="D648" s="10">
        <v>45602</v>
      </c>
      <c r="E648" s="13" t="str">
        <f>+HYPERLINK("http://trademark.i-assist.jp/data/china/image_1910th/79986892.pdf","79986892")</f>
        <v>79986892</v>
      </c>
      <c r="F648" s="9" t="s">
        <v>1962</v>
      </c>
      <c r="G648" s="11" t="s">
        <v>1963</v>
      </c>
      <c r="H648" s="9" t="s">
        <v>1964</v>
      </c>
      <c r="I648" s="10">
        <v>45498</v>
      </c>
    </row>
    <row r="649" spans="1:9" x14ac:dyDescent="0.15">
      <c r="A649" s="9">
        <v>648</v>
      </c>
      <c r="B649" s="9" t="s">
        <v>9</v>
      </c>
      <c r="C649" s="9">
        <v>1910</v>
      </c>
      <c r="D649" s="10">
        <v>45602</v>
      </c>
      <c r="E649" s="13" t="str">
        <f>+HYPERLINK("http://trademark.i-assist.jp/data/china/image_1910th/79987131.pdf","79987131")</f>
        <v>79987131</v>
      </c>
      <c r="F649" s="9" t="s">
        <v>1965</v>
      </c>
      <c r="G649" s="9" t="s">
        <v>1966</v>
      </c>
      <c r="H649" s="9" t="s">
        <v>1967</v>
      </c>
      <c r="I649" s="10">
        <v>45498</v>
      </c>
    </row>
    <row r="650" spans="1:9" x14ac:dyDescent="0.15">
      <c r="A650" s="9">
        <v>649</v>
      </c>
      <c r="B650" s="9" t="s">
        <v>9</v>
      </c>
      <c r="C650" s="9">
        <v>1910</v>
      </c>
      <c r="D650" s="10">
        <v>45602</v>
      </c>
      <c r="E650" s="13" t="str">
        <f>+HYPERLINK("http://trademark.i-assist.jp/data/china/image_1910th/79987719.pdf","79987719")</f>
        <v>79987719</v>
      </c>
      <c r="F650" s="11" t="s">
        <v>1968</v>
      </c>
      <c r="G650" s="9" t="s">
        <v>1969</v>
      </c>
      <c r="H650" s="9" t="s">
        <v>1970</v>
      </c>
      <c r="I650" s="10">
        <v>45498</v>
      </c>
    </row>
    <row r="651" spans="1:9" x14ac:dyDescent="0.15">
      <c r="A651" s="9">
        <v>650</v>
      </c>
      <c r="B651" s="9" t="s">
        <v>9</v>
      </c>
      <c r="C651" s="9">
        <v>1910</v>
      </c>
      <c r="D651" s="10">
        <v>45602</v>
      </c>
      <c r="E651" s="13" t="str">
        <f>+HYPERLINK("http://trademark.i-assist.jp/data/china/image_1910th/79988235.pdf","79988235")</f>
        <v>79988235</v>
      </c>
      <c r="F651" s="9" t="s">
        <v>1971</v>
      </c>
      <c r="G651" s="9" t="s">
        <v>1972</v>
      </c>
      <c r="H651" s="9" t="s">
        <v>1973</v>
      </c>
      <c r="I651" s="10">
        <v>45498</v>
      </c>
    </row>
    <row r="652" spans="1:9" x14ac:dyDescent="0.15">
      <c r="A652" s="9">
        <v>651</v>
      </c>
      <c r="B652" s="9" t="s">
        <v>9</v>
      </c>
      <c r="C652" s="9">
        <v>1910</v>
      </c>
      <c r="D652" s="10">
        <v>45602</v>
      </c>
      <c r="E652" s="13" t="str">
        <f>+HYPERLINK("http://trademark.i-assist.jp/data/china/image_1910th/79989108.pdf","79989108")</f>
        <v>79989108</v>
      </c>
      <c r="F652" s="9" t="s">
        <v>1974</v>
      </c>
      <c r="G652" s="9" t="s">
        <v>84</v>
      </c>
      <c r="H652" s="11" t="s">
        <v>1975</v>
      </c>
      <c r="I652" s="10">
        <v>45498</v>
      </c>
    </row>
    <row r="653" spans="1:9" x14ac:dyDescent="0.15">
      <c r="A653" s="9">
        <v>652</v>
      </c>
      <c r="B653" s="9" t="s">
        <v>9</v>
      </c>
      <c r="C653" s="9">
        <v>1910</v>
      </c>
      <c r="D653" s="10">
        <v>45602</v>
      </c>
      <c r="E653" s="13" t="str">
        <f>+HYPERLINK("http://trademark.i-assist.jp/data/china/image_1910th/79989149.pdf","79989149")</f>
        <v>79989149</v>
      </c>
      <c r="F653" s="9" t="s">
        <v>1976</v>
      </c>
      <c r="G653" s="9" t="s">
        <v>1977</v>
      </c>
      <c r="H653" s="9" t="s">
        <v>1978</v>
      </c>
      <c r="I653" s="10">
        <v>45498</v>
      </c>
    </row>
    <row r="654" spans="1:9" x14ac:dyDescent="0.15">
      <c r="A654" s="9">
        <v>653</v>
      </c>
      <c r="B654" s="9" t="s">
        <v>9</v>
      </c>
      <c r="C654" s="9">
        <v>1910</v>
      </c>
      <c r="D654" s="10">
        <v>45602</v>
      </c>
      <c r="E654" s="13" t="str">
        <f>+HYPERLINK("http://trademark.i-assist.jp/data/china/image_1910th/79989244.pdf","79989244")</f>
        <v>79989244</v>
      </c>
      <c r="F654" s="11" t="s">
        <v>1979</v>
      </c>
      <c r="G654" s="11" t="s">
        <v>1980</v>
      </c>
      <c r="H654" s="11" t="s">
        <v>1981</v>
      </c>
      <c r="I654" s="10">
        <v>45498</v>
      </c>
    </row>
    <row r="655" spans="1:9" x14ac:dyDescent="0.15">
      <c r="A655" s="9">
        <v>654</v>
      </c>
      <c r="B655" s="9" t="s">
        <v>9</v>
      </c>
      <c r="C655" s="9">
        <v>1910</v>
      </c>
      <c r="D655" s="10">
        <v>45602</v>
      </c>
      <c r="E655" s="13" t="str">
        <f>+HYPERLINK("http://trademark.i-assist.jp/data/china/image_1910th/79989399.pdf","79989399")</f>
        <v>79989399</v>
      </c>
      <c r="F655" s="9" t="s">
        <v>1982</v>
      </c>
      <c r="G655" s="11" t="s">
        <v>1963</v>
      </c>
      <c r="H655" s="9" t="s">
        <v>1983</v>
      </c>
      <c r="I655" s="10">
        <v>45498</v>
      </c>
    </row>
    <row r="656" spans="1:9" x14ac:dyDescent="0.15">
      <c r="A656" s="9">
        <v>655</v>
      </c>
      <c r="B656" s="9" t="s">
        <v>9</v>
      </c>
      <c r="C656" s="9">
        <v>1910</v>
      </c>
      <c r="D656" s="10">
        <v>45602</v>
      </c>
      <c r="E656" s="13" t="str">
        <f>+HYPERLINK("http://trademark.i-assist.jp/data/china/image_1910th/79989456.pdf","79989456")</f>
        <v>79989456</v>
      </c>
      <c r="F656" s="9" t="s">
        <v>1984</v>
      </c>
      <c r="G656" s="9" t="s">
        <v>1985</v>
      </c>
      <c r="H656" s="9" t="s">
        <v>1986</v>
      </c>
      <c r="I656" s="10">
        <v>45498</v>
      </c>
    </row>
    <row r="657" spans="1:9" x14ac:dyDescent="0.15">
      <c r="A657" s="9">
        <v>656</v>
      </c>
      <c r="B657" s="9" t="s">
        <v>9</v>
      </c>
      <c r="C657" s="9">
        <v>1910</v>
      </c>
      <c r="D657" s="10">
        <v>45602</v>
      </c>
      <c r="E657" s="13" t="str">
        <f>+HYPERLINK("http://trademark.i-assist.jp/data/china/image_1910th/79989760.pdf","79989760")</f>
        <v>79989760</v>
      </c>
      <c r="F657" s="9" t="s">
        <v>1987</v>
      </c>
      <c r="G657" s="9" t="s">
        <v>172</v>
      </c>
      <c r="H657" s="9" t="s">
        <v>1988</v>
      </c>
      <c r="I657" s="10">
        <v>45498</v>
      </c>
    </row>
    <row r="658" spans="1:9" x14ac:dyDescent="0.15">
      <c r="A658" s="9">
        <v>657</v>
      </c>
      <c r="B658" s="9" t="s">
        <v>9</v>
      </c>
      <c r="C658" s="9">
        <v>1910</v>
      </c>
      <c r="D658" s="10">
        <v>45602</v>
      </c>
      <c r="E658" s="13" t="str">
        <f>+HYPERLINK("http://trademark.i-assist.jp/data/china/image_1910th/79989781.pdf","79989781")</f>
        <v>79989781</v>
      </c>
      <c r="F658" s="11" t="s">
        <v>1989</v>
      </c>
      <c r="G658" s="9" t="s">
        <v>1990</v>
      </c>
      <c r="H658" s="9" t="s">
        <v>1991</v>
      </c>
      <c r="I658" s="10">
        <v>45498</v>
      </c>
    </row>
    <row r="659" spans="1:9" x14ac:dyDescent="0.15">
      <c r="A659" s="9">
        <v>658</v>
      </c>
      <c r="B659" s="9" t="s">
        <v>9</v>
      </c>
      <c r="C659" s="9">
        <v>1910</v>
      </c>
      <c r="D659" s="10">
        <v>45602</v>
      </c>
      <c r="E659" s="13" t="str">
        <f>+HYPERLINK("http://trademark.i-assist.jp/data/china/image_1910th/79989932.pdf","79989932")</f>
        <v>79989932</v>
      </c>
      <c r="F659" s="9" t="s">
        <v>1992</v>
      </c>
      <c r="G659" s="9" t="s">
        <v>1993</v>
      </c>
      <c r="H659" s="9" t="s">
        <v>1994</v>
      </c>
      <c r="I659" s="10">
        <v>45498</v>
      </c>
    </row>
    <row r="660" spans="1:9" x14ac:dyDescent="0.15">
      <c r="A660" s="9">
        <v>659</v>
      </c>
      <c r="B660" s="9" t="s">
        <v>9</v>
      </c>
      <c r="C660" s="9">
        <v>1910</v>
      </c>
      <c r="D660" s="10">
        <v>45602</v>
      </c>
      <c r="E660" s="13" t="str">
        <f>+HYPERLINK("http://trademark.i-assist.jp/data/china/image_1910th/79990398.pdf","79990398")</f>
        <v>79990398</v>
      </c>
      <c r="F660" s="9" t="s">
        <v>1995</v>
      </c>
      <c r="G660" s="9" t="s">
        <v>1996</v>
      </c>
      <c r="H660" s="9" t="s">
        <v>1997</v>
      </c>
      <c r="I660" s="10">
        <v>45498</v>
      </c>
    </row>
    <row r="661" spans="1:9" x14ac:dyDescent="0.15">
      <c r="A661" s="9">
        <v>660</v>
      </c>
      <c r="B661" s="9" t="s">
        <v>9</v>
      </c>
      <c r="C661" s="9">
        <v>1910</v>
      </c>
      <c r="D661" s="10">
        <v>45602</v>
      </c>
      <c r="E661" s="13" t="str">
        <f>+HYPERLINK("http://trademark.i-assist.jp/data/china/image_1910th/79990481.pdf","79990481")</f>
        <v>79990481</v>
      </c>
      <c r="F661" s="9" t="s">
        <v>1998</v>
      </c>
      <c r="G661" s="9" t="s">
        <v>1999</v>
      </c>
      <c r="H661" s="9" t="s">
        <v>2000</v>
      </c>
      <c r="I661" s="10">
        <v>45498</v>
      </c>
    </row>
    <row r="662" spans="1:9" x14ac:dyDescent="0.15">
      <c r="A662" s="9">
        <v>661</v>
      </c>
      <c r="B662" s="9" t="s">
        <v>9</v>
      </c>
      <c r="C662" s="9">
        <v>1910</v>
      </c>
      <c r="D662" s="10">
        <v>45602</v>
      </c>
      <c r="E662" s="13" t="str">
        <f>+HYPERLINK("http://trademark.i-assist.jp/data/china/image_1910th/79990845.pdf","79990845")</f>
        <v>79990845</v>
      </c>
      <c r="F662" s="9" t="s">
        <v>2001</v>
      </c>
      <c r="G662" s="9" t="s">
        <v>2002</v>
      </c>
      <c r="H662" s="9" t="s">
        <v>2003</v>
      </c>
      <c r="I662" s="10">
        <v>45498</v>
      </c>
    </row>
    <row r="663" spans="1:9" x14ac:dyDescent="0.15">
      <c r="A663" s="9">
        <v>662</v>
      </c>
      <c r="B663" s="9" t="s">
        <v>9</v>
      </c>
      <c r="C663" s="9">
        <v>1910</v>
      </c>
      <c r="D663" s="10">
        <v>45602</v>
      </c>
      <c r="E663" s="13" t="str">
        <f>+HYPERLINK("http://trademark.i-assist.jp/data/china/image_1910th/79990970.pdf","79990970")</f>
        <v>79990970</v>
      </c>
      <c r="F663" s="9" t="s">
        <v>2004</v>
      </c>
      <c r="G663" s="11" t="s">
        <v>2005</v>
      </c>
      <c r="H663" s="9" t="s">
        <v>2006</v>
      </c>
      <c r="I663" s="10">
        <v>45498</v>
      </c>
    </row>
    <row r="664" spans="1:9" x14ac:dyDescent="0.15">
      <c r="A664" s="9">
        <v>663</v>
      </c>
      <c r="B664" s="9" t="s">
        <v>9</v>
      </c>
      <c r="C664" s="9">
        <v>1910</v>
      </c>
      <c r="D664" s="10">
        <v>45602</v>
      </c>
      <c r="E664" s="13" t="str">
        <f>+HYPERLINK("http://trademark.i-assist.jp/data/china/image_1910th/79991676.pdf","79991676")</f>
        <v>79991676</v>
      </c>
      <c r="F664" s="9" t="s">
        <v>2007</v>
      </c>
      <c r="G664" s="11" t="s">
        <v>2008</v>
      </c>
      <c r="H664" s="9" t="s">
        <v>2009</v>
      </c>
      <c r="I664" s="10">
        <v>45498</v>
      </c>
    </row>
    <row r="665" spans="1:9" x14ac:dyDescent="0.15">
      <c r="A665" s="9">
        <v>664</v>
      </c>
      <c r="B665" s="9" t="s">
        <v>9</v>
      </c>
      <c r="C665" s="9">
        <v>1910</v>
      </c>
      <c r="D665" s="10">
        <v>45602</v>
      </c>
      <c r="E665" s="13" t="str">
        <f>+HYPERLINK("http://trademark.i-assist.jp/data/china/image_1910th/79992116.pdf","79992116")</f>
        <v>79992116</v>
      </c>
      <c r="F665" s="11" t="s">
        <v>2010</v>
      </c>
      <c r="G665" s="9" t="s">
        <v>2011</v>
      </c>
      <c r="H665" s="9" t="s">
        <v>2012</v>
      </c>
      <c r="I665" s="10">
        <v>45498</v>
      </c>
    </row>
    <row r="666" spans="1:9" x14ac:dyDescent="0.15">
      <c r="A666" s="9">
        <v>665</v>
      </c>
      <c r="B666" s="9" t="s">
        <v>9</v>
      </c>
      <c r="C666" s="9">
        <v>1910</v>
      </c>
      <c r="D666" s="10">
        <v>45602</v>
      </c>
      <c r="E666" s="13" t="str">
        <f>+HYPERLINK("http://trademark.i-assist.jp/data/china/image_1910th/79992524.pdf","79992524")</f>
        <v>79992524</v>
      </c>
      <c r="F666" s="9" t="s">
        <v>2013</v>
      </c>
      <c r="G666" s="9" t="s">
        <v>2014</v>
      </c>
      <c r="H666" s="11" t="s">
        <v>2015</v>
      </c>
      <c r="I666" s="10">
        <v>45498</v>
      </c>
    </row>
    <row r="667" spans="1:9" x14ac:dyDescent="0.15">
      <c r="A667" s="9">
        <v>666</v>
      </c>
      <c r="B667" s="9" t="s">
        <v>9</v>
      </c>
      <c r="C667" s="9">
        <v>1910</v>
      </c>
      <c r="D667" s="10">
        <v>45602</v>
      </c>
      <c r="E667" s="13" t="str">
        <f>+HYPERLINK("http://trademark.i-assist.jp/data/china/image_1910th/79993011.pdf","79993011")</f>
        <v>79993011</v>
      </c>
      <c r="F667" s="9" t="s">
        <v>2016</v>
      </c>
      <c r="G667" s="9" t="s">
        <v>2017</v>
      </c>
      <c r="H667" s="9" t="s">
        <v>2018</v>
      </c>
      <c r="I667" s="10">
        <v>45498</v>
      </c>
    </row>
    <row r="668" spans="1:9" x14ac:dyDescent="0.15">
      <c r="A668" s="9">
        <v>667</v>
      </c>
      <c r="B668" s="9" t="s">
        <v>9</v>
      </c>
      <c r="C668" s="9">
        <v>1910</v>
      </c>
      <c r="D668" s="10">
        <v>45602</v>
      </c>
      <c r="E668" s="13" t="str">
        <f>+HYPERLINK("http://trademark.i-assist.jp/data/china/image_1910th/79993249.pdf","79993249")</f>
        <v>79993249</v>
      </c>
      <c r="F668" s="11" t="s">
        <v>2019</v>
      </c>
      <c r="G668" s="9" t="s">
        <v>2020</v>
      </c>
      <c r="H668" s="9" t="s">
        <v>2021</v>
      </c>
      <c r="I668" s="10">
        <v>45498</v>
      </c>
    </row>
    <row r="669" spans="1:9" x14ac:dyDescent="0.15">
      <c r="A669" s="9">
        <v>668</v>
      </c>
      <c r="B669" s="9" t="s">
        <v>9</v>
      </c>
      <c r="C669" s="9">
        <v>1910</v>
      </c>
      <c r="D669" s="10">
        <v>45602</v>
      </c>
      <c r="E669" s="13" t="str">
        <f>+HYPERLINK("http://trademark.i-assist.jp/data/china/image_1910th/79993359.pdf","79993359")</f>
        <v>79993359</v>
      </c>
      <c r="F669" s="9" t="s">
        <v>2022</v>
      </c>
      <c r="G669" s="9" t="s">
        <v>130</v>
      </c>
      <c r="H669" s="9" t="s">
        <v>2023</v>
      </c>
      <c r="I669" s="10">
        <v>45498</v>
      </c>
    </row>
    <row r="670" spans="1:9" x14ac:dyDescent="0.15">
      <c r="A670" s="9">
        <v>669</v>
      </c>
      <c r="B670" s="9" t="s">
        <v>9</v>
      </c>
      <c r="C670" s="9">
        <v>1910</v>
      </c>
      <c r="D670" s="10">
        <v>45602</v>
      </c>
      <c r="E670" s="13" t="str">
        <f>+HYPERLINK("http://trademark.i-assist.jp/data/china/image_1910th/79993587.pdf","79993587")</f>
        <v>79993587</v>
      </c>
      <c r="F670" s="11" t="s">
        <v>2024</v>
      </c>
      <c r="G670" s="9" t="s">
        <v>2025</v>
      </c>
      <c r="H670" s="9" t="s">
        <v>2026</v>
      </c>
      <c r="I670" s="10">
        <v>45498</v>
      </c>
    </row>
    <row r="671" spans="1:9" x14ac:dyDescent="0.15">
      <c r="A671" s="9">
        <v>670</v>
      </c>
      <c r="B671" s="9" t="s">
        <v>9</v>
      </c>
      <c r="C671" s="9">
        <v>1910</v>
      </c>
      <c r="D671" s="10">
        <v>45602</v>
      </c>
      <c r="E671" s="13" t="str">
        <f>+HYPERLINK("http://trademark.i-assist.jp/data/china/image_1910th/79993845.pdf","79993845")</f>
        <v>79993845</v>
      </c>
      <c r="F671" s="9" t="s">
        <v>2027</v>
      </c>
      <c r="G671" s="9" t="s">
        <v>2028</v>
      </c>
      <c r="H671" s="11" t="s">
        <v>2029</v>
      </c>
      <c r="I671" s="10">
        <v>45498</v>
      </c>
    </row>
    <row r="672" spans="1:9" x14ac:dyDescent="0.15">
      <c r="A672" s="9">
        <v>671</v>
      </c>
      <c r="B672" s="9" t="s">
        <v>9</v>
      </c>
      <c r="C672" s="9">
        <v>1910</v>
      </c>
      <c r="D672" s="10">
        <v>45602</v>
      </c>
      <c r="E672" s="13" t="str">
        <f>+HYPERLINK("http://trademark.i-assist.jp/data/china/image_1910th/79994046.pdf","79994046")</f>
        <v>79994046</v>
      </c>
      <c r="F672" s="11" t="s">
        <v>2030</v>
      </c>
      <c r="G672" s="11" t="s">
        <v>2031</v>
      </c>
      <c r="H672" s="9" t="s">
        <v>2032</v>
      </c>
      <c r="I672" s="10">
        <v>45498</v>
      </c>
    </row>
    <row r="673" spans="1:9" x14ac:dyDescent="0.15">
      <c r="A673" s="9">
        <v>672</v>
      </c>
      <c r="B673" s="9" t="s">
        <v>9</v>
      </c>
      <c r="C673" s="9">
        <v>1910</v>
      </c>
      <c r="D673" s="10">
        <v>45602</v>
      </c>
      <c r="E673" s="13" t="str">
        <f>+HYPERLINK("http://trademark.i-assist.jp/data/china/image_1910th/79994322.pdf","79994322")</f>
        <v>79994322</v>
      </c>
      <c r="F673" s="11" t="s">
        <v>2033</v>
      </c>
      <c r="G673" s="11" t="s">
        <v>2034</v>
      </c>
      <c r="H673" s="11" t="s">
        <v>2035</v>
      </c>
      <c r="I673" s="10">
        <v>45498</v>
      </c>
    </row>
    <row r="674" spans="1:9" x14ac:dyDescent="0.15">
      <c r="A674" s="9">
        <v>673</v>
      </c>
      <c r="B674" s="9" t="s">
        <v>9</v>
      </c>
      <c r="C674" s="9">
        <v>1910</v>
      </c>
      <c r="D674" s="10">
        <v>45602</v>
      </c>
      <c r="E674" s="13" t="str">
        <f>+HYPERLINK("http://trademark.i-assist.jp/data/china/image_1910th/79995059.pdf","79995059")</f>
        <v>79995059</v>
      </c>
      <c r="F674" s="11" t="s">
        <v>2036</v>
      </c>
      <c r="G674" s="9" t="s">
        <v>2037</v>
      </c>
      <c r="H674" s="9" t="s">
        <v>2038</v>
      </c>
      <c r="I674" s="10">
        <v>45498</v>
      </c>
    </row>
    <row r="675" spans="1:9" x14ac:dyDescent="0.15">
      <c r="A675" s="9">
        <v>674</v>
      </c>
      <c r="B675" s="9" t="s">
        <v>9</v>
      </c>
      <c r="C675" s="9">
        <v>1910</v>
      </c>
      <c r="D675" s="10">
        <v>45602</v>
      </c>
      <c r="E675" s="13" t="str">
        <f>+HYPERLINK("http://trademark.i-assist.jp/data/china/image_1910th/79995136.pdf","79995136")</f>
        <v>79995136</v>
      </c>
      <c r="F675" s="9" t="s">
        <v>2039</v>
      </c>
      <c r="G675" s="9" t="s">
        <v>2040</v>
      </c>
      <c r="H675" s="9" t="s">
        <v>2041</v>
      </c>
      <c r="I675" s="10">
        <v>45498</v>
      </c>
    </row>
    <row r="676" spans="1:9" x14ac:dyDescent="0.15">
      <c r="A676" s="9">
        <v>675</v>
      </c>
      <c r="B676" s="9" t="s">
        <v>9</v>
      </c>
      <c r="C676" s="9">
        <v>1910</v>
      </c>
      <c r="D676" s="10">
        <v>45602</v>
      </c>
      <c r="E676" s="13" t="str">
        <f>+HYPERLINK("http://trademark.i-assist.jp/data/china/image_1910th/79995659.pdf","79995659")</f>
        <v>79995659</v>
      </c>
      <c r="F676" s="9" t="s">
        <v>2042</v>
      </c>
      <c r="G676" s="11" t="s">
        <v>2043</v>
      </c>
      <c r="H676" s="9" t="s">
        <v>2044</v>
      </c>
      <c r="I676" s="10">
        <v>45498</v>
      </c>
    </row>
    <row r="677" spans="1:9" x14ac:dyDescent="0.15">
      <c r="A677" s="9">
        <v>676</v>
      </c>
      <c r="B677" s="9" t="s">
        <v>9</v>
      </c>
      <c r="C677" s="9">
        <v>1910</v>
      </c>
      <c r="D677" s="10">
        <v>45602</v>
      </c>
      <c r="E677" s="13" t="str">
        <f>+HYPERLINK("http://trademark.i-assist.jp/data/china/image_1910th/79995713.pdf","79995713")</f>
        <v>79995713</v>
      </c>
      <c r="F677" s="9" t="s">
        <v>2045</v>
      </c>
      <c r="G677" s="11" t="s">
        <v>82</v>
      </c>
      <c r="H677" s="9" t="s">
        <v>2046</v>
      </c>
      <c r="I677" s="10">
        <v>45498</v>
      </c>
    </row>
    <row r="678" spans="1:9" x14ac:dyDescent="0.15">
      <c r="A678" s="9">
        <v>677</v>
      </c>
      <c r="B678" s="9" t="s">
        <v>9</v>
      </c>
      <c r="C678" s="9">
        <v>1910</v>
      </c>
      <c r="D678" s="10">
        <v>45602</v>
      </c>
      <c r="E678" s="13" t="str">
        <f>+HYPERLINK("http://trademark.i-assist.jp/data/china/image_1910th/79995877.pdf","79995877")</f>
        <v>79995877</v>
      </c>
      <c r="F678" s="9" t="s">
        <v>2047</v>
      </c>
      <c r="G678" s="11" t="s">
        <v>2048</v>
      </c>
      <c r="H678" s="9" t="s">
        <v>2049</v>
      </c>
      <c r="I678" s="10">
        <v>45498</v>
      </c>
    </row>
    <row r="679" spans="1:9" x14ac:dyDescent="0.15">
      <c r="A679" s="9">
        <v>678</v>
      </c>
      <c r="B679" s="9" t="s">
        <v>9</v>
      </c>
      <c r="C679" s="9">
        <v>1910</v>
      </c>
      <c r="D679" s="10">
        <v>45602</v>
      </c>
      <c r="E679" s="13" t="str">
        <f>+HYPERLINK("http://trademark.i-assist.jp/data/china/image_1910th/79996267.pdf","79996267")</f>
        <v>79996267</v>
      </c>
      <c r="F679" s="9" t="s">
        <v>2050</v>
      </c>
      <c r="G679" s="9" t="s">
        <v>2051</v>
      </c>
      <c r="H679" s="9" t="s">
        <v>2052</v>
      </c>
      <c r="I679" s="10">
        <v>45498</v>
      </c>
    </row>
    <row r="680" spans="1:9" x14ac:dyDescent="0.15">
      <c r="A680" s="9">
        <v>679</v>
      </c>
      <c r="B680" s="9" t="s">
        <v>9</v>
      </c>
      <c r="C680" s="9">
        <v>1910</v>
      </c>
      <c r="D680" s="10">
        <v>45602</v>
      </c>
      <c r="E680" s="13" t="str">
        <f>+HYPERLINK("http://trademark.i-assist.jp/data/china/image_1910th/79996363.pdf","79996363")</f>
        <v>79996363</v>
      </c>
      <c r="F680" s="9" t="s">
        <v>2053</v>
      </c>
      <c r="G680" s="9" t="s">
        <v>93</v>
      </c>
      <c r="H680" s="9" t="s">
        <v>2054</v>
      </c>
      <c r="I680" s="10">
        <v>45498</v>
      </c>
    </row>
    <row r="681" spans="1:9" x14ac:dyDescent="0.15">
      <c r="A681" s="9">
        <v>680</v>
      </c>
      <c r="B681" s="9" t="s">
        <v>9</v>
      </c>
      <c r="C681" s="9">
        <v>1910</v>
      </c>
      <c r="D681" s="10">
        <v>45602</v>
      </c>
      <c r="E681" s="13" t="str">
        <f>+HYPERLINK("http://trademark.i-assist.jp/data/china/image_1910th/79996395.pdf","79996395")</f>
        <v>79996395</v>
      </c>
      <c r="F681" s="9" t="s">
        <v>2055</v>
      </c>
      <c r="G681" s="9" t="s">
        <v>2056</v>
      </c>
      <c r="H681" s="11" t="s">
        <v>2057</v>
      </c>
      <c r="I681" s="10">
        <v>45498</v>
      </c>
    </row>
    <row r="682" spans="1:9" x14ac:dyDescent="0.15">
      <c r="A682" s="9">
        <v>681</v>
      </c>
      <c r="B682" s="9" t="s">
        <v>9</v>
      </c>
      <c r="C682" s="9">
        <v>1910</v>
      </c>
      <c r="D682" s="10">
        <v>45602</v>
      </c>
      <c r="E682" s="13" t="str">
        <f>+HYPERLINK("http://trademark.i-assist.jp/data/china/image_1910th/79996512.pdf","79996512")</f>
        <v>79996512</v>
      </c>
      <c r="F682" s="9" t="s">
        <v>2058</v>
      </c>
      <c r="G682" s="9" t="s">
        <v>2059</v>
      </c>
      <c r="H682" s="9" t="s">
        <v>2060</v>
      </c>
      <c r="I682" s="10">
        <v>45498</v>
      </c>
    </row>
    <row r="683" spans="1:9" x14ac:dyDescent="0.15">
      <c r="A683" s="9">
        <v>682</v>
      </c>
      <c r="B683" s="9" t="s">
        <v>9</v>
      </c>
      <c r="C683" s="9">
        <v>1910</v>
      </c>
      <c r="D683" s="10">
        <v>45602</v>
      </c>
      <c r="E683" s="13" t="str">
        <f>+HYPERLINK("http://trademark.i-assist.jp/data/china/image_1910th/79996699.pdf","79996699")</f>
        <v>79996699</v>
      </c>
      <c r="F683" s="9" t="s">
        <v>2061</v>
      </c>
      <c r="G683" s="11" t="s">
        <v>2062</v>
      </c>
      <c r="H683" s="9" t="s">
        <v>2063</v>
      </c>
      <c r="I683" s="10">
        <v>45498</v>
      </c>
    </row>
    <row r="684" spans="1:9" x14ac:dyDescent="0.15">
      <c r="A684" s="9">
        <v>683</v>
      </c>
      <c r="B684" s="9" t="s">
        <v>9</v>
      </c>
      <c r="C684" s="9">
        <v>1910</v>
      </c>
      <c r="D684" s="10">
        <v>45602</v>
      </c>
      <c r="E684" s="13" t="str">
        <f>+HYPERLINK("http://trademark.i-assist.jp/data/china/image_1910th/79996722.pdf","79996722")</f>
        <v>79996722</v>
      </c>
      <c r="F684" s="9" t="s">
        <v>2064</v>
      </c>
      <c r="G684" s="9" t="s">
        <v>2040</v>
      </c>
      <c r="H684" s="9" t="s">
        <v>2065</v>
      </c>
      <c r="I684" s="10">
        <v>45498</v>
      </c>
    </row>
    <row r="685" spans="1:9" x14ac:dyDescent="0.15">
      <c r="A685" s="9">
        <v>684</v>
      </c>
      <c r="B685" s="9" t="s">
        <v>9</v>
      </c>
      <c r="C685" s="9">
        <v>1910</v>
      </c>
      <c r="D685" s="10">
        <v>45602</v>
      </c>
      <c r="E685" s="13" t="str">
        <f>+HYPERLINK("http://trademark.i-assist.jp/data/china/image_1910th/79997048.pdf","79997048")</f>
        <v>79997048</v>
      </c>
      <c r="F685" s="9" t="s">
        <v>2066</v>
      </c>
      <c r="G685" s="9" t="s">
        <v>2067</v>
      </c>
      <c r="H685" s="9" t="s">
        <v>2068</v>
      </c>
      <c r="I685" s="10">
        <v>45498</v>
      </c>
    </row>
    <row r="686" spans="1:9" x14ac:dyDescent="0.15">
      <c r="A686" s="9">
        <v>685</v>
      </c>
      <c r="B686" s="9" t="s">
        <v>9</v>
      </c>
      <c r="C686" s="9">
        <v>1910</v>
      </c>
      <c r="D686" s="10">
        <v>45602</v>
      </c>
      <c r="E686" s="13" t="str">
        <f>+HYPERLINK("http://trademark.i-assist.jp/data/china/image_1910th/79997317.pdf","79997317")</f>
        <v>79997317</v>
      </c>
      <c r="F686" s="9" t="s">
        <v>2069</v>
      </c>
      <c r="G686" s="11" t="s">
        <v>78</v>
      </c>
      <c r="H686" s="9" t="s">
        <v>2070</v>
      </c>
      <c r="I686" s="10">
        <v>45498</v>
      </c>
    </row>
    <row r="687" spans="1:9" x14ac:dyDescent="0.15">
      <c r="A687" s="9">
        <v>686</v>
      </c>
      <c r="B687" s="9" t="s">
        <v>9</v>
      </c>
      <c r="C687" s="9">
        <v>1910</v>
      </c>
      <c r="D687" s="10">
        <v>45602</v>
      </c>
      <c r="E687" s="13" t="str">
        <f>+HYPERLINK("http://trademark.i-assist.jp/data/china/image_1910th/79997693.pdf","79997693")</f>
        <v>79997693</v>
      </c>
      <c r="F687" s="9" t="s">
        <v>2071</v>
      </c>
      <c r="G687" s="11" t="s">
        <v>2072</v>
      </c>
      <c r="H687" s="9" t="s">
        <v>2073</v>
      </c>
      <c r="I687" s="10">
        <v>45498</v>
      </c>
    </row>
    <row r="688" spans="1:9" x14ac:dyDescent="0.15">
      <c r="A688" s="9">
        <v>687</v>
      </c>
      <c r="B688" s="9" t="s">
        <v>9</v>
      </c>
      <c r="C688" s="9">
        <v>1910</v>
      </c>
      <c r="D688" s="10">
        <v>45602</v>
      </c>
      <c r="E688" s="13" t="str">
        <f>+HYPERLINK("http://trademark.i-assist.jp/data/china/image_1910th/79997727.pdf","79997727")</f>
        <v>79997727</v>
      </c>
      <c r="F688" s="9" t="s">
        <v>2074</v>
      </c>
      <c r="G688" s="9" t="s">
        <v>2075</v>
      </c>
      <c r="H688" s="9" t="s">
        <v>2076</v>
      </c>
      <c r="I688" s="10">
        <v>45498</v>
      </c>
    </row>
    <row r="689" spans="1:9" x14ac:dyDescent="0.15">
      <c r="A689" s="9">
        <v>688</v>
      </c>
      <c r="B689" s="9" t="s">
        <v>9</v>
      </c>
      <c r="C689" s="9">
        <v>1910</v>
      </c>
      <c r="D689" s="10">
        <v>45602</v>
      </c>
      <c r="E689" s="13" t="str">
        <f>+HYPERLINK("http://trademark.i-assist.jp/data/china/image_1910th/79998143.pdf","79998143")</f>
        <v>79998143</v>
      </c>
      <c r="F689" s="9" t="s">
        <v>2077</v>
      </c>
      <c r="G689" s="11" t="s">
        <v>2078</v>
      </c>
      <c r="H689" s="9" t="s">
        <v>2079</v>
      </c>
      <c r="I689" s="10">
        <v>45498</v>
      </c>
    </row>
    <row r="690" spans="1:9" x14ac:dyDescent="0.15">
      <c r="A690" s="9">
        <v>689</v>
      </c>
      <c r="B690" s="9" t="s">
        <v>9</v>
      </c>
      <c r="C690" s="9">
        <v>1910</v>
      </c>
      <c r="D690" s="10">
        <v>45602</v>
      </c>
      <c r="E690" s="13" t="str">
        <f>+HYPERLINK("http://trademark.i-assist.jp/data/china/image_1910th/79998193.pdf","79998193")</f>
        <v>79998193</v>
      </c>
      <c r="F690" s="9" t="s">
        <v>2080</v>
      </c>
      <c r="G690" s="11" t="s">
        <v>2081</v>
      </c>
      <c r="H690" s="9" t="s">
        <v>2082</v>
      </c>
      <c r="I690" s="10">
        <v>45498</v>
      </c>
    </row>
    <row r="691" spans="1:9" x14ac:dyDescent="0.15">
      <c r="A691" s="9">
        <v>690</v>
      </c>
      <c r="B691" s="9" t="s">
        <v>9</v>
      </c>
      <c r="C691" s="9">
        <v>1910</v>
      </c>
      <c r="D691" s="10">
        <v>45602</v>
      </c>
      <c r="E691" s="13" t="str">
        <f>+HYPERLINK("http://trademark.i-assist.jp/data/china/image_1910th/79998317.pdf","79998317")</f>
        <v>79998317</v>
      </c>
      <c r="F691" s="9" t="s">
        <v>2083</v>
      </c>
      <c r="G691" s="11" t="s">
        <v>2005</v>
      </c>
      <c r="H691" s="9" t="s">
        <v>2084</v>
      </c>
      <c r="I691" s="10">
        <v>45498</v>
      </c>
    </row>
    <row r="692" spans="1:9" x14ac:dyDescent="0.15">
      <c r="A692" s="9">
        <v>691</v>
      </c>
      <c r="B692" s="9" t="s">
        <v>9</v>
      </c>
      <c r="C692" s="9">
        <v>1910</v>
      </c>
      <c r="D692" s="10">
        <v>45602</v>
      </c>
      <c r="E692" s="13" t="str">
        <f>+HYPERLINK("http://trademark.i-assist.jp/data/china/image_1910th/79998958.pdf","79998958")</f>
        <v>79998958</v>
      </c>
      <c r="F692" s="9" t="s">
        <v>2085</v>
      </c>
      <c r="G692" s="9" t="s">
        <v>2086</v>
      </c>
      <c r="H692" s="9" t="s">
        <v>2087</v>
      </c>
      <c r="I692" s="10">
        <v>45498</v>
      </c>
    </row>
    <row r="693" spans="1:9" x14ac:dyDescent="0.15">
      <c r="A693" s="9">
        <v>692</v>
      </c>
      <c r="B693" s="9" t="s">
        <v>9</v>
      </c>
      <c r="C693" s="9">
        <v>1910</v>
      </c>
      <c r="D693" s="10">
        <v>45602</v>
      </c>
      <c r="E693" s="13" t="str">
        <f>+HYPERLINK("http://trademark.i-assist.jp/data/china/image_1910th/79999115.pdf","79999115")</f>
        <v>79999115</v>
      </c>
      <c r="F693" s="9" t="s">
        <v>2088</v>
      </c>
      <c r="G693" s="9" t="s">
        <v>2089</v>
      </c>
      <c r="H693" s="9" t="s">
        <v>2090</v>
      </c>
      <c r="I693" s="10">
        <v>45498</v>
      </c>
    </row>
    <row r="694" spans="1:9" x14ac:dyDescent="0.15">
      <c r="A694" s="9">
        <v>693</v>
      </c>
      <c r="B694" s="9" t="s">
        <v>9</v>
      </c>
      <c r="C694" s="9">
        <v>1910</v>
      </c>
      <c r="D694" s="10">
        <v>45602</v>
      </c>
      <c r="E694" s="13" t="str">
        <f>+HYPERLINK("http://trademark.i-assist.jp/data/china/image_1910th/79999384.pdf","79999384")</f>
        <v>79999384</v>
      </c>
      <c r="F694" s="9" t="s">
        <v>2091</v>
      </c>
      <c r="G694" s="9" t="s">
        <v>2092</v>
      </c>
      <c r="H694" s="9" t="s">
        <v>2093</v>
      </c>
      <c r="I694" s="10">
        <v>45498</v>
      </c>
    </row>
    <row r="695" spans="1:9" x14ac:dyDescent="0.15">
      <c r="A695" s="9">
        <v>694</v>
      </c>
      <c r="B695" s="9" t="s">
        <v>9</v>
      </c>
      <c r="C695" s="9">
        <v>1910</v>
      </c>
      <c r="D695" s="10">
        <v>45602</v>
      </c>
      <c r="E695" s="13" t="str">
        <f>+HYPERLINK("http://trademark.i-assist.jp/data/china/image_1910th/79999550.pdf","79999550")</f>
        <v>79999550</v>
      </c>
      <c r="F695" s="9" t="s">
        <v>2094</v>
      </c>
      <c r="G695" s="11" t="s">
        <v>2095</v>
      </c>
      <c r="H695" s="9" t="s">
        <v>2096</v>
      </c>
      <c r="I695" s="10">
        <v>45498</v>
      </c>
    </row>
    <row r="696" spans="1:9" x14ac:dyDescent="0.15">
      <c r="A696" s="9">
        <v>695</v>
      </c>
      <c r="B696" s="9" t="s">
        <v>9</v>
      </c>
      <c r="C696" s="9">
        <v>1910</v>
      </c>
      <c r="D696" s="10">
        <v>45602</v>
      </c>
      <c r="E696" s="13" t="str">
        <f>+HYPERLINK("http://trademark.i-assist.jp/data/china/image_1910th/80001270.pdf","80001270")</f>
        <v>80001270</v>
      </c>
      <c r="F696" s="9" t="s">
        <v>2097</v>
      </c>
      <c r="G696" s="9" t="s">
        <v>2098</v>
      </c>
      <c r="H696" s="9" t="s">
        <v>2099</v>
      </c>
      <c r="I696" s="10">
        <v>45498</v>
      </c>
    </row>
    <row r="697" spans="1:9" x14ac:dyDescent="0.15">
      <c r="A697" s="9">
        <v>696</v>
      </c>
      <c r="B697" s="9" t="s">
        <v>9</v>
      </c>
      <c r="C697" s="9">
        <v>1910</v>
      </c>
      <c r="D697" s="10">
        <v>45602</v>
      </c>
      <c r="E697" s="13" t="str">
        <f>+HYPERLINK("http://trademark.i-assist.jp/data/china/image_1910th/80001488.pdf","80001488")</f>
        <v>80001488</v>
      </c>
      <c r="F697" s="9" t="s">
        <v>2100</v>
      </c>
      <c r="G697" s="11" t="s">
        <v>1963</v>
      </c>
      <c r="H697" s="9" t="s">
        <v>2101</v>
      </c>
      <c r="I697" s="10">
        <v>45498</v>
      </c>
    </row>
    <row r="698" spans="1:9" x14ac:dyDescent="0.15">
      <c r="A698" s="9">
        <v>697</v>
      </c>
      <c r="B698" s="9" t="s">
        <v>9</v>
      </c>
      <c r="C698" s="9">
        <v>1910</v>
      </c>
      <c r="D698" s="10">
        <v>45602</v>
      </c>
      <c r="E698" s="13" t="str">
        <f>+HYPERLINK("http://trademark.i-assist.jp/data/china/image_1910th/80002222.pdf","80002222")</f>
        <v>80002222</v>
      </c>
      <c r="F698" s="9" t="s">
        <v>36</v>
      </c>
      <c r="G698" s="9" t="s">
        <v>37</v>
      </c>
      <c r="H698" s="11" t="s">
        <v>2102</v>
      </c>
      <c r="I698" s="10">
        <v>45498</v>
      </c>
    </row>
    <row r="699" spans="1:9" x14ac:dyDescent="0.15">
      <c r="A699" s="9">
        <v>698</v>
      </c>
      <c r="B699" s="9" t="s">
        <v>9</v>
      </c>
      <c r="C699" s="9">
        <v>1910</v>
      </c>
      <c r="D699" s="10">
        <v>45602</v>
      </c>
      <c r="E699" s="13" t="str">
        <f>+HYPERLINK("http://trademark.i-assist.jp/data/china/image_1910th/80002605.pdf","80002605")</f>
        <v>80002605</v>
      </c>
      <c r="F699" s="9" t="s">
        <v>2103</v>
      </c>
      <c r="G699" s="9" t="s">
        <v>2104</v>
      </c>
      <c r="H699" s="9" t="s">
        <v>2105</v>
      </c>
      <c r="I699" s="10">
        <v>45498</v>
      </c>
    </row>
    <row r="700" spans="1:9" x14ac:dyDescent="0.15">
      <c r="A700" s="9">
        <v>699</v>
      </c>
      <c r="B700" s="9" t="s">
        <v>9</v>
      </c>
      <c r="C700" s="9">
        <v>1910</v>
      </c>
      <c r="D700" s="10">
        <v>45602</v>
      </c>
      <c r="E700" s="13" t="str">
        <f>+HYPERLINK("http://trademark.i-assist.jp/data/china/image_1910th/80002672.pdf","80002672")</f>
        <v>80002672</v>
      </c>
      <c r="F700" s="9" t="s">
        <v>2106</v>
      </c>
      <c r="G700" s="9" t="s">
        <v>2107</v>
      </c>
      <c r="H700" s="11" t="s">
        <v>2108</v>
      </c>
      <c r="I700" s="10">
        <v>45498</v>
      </c>
    </row>
    <row r="701" spans="1:9" x14ac:dyDescent="0.15">
      <c r="A701" s="9">
        <v>700</v>
      </c>
      <c r="B701" s="9" t="s">
        <v>9</v>
      </c>
      <c r="C701" s="9">
        <v>1910</v>
      </c>
      <c r="D701" s="10">
        <v>45602</v>
      </c>
      <c r="E701" s="13" t="str">
        <f>+HYPERLINK("http://trademark.i-assist.jp/data/china/image_1910th/80002803.pdf","80002803")</f>
        <v>80002803</v>
      </c>
      <c r="F701" s="9" t="s">
        <v>2109</v>
      </c>
      <c r="G701" s="9" t="s">
        <v>1996</v>
      </c>
      <c r="H701" s="11" t="s">
        <v>2110</v>
      </c>
      <c r="I701" s="10">
        <v>45498</v>
      </c>
    </row>
    <row r="702" spans="1:9" x14ac:dyDescent="0.15">
      <c r="A702" s="9">
        <v>701</v>
      </c>
      <c r="B702" s="9" t="s">
        <v>9</v>
      </c>
      <c r="C702" s="9">
        <v>1910</v>
      </c>
      <c r="D702" s="10">
        <v>45602</v>
      </c>
      <c r="E702" s="13" t="str">
        <f>+HYPERLINK("http://trademark.i-assist.jp/data/china/image_1910th/80003112.pdf","80003112")</f>
        <v>80003112</v>
      </c>
      <c r="F702" s="9" t="s">
        <v>2111</v>
      </c>
      <c r="G702" s="11" t="s">
        <v>164</v>
      </c>
      <c r="H702" s="9" t="s">
        <v>2112</v>
      </c>
      <c r="I702" s="10">
        <v>45498</v>
      </c>
    </row>
    <row r="703" spans="1:9" x14ac:dyDescent="0.15">
      <c r="A703" s="9">
        <v>702</v>
      </c>
      <c r="B703" s="9" t="s">
        <v>9</v>
      </c>
      <c r="C703" s="9">
        <v>1910</v>
      </c>
      <c r="D703" s="10">
        <v>45602</v>
      </c>
      <c r="E703" s="13" t="str">
        <f>+HYPERLINK("http://trademark.i-assist.jp/data/china/image_1910th/80003439.pdf","80003439")</f>
        <v>80003439</v>
      </c>
      <c r="F703" s="11" t="s">
        <v>2113</v>
      </c>
      <c r="G703" s="9" t="s">
        <v>2114</v>
      </c>
      <c r="H703" s="11" t="s">
        <v>2115</v>
      </c>
      <c r="I703" s="10">
        <v>45498</v>
      </c>
    </row>
    <row r="704" spans="1:9" x14ac:dyDescent="0.15">
      <c r="A704" s="9">
        <v>703</v>
      </c>
      <c r="B704" s="9" t="s">
        <v>9</v>
      </c>
      <c r="C704" s="9">
        <v>1910</v>
      </c>
      <c r="D704" s="10">
        <v>45602</v>
      </c>
      <c r="E704" s="13" t="str">
        <f>+HYPERLINK("http://trademark.i-assist.jp/data/china/image_1910th/80003678.pdf","80003678")</f>
        <v>80003678</v>
      </c>
      <c r="F704" s="9" t="s">
        <v>2116</v>
      </c>
      <c r="G704" s="11" t="s">
        <v>2072</v>
      </c>
      <c r="H704" s="11" t="s">
        <v>2117</v>
      </c>
      <c r="I704" s="10">
        <v>45498</v>
      </c>
    </row>
    <row r="705" spans="1:9" x14ac:dyDescent="0.15">
      <c r="A705" s="9">
        <v>704</v>
      </c>
      <c r="B705" s="9" t="s">
        <v>9</v>
      </c>
      <c r="C705" s="9">
        <v>1910</v>
      </c>
      <c r="D705" s="10">
        <v>45602</v>
      </c>
      <c r="E705" s="13" t="str">
        <f>+HYPERLINK("http://trademark.i-assist.jp/data/china/image_1910th/80004805.pdf","80004805")</f>
        <v>80004805</v>
      </c>
      <c r="F705" s="9" t="s">
        <v>2118</v>
      </c>
      <c r="G705" s="11" t="s">
        <v>2119</v>
      </c>
      <c r="H705" s="9" t="s">
        <v>2120</v>
      </c>
      <c r="I705" s="10">
        <v>45498</v>
      </c>
    </row>
    <row r="706" spans="1:9" x14ac:dyDescent="0.15">
      <c r="A706" s="9">
        <v>705</v>
      </c>
      <c r="B706" s="9" t="s">
        <v>9</v>
      </c>
      <c r="C706" s="9">
        <v>1910</v>
      </c>
      <c r="D706" s="10">
        <v>45602</v>
      </c>
      <c r="E706" s="13" t="str">
        <f>+HYPERLINK("http://trademark.i-assist.jp/data/china/image_1910th/80006591.pdf","80006591")</f>
        <v>80006591</v>
      </c>
      <c r="F706" s="9" t="s">
        <v>2121</v>
      </c>
      <c r="G706" s="11" t="s">
        <v>2072</v>
      </c>
      <c r="H706" s="9" t="s">
        <v>2122</v>
      </c>
      <c r="I706" s="10">
        <v>45498</v>
      </c>
    </row>
    <row r="707" spans="1:9" x14ac:dyDescent="0.15">
      <c r="A707" s="9">
        <v>706</v>
      </c>
      <c r="B707" s="9" t="s">
        <v>9</v>
      </c>
      <c r="C707" s="9">
        <v>1910</v>
      </c>
      <c r="D707" s="10">
        <v>45602</v>
      </c>
      <c r="E707" s="13" t="str">
        <f>+HYPERLINK("http://trademark.i-assist.jp/data/china/image_1910th/80007623.pdf","80007623")</f>
        <v>80007623</v>
      </c>
      <c r="F707" s="11" t="s">
        <v>2123</v>
      </c>
      <c r="G707" s="11" t="s">
        <v>2124</v>
      </c>
      <c r="H707" s="9" t="s">
        <v>2125</v>
      </c>
      <c r="I707" s="10">
        <v>45498</v>
      </c>
    </row>
    <row r="708" spans="1:9" x14ac:dyDescent="0.15">
      <c r="A708" s="9">
        <v>707</v>
      </c>
      <c r="B708" s="9" t="s">
        <v>9</v>
      </c>
      <c r="C708" s="9">
        <v>1910</v>
      </c>
      <c r="D708" s="10">
        <v>45602</v>
      </c>
      <c r="E708" s="13" t="str">
        <f>+HYPERLINK("http://trademark.i-assist.jp/data/china/image_1910th/80007776.pdf","80007776")</f>
        <v>80007776</v>
      </c>
      <c r="F708" s="9" t="s">
        <v>2126</v>
      </c>
      <c r="G708" s="9" t="s">
        <v>2127</v>
      </c>
      <c r="H708" s="9" t="s">
        <v>2128</v>
      </c>
      <c r="I708" s="10">
        <v>45498</v>
      </c>
    </row>
    <row r="709" spans="1:9" x14ac:dyDescent="0.15">
      <c r="A709" s="9">
        <v>708</v>
      </c>
      <c r="B709" s="9" t="s">
        <v>9</v>
      </c>
      <c r="C709" s="9">
        <v>1910</v>
      </c>
      <c r="D709" s="10">
        <v>45602</v>
      </c>
      <c r="E709" s="13" t="str">
        <f>+HYPERLINK("http://trademark.i-assist.jp/data/china/image_1910th/80007793.pdf","80007793")</f>
        <v>80007793</v>
      </c>
      <c r="F709" s="9" t="s">
        <v>2129</v>
      </c>
      <c r="G709" s="11" t="s">
        <v>2130</v>
      </c>
      <c r="H709" s="9" t="s">
        <v>2131</v>
      </c>
      <c r="I709" s="10">
        <v>45498</v>
      </c>
    </row>
    <row r="710" spans="1:9" x14ac:dyDescent="0.15">
      <c r="A710" s="9">
        <v>709</v>
      </c>
      <c r="B710" s="9" t="s">
        <v>9</v>
      </c>
      <c r="C710" s="9">
        <v>1910</v>
      </c>
      <c r="D710" s="10">
        <v>45602</v>
      </c>
      <c r="E710" s="13" t="str">
        <f>+HYPERLINK("http://trademark.i-assist.jp/data/china/image_1910th/80008201.pdf","80008201")</f>
        <v>80008201</v>
      </c>
      <c r="F710" s="11" t="s">
        <v>19</v>
      </c>
      <c r="G710" s="11" t="s">
        <v>1450</v>
      </c>
      <c r="H710" s="9" t="s">
        <v>2132</v>
      </c>
      <c r="I710" s="10">
        <v>45498</v>
      </c>
    </row>
    <row r="711" spans="1:9" x14ac:dyDescent="0.15">
      <c r="A711" s="9">
        <v>710</v>
      </c>
      <c r="B711" s="9" t="s">
        <v>9</v>
      </c>
      <c r="C711" s="9">
        <v>1910</v>
      </c>
      <c r="D711" s="10">
        <v>45602</v>
      </c>
      <c r="E711" s="13" t="str">
        <f>+HYPERLINK("http://trademark.i-assist.jp/data/china/image_1910th/80008312.pdf","80008312")</f>
        <v>80008312</v>
      </c>
      <c r="F711" s="9" t="s">
        <v>2133</v>
      </c>
      <c r="G711" s="11" t="s">
        <v>2048</v>
      </c>
      <c r="H711" s="9" t="s">
        <v>2134</v>
      </c>
      <c r="I711" s="10">
        <v>45498</v>
      </c>
    </row>
    <row r="712" spans="1:9" x14ac:dyDescent="0.15">
      <c r="A712" s="9">
        <v>711</v>
      </c>
      <c r="B712" s="9" t="s">
        <v>9</v>
      </c>
      <c r="C712" s="9">
        <v>1910</v>
      </c>
      <c r="D712" s="10">
        <v>45602</v>
      </c>
      <c r="E712" s="13" t="str">
        <f>+HYPERLINK("http://trademark.i-assist.jp/data/china/image_1910th/80009289.pdf","80009289")</f>
        <v>80009289</v>
      </c>
      <c r="F712" s="9" t="s">
        <v>2135</v>
      </c>
      <c r="G712" s="9" t="s">
        <v>2136</v>
      </c>
      <c r="H712" s="9" t="s">
        <v>2137</v>
      </c>
      <c r="I712" s="10">
        <v>45498</v>
      </c>
    </row>
    <row r="713" spans="1:9" x14ac:dyDescent="0.15">
      <c r="A713" s="9">
        <v>712</v>
      </c>
      <c r="B713" s="9" t="s">
        <v>9</v>
      </c>
      <c r="C713" s="9">
        <v>1910</v>
      </c>
      <c r="D713" s="10">
        <v>45602</v>
      </c>
      <c r="E713" s="13" t="str">
        <f>+HYPERLINK("http://trademark.i-assist.jp/data/china/image_1910th/80009475.pdf","80009475")</f>
        <v>80009475</v>
      </c>
      <c r="F713" s="9" t="s">
        <v>2138</v>
      </c>
      <c r="G713" s="11" t="s">
        <v>83</v>
      </c>
      <c r="H713" s="9" t="s">
        <v>2139</v>
      </c>
      <c r="I713" s="10">
        <v>45498</v>
      </c>
    </row>
    <row r="714" spans="1:9" x14ac:dyDescent="0.15">
      <c r="A714" s="9">
        <v>713</v>
      </c>
      <c r="B714" s="9" t="s">
        <v>9</v>
      </c>
      <c r="C714" s="9">
        <v>1910</v>
      </c>
      <c r="D714" s="10">
        <v>45602</v>
      </c>
      <c r="E714" s="13" t="str">
        <f>+HYPERLINK("http://trademark.i-assist.jp/data/china/image_1910th/80011092.pdf","80011092")</f>
        <v>80011092</v>
      </c>
      <c r="F714" s="9" t="s">
        <v>2140</v>
      </c>
      <c r="G714" s="11" t="s">
        <v>2141</v>
      </c>
      <c r="H714" s="11" t="s">
        <v>2142</v>
      </c>
      <c r="I714" s="10">
        <v>45499</v>
      </c>
    </row>
    <row r="715" spans="1:9" x14ac:dyDescent="0.15">
      <c r="A715" s="9">
        <v>714</v>
      </c>
      <c r="B715" s="9" t="s">
        <v>9</v>
      </c>
      <c r="C715" s="9">
        <v>1910</v>
      </c>
      <c r="D715" s="10">
        <v>45602</v>
      </c>
      <c r="E715" s="13" t="str">
        <f>+HYPERLINK("http://trademark.i-assist.jp/data/china/image_1910th/80011353.pdf","80011353")</f>
        <v>80011353</v>
      </c>
      <c r="F715" s="11" t="s">
        <v>2143</v>
      </c>
      <c r="G715" s="9" t="s">
        <v>2144</v>
      </c>
      <c r="H715" s="9" t="s">
        <v>2145</v>
      </c>
      <c r="I715" s="10">
        <v>45499</v>
      </c>
    </row>
    <row r="716" spans="1:9" x14ac:dyDescent="0.15">
      <c r="A716" s="9">
        <v>715</v>
      </c>
      <c r="B716" s="9" t="s">
        <v>9</v>
      </c>
      <c r="C716" s="9">
        <v>1910</v>
      </c>
      <c r="D716" s="10">
        <v>45602</v>
      </c>
      <c r="E716" s="13" t="str">
        <f>+HYPERLINK("http://trademark.i-assist.jp/data/china/image_1910th/80011561.pdf","80011561")</f>
        <v>80011561</v>
      </c>
      <c r="F716" s="11" t="s">
        <v>2146</v>
      </c>
      <c r="G716" s="9" t="s">
        <v>2147</v>
      </c>
      <c r="H716" s="11" t="s">
        <v>2148</v>
      </c>
      <c r="I716" s="10">
        <v>45499</v>
      </c>
    </row>
    <row r="717" spans="1:9" x14ac:dyDescent="0.15">
      <c r="A717" s="9">
        <v>716</v>
      </c>
      <c r="B717" s="9" t="s">
        <v>9</v>
      </c>
      <c r="C717" s="9">
        <v>1910</v>
      </c>
      <c r="D717" s="10">
        <v>45602</v>
      </c>
      <c r="E717" s="13" t="str">
        <f>+HYPERLINK("http://trademark.i-assist.jp/data/china/image_1910th/80011685.pdf","80011685")</f>
        <v>80011685</v>
      </c>
      <c r="F717" s="11" t="s">
        <v>2149</v>
      </c>
      <c r="G717" s="9" t="s">
        <v>2150</v>
      </c>
      <c r="H717" s="9" t="s">
        <v>2151</v>
      </c>
      <c r="I717" s="10">
        <v>45499</v>
      </c>
    </row>
    <row r="718" spans="1:9" x14ac:dyDescent="0.15">
      <c r="A718" s="9">
        <v>717</v>
      </c>
      <c r="B718" s="9" t="s">
        <v>9</v>
      </c>
      <c r="C718" s="9">
        <v>1910</v>
      </c>
      <c r="D718" s="10">
        <v>45602</v>
      </c>
      <c r="E718" s="13" t="str">
        <f>+HYPERLINK("http://trademark.i-assist.jp/data/china/image_1910th/80012320.pdf","80012320")</f>
        <v>80012320</v>
      </c>
      <c r="F718" s="9" t="s">
        <v>2152</v>
      </c>
      <c r="G718" s="9" t="s">
        <v>2153</v>
      </c>
      <c r="H718" s="9" t="s">
        <v>2154</v>
      </c>
      <c r="I718" s="10">
        <v>45499</v>
      </c>
    </row>
    <row r="719" spans="1:9" x14ac:dyDescent="0.15">
      <c r="A719" s="9">
        <v>718</v>
      </c>
      <c r="B719" s="9" t="s">
        <v>9</v>
      </c>
      <c r="C719" s="9">
        <v>1910</v>
      </c>
      <c r="D719" s="10">
        <v>45602</v>
      </c>
      <c r="E719" s="13" t="str">
        <f>+HYPERLINK("http://trademark.i-assist.jp/data/china/image_1910th/80012612.pdf","80012612")</f>
        <v>80012612</v>
      </c>
      <c r="F719" s="9" t="s">
        <v>2155</v>
      </c>
      <c r="G719" s="9" t="s">
        <v>2156</v>
      </c>
      <c r="H719" s="9" t="s">
        <v>2157</v>
      </c>
      <c r="I719" s="10">
        <v>45499</v>
      </c>
    </row>
    <row r="720" spans="1:9" x14ac:dyDescent="0.15">
      <c r="A720" s="9">
        <v>719</v>
      </c>
      <c r="B720" s="9" t="s">
        <v>9</v>
      </c>
      <c r="C720" s="9">
        <v>1910</v>
      </c>
      <c r="D720" s="10">
        <v>45602</v>
      </c>
      <c r="E720" s="13" t="str">
        <f>+HYPERLINK("http://trademark.i-assist.jp/data/china/image_1910th/80012803.pdf","80012803")</f>
        <v>80012803</v>
      </c>
      <c r="F720" s="9" t="s">
        <v>2158</v>
      </c>
      <c r="G720" s="9" t="s">
        <v>22</v>
      </c>
      <c r="H720" s="9" t="s">
        <v>2159</v>
      </c>
      <c r="I720" s="10">
        <v>45499</v>
      </c>
    </row>
    <row r="721" spans="1:9" x14ac:dyDescent="0.15">
      <c r="A721" s="9">
        <v>720</v>
      </c>
      <c r="B721" s="9" t="s">
        <v>9</v>
      </c>
      <c r="C721" s="9">
        <v>1910</v>
      </c>
      <c r="D721" s="10">
        <v>45602</v>
      </c>
      <c r="E721" s="13" t="str">
        <f>+HYPERLINK("http://trademark.i-assist.jp/data/china/image_1910th/80013077.pdf","80013077")</f>
        <v>80013077</v>
      </c>
      <c r="F721" s="9" t="s">
        <v>2160</v>
      </c>
      <c r="G721" s="9" t="s">
        <v>2161</v>
      </c>
      <c r="H721" s="9" t="s">
        <v>2162</v>
      </c>
      <c r="I721" s="10">
        <v>45499</v>
      </c>
    </row>
    <row r="722" spans="1:9" x14ac:dyDescent="0.15">
      <c r="A722" s="9">
        <v>721</v>
      </c>
      <c r="B722" s="9" t="s">
        <v>9</v>
      </c>
      <c r="C722" s="9">
        <v>1910</v>
      </c>
      <c r="D722" s="10">
        <v>45602</v>
      </c>
      <c r="E722" s="13" t="str">
        <f>+HYPERLINK("http://trademark.i-assist.jp/data/china/image_1910th/80013388.pdf","80013388")</f>
        <v>80013388</v>
      </c>
      <c r="F722" s="9" t="s">
        <v>2163</v>
      </c>
      <c r="G722" s="11" t="s">
        <v>2164</v>
      </c>
      <c r="H722" s="9" t="s">
        <v>2165</v>
      </c>
      <c r="I722" s="10">
        <v>45499</v>
      </c>
    </row>
    <row r="723" spans="1:9" x14ac:dyDescent="0.15">
      <c r="A723" s="9">
        <v>722</v>
      </c>
      <c r="B723" s="9" t="s">
        <v>9</v>
      </c>
      <c r="C723" s="9">
        <v>1910</v>
      </c>
      <c r="D723" s="10">
        <v>45602</v>
      </c>
      <c r="E723" s="13" t="str">
        <f>+HYPERLINK("http://trademark.i-assist.jp/data/china/image_1910th/80013451.pdf","80013451")</f>
        <v>80013451</v>
      </c>
      <c r="F723" s="9" t="s">
        <v>2166</v>
      </c>
      <c r="G723" s="9" t="s">
        <v>2167</v>
      </c>
      <c r="H723" s="11" t="s">
        <v>2168</v>
      </c>
      <c r="I723" s="10">
        <v>45499</v>
      </c>
    </row>
    <row r="724" spans="1:9" x14ac:dyDescent="0.15">
      <c r="A724" s="9">
        <v>723</v>
      </c>
      <c r="B724" s="9" t="s">
        <v>9</v>
      </c>
      <c r="C724" s="9">
        <v>1910</v>
      </c>
      <c r="D724" s="10">
        <v>45602</v>
      </c>
      <c r="E724" s="13" t="str">
        <f>+HYPERLINK("http://trademark.i-assist.jp/data/china/image_1910th/80014273.pdf","80014273")</f>
        <v>80014273</v>
      </c>
      <c r="F724" s="9" t="s">
        <v>2169</v>
      </c>
      <c r="G724" s="9" t="s">
        <v>2170</v>
      </c>
      <c r="H724" s="11" t="s">
        <v>2171</v>
      </c>
      <c r="I724" s="10">
        <v>45499</v>
      </c>
    </row>
    <row r="725" spans="1:9" x14ac:dyDescent="0.15">
      <c r="A725" s="9">
        <v>724</v>
      </c>
      <c r="B725" s="9" t="s">
        <v>9</v>
      </c>
      <c r="C725" s="9">
        <v>1910</v>
      </c>
      <c r="D725" s="10">
        <v>45602</v>
      </c>
      <c r="E725" s="13" t="str">
        <f>+HYPERLINK("http://trademark.i-assist.jp/data/china/image_1910th/80014846.pdf","80014846")</f>
        <v>80014846</v>
      </c>
      <c r="F725" s="9" t="s">
        <v>2172</v>
      </c>
      <c r="G725" s="9" t="s">
        <v>2173</v>
      </c>
      <c r="H725" s="9" t="s">
        <v>2174</v>
      </c>
      <c r="I725" s="10">
        <v>45499</v>
      </c>
    </row>
    <row r="726" spans="1:9" x14ac:dyDescent="0.15">
      <c r="A726" s="9">
        <v>725</v>
      </c>
      <c r="B726" s="9" t="s">
        <v>9</v>
      </c>
      <c r="C726" s="9">
        <v>1910</v>
      </c>
      <c r="D726" s="10">
        <v>45602</v>
      </c>
      <c r="E726" s="13" t="str">
        <f>+HYPERLINK("http://trademark.i-assist.jp/data/china/image_1910th/80015080.pdf","80015080")</f>
        <v>80015080</v>
      </c>
      <c r="F726" s="9" t="s">
        <v>2175</v>
      </c>
      <c r="G726" s="9" t="s">
        <v>2176</v>
      </c>
      <c r="H726" s="9" t="s">
        <v>2177</v>
      </c>
      <c r="I726" s="10">
        <v>45499</v>
      </c>
    </row>
    <row r="727" spans="1:9" x14ac:dyDescent="0.15">
      <c r="A727" s="9">
        <v>726</v>
      </c>
      <c r="B727" s="9" t="s">
        <v>9</v>
      </c>
      <c r="C727" s="9">
        <v>1910</v>
      </c>
      <c r="D727" s="10">
        <v>45602</v>
      </c>
      <c r="E727" s="13" t="str">
        <f>+HYPERLINK("http://trademark.i-assist.jp/data/china/image_1910th/80015194.pdf","80015194")</f>
        <v>80015194</v>
      </c>
      <c r="F727" s="9" t="s">
        <v>2178</v>
      </c>
      <c r="G727" s="11" t="s">
        <v>2179</v>
      </c>
      <c r="H727" s="9" t="s">
        <v>2180</v>
      </c>
      <c r="I727" s="10">
        <v>45499</v>
      </c>
    </row>
    <row r="728" spans="1:9" x14ac:dyDescent="0.15">
      <c r="A728" s="9">
        <v>727</v>
      </c>
      <c r="B728" s="9" t="s">
        <v>9</v>
      </c>
      <c r="C728" s="9">
        <v>1910</v>
      </c>
      <c r="D728" s="10">
        <v>45602</v>
      </c>
      <c r="E728" s="13" t="str">
        <f>+HYPERLINK("http://trademark.i-assist.jp/data/china/image_1910th/80015483.pdf","80015483")</f>
        <v>80015483</v>
      </c>
      <c r="F728" s="9" t="s">
        <v>2181</v>
      </c>
      <c r="G728" s="9" t="s">
        <v>2182</v>
      </c>
      <c r="H728" s="9" t="s">
        <v>2183</v>
      </c>
      <c r="I728" s="10">
        <v>45499</v>
      </c>
    </row>
    <row r="729" spans="1:9" x14ac:dyDescent="0.15">
      <c r="A729" s="9">
        <v>728</v>
      </c>
      <c r="B729" s="9" t="s">
        <v>9</v>
      </c>
      <c r="C729" s="9">
        <v>1910</v>
      </c>
      <c r="D729" s="10">
        <v>45602</v>
      </c>
      <c r="E729" s="13" t="str">
        <f>+HYPERLINK("http://trademark.i-assist.jp/data/china/image_1910th/80015732.pdf","80015732")</f>
        <v>80015732</v>
      </c>
      <c r="F729" s="9" t="s">
        <v>2184</v>
      </c>
      <c r="G729" s="11" t="s">
        <v>2185</v>
      </c>
      <c r="H729" s="9" t="s">
        <v>2186</v>
      </c>
      <c r="I729" s="10">
        <v>45499</v>
      </c>
    </row>
    <row r="730" spans="1:9" x14ac:dyDescent="0.15">
      <c r="A730" s="9">
        <v>729</v>
      </c>
      <c r="B730" s="9" t="s">
        <v>9</v>
      </c>
      <c r="C730" s="9">
        <v>1910</v>
      </c>
      <c r="D730" s="10">
        <v>45602</v>
      </c>
      <c r="E730" s="13" t="str">
        <f>+HYPERLINK("http://trademark.i-assist.jp/data/china/image_1910th/80015930.pdf","80015930")</f>
        <v>80015930</v>
      </c>
      <c r="F730" s="11" t="s">
        <v>2187</v>
      </c>
      <c r="G730" s="9" t="s">
        <v>2188</v>
      </c>
      <c r="H730" s="9" t="s">
        <v>2189</v>
      </c>
      <c r="I730" s="10">
        <v>45499</v>
      </c>
    </row>
    <row r="731" spans="1:9" x14ac:dyDescent="0.15">
      <c r="A731" s="9">
        <v>730</v>
      </c>
      <c r="B731" s="9" t="s">
        <v>9</v>
      </c>
      <c r="C731" s="9">
        <v>1910</v>
      </c>
      <c r="D731" s="10">
        <v>45602</v>
      </c>
      <c r="E731" s="13" t="str">
        <f>+HYPERLINK("http://trademark.i-assist.jp/data/china/image_1910th/80016154.pdf","80016154")</f>
        <v>80016154</v>
      </c>
      <c r="F731" s="9" t="s">
        <v>2190</v>
      </c>
      <c r="G731" s="9" t="s">
        <v>2191</v>
      </c>
      <c r="H731" s="9" t="s">
        <v>2192</v>
      </c>
      <c r="I731" s="10">
        <v>45499</v>
      </c>
    </row>
    <row r="732" spans="1:9" x14ac:dyDescent="0.15">
      <c r="A732" s="9">
        <v>731</v>
      </c>
      <c r="B732" s="9" t="s">
        <v>9</v>
      </c>
      <c r="C732" s="9">
        <v>1910</v>
      </c>
      <c r="D732" s="10">
        <v>45602</v>
      </c>
      <c r="E732" s="13" t="str">
        <f>+HYPERLINK("http://trademark.i-assist.jp/data/china/image_1910th/80016520.pdf","80016520")</f>
        <v>80016520</v>
      </c>
      <c r="F732" s="9" t="s">
        <v>2193</v>
      </c>
      <c r="G732" s="9" t="s">
        <v>95</v>
      </c>
      <c r="H732" s="9" t="s">
        <v>2194</v>
      </c>
      <c r="I732" s="10">
        <v>45499</v>
      </c>
    </row>
    <row r="733" spans="1:9" x14ac:dyDescent="0.15">
      <c r="A733" s="9">
        <v>732</v>
      </c>
      <c r="B733" s="9" t="s">
        <v>9</v>
      </c>
      <c r="C733" s="9">
        <v>1910</v>
      </c>
      <c r="D733" s="10">
        <v>45602</v>
      </c>
      <c r="E733" s="13" t="str">
        <f>+HYPERLINK("http://trademark.i-assist.jp/data/china/image_1910th/80016876.pdf","80016876")</f>
        <v>80016876</v>
      </c>
      <c r="F733" s="11" t="s">
        <v>2195</v>
      </c>
      <c r="G733" s="9" t="s">
        <v>51</v>
      </c>
      <c r="H733" s="9" t="s">
        <v>2196</v>
      </c>
      <c r="I733" s="10">
        <v>45499</v>
      </c>
    </row>
    <row r="734" spans="1:9" x14ac:dyDescent="0.15">
      <c r="A734" s="9">
        <v>733</v>
      </c>
      <c r="B734" s="9" t="s">
        <v>9</v>
      </c>
      <c r="C734" s="9">
        <v>1910</v>
      </c>
      <c r="D734" s="10">
        <v>45602</v>
      </c>
      <c r="E734" s="13" t="str">
        <f>+HYPERLINK("http://trademark.i-assist.jp/data/china/image_1910th/80016911.pdf","80016911")</f>
        <v>80016911</v>
      </c>
      <c r="F734" s="11" t="s">
        <v>19</v>
      </c>
      <c r="G734" s="9" t="s">
        <v>2197</v>
      </c>
      <c r="H734" s="11" t="s">
        <v>2198</v>
      </c>
      <c r="I734" s="10">
        <v>45499</v>
      </c>
    </row>
    <row r="735" spans="1:9" x14ac:dyDescent="0.15">
      <c r="A735" s="9">
        <v>734</v>
      </c>
      <c r="B735" s="9" t="s">
        <v>9</v>
      </c>
      <c r="C735" s="9">
        <v>1910</v>
      </c>
      <c r="D735" s="10">
        <v>45602</v>
      </c>
      <c r="E735" s="13" t="str">
        <f>+HYPERLINK("http://trademark.i-assist.jp/data/china/image_1910th/80017172.pdf","80017172")</f>
        <v>80017172</v>
      </c>
      <c r="F735" s="9" t="s">
        <v>2199</v>
      </c>
      <c r="G735" s="9" t="s">
        <v>2200</v>
      </c>
      <c r="H735" s="9" t="s">
        <v>2201</v>
      </c>
      <c r="I735" s="10">
        <v>45499</v>
      </c>
    </row>
    <row r="736" spans="1:9" x14ac:dyDescent="0.15">
      <c r="A736" s="9">
        <v>735</v>
      </c>
      <c r="B736" s="9" t="s">
        <v>9</v>
      </c>
      <c r="C736" s="9">
        <v>1910</v>
      </c>
      <c r="D736" s="10">
        <v>45602</v>
      </c>
      <c r="E736" s="13" t="str">
        <f>+HYPERLINK("http://trademark.i-assist.jp/data/china/image_1910th/80017183.pdf","80017183")</f>
        <v>80017183</v>
      </c>
      <c r="F736" s="9" t="s">
        <v>2202</v>
      </c>
      <c r="G736" s="9" t="s">
        <v>2200</v>
      </c>
      <c r="H736" s="9" t="s">
        <v>2203</v>
      </c>
      <c r="I736" s="10">
        <v>45499</v>
      </c>
    </row>
    <row r="737" spans="1:9" x14ac:dyDescent="0.15">
      <c r="A737" s="9">
        <v>736</v>
      </c>
      <c r="B737" s="9" t="s">
        <v>9</v>
      </c>
      <c r="C737" s="9">
        <v>1910</v>
      </c>
      <c r="D737" s="10">
        <v>45602</v>
      </c>
      <c r="E737" s="13" t="str">
        <f>+HYPERLINK("http://trademark.i-assist.jp/data/china/image_1910th/80017382.pdf","80017382")</f>
        <v>80017382</v>
      </c>
      <c r="F737" s="9" t="s">
        <v>2204</v>
      </c>
      <c r="G737" s="9" t="s">
        <v>2205</v>
      </c>
      <c r="H737" s="9" t="s">
        <v>2206</v>
      </c>
      <c r="I737" s="10">
        <v>45499</v>
      </c>
    </row>
    <row r="738" spans="1:9" x14ac:dyDescent="0.15">
      <c r="A738" s="9">
        <v>737</v>
      </c>
      <c r="B738" s="9" t="s">
        <v>9</v>
      </c>
      <c r="C738" s="9">
        <v>1910</v>
      </c>
      <c r="D738" s="10">
        <v>45602</v>
      </c>
      <c r="E738" s="13" t="str">
        <f>+HYPERLINK("http://trademark.i-assist.jp/data/china/image_1910th/80017413.pdf","80017413")</f>
        <v>80017413</v>
      </c>
      <c r="F738" s="11" t="s">
        <v>2207</v>
      </c>
      <c r="G738" s="9" t="s">
        <v>2208</v>
      </c>
      <c r="H738" s="9" t="s">
        <v>2209</v>
      </c>
      <c r="I738" s="10">
        <v>45499</v>
      </c>
    </row>
    <row r="739" spans="1:9" x14ac:dyDescent="0.15">
      <c r="A739" s="9">
        <v>738</v>
      </c>
      <c r="B739" s="9" t="s">
        <v>9</v>
      </c>
      <c r="C739" s="9">
        <v>1910</v>
      </c>
      <c r="D739" s="10">
        <v>45602</v>
      </c>
      <c r="E739" s="13" t="str">
        <f>+HYPERLINK("http://trademark.i-assist.jp/data/china/image_1910th/80017463.pdf","80017463")</f>
        <v>80017463</v>
      </c>
      <c r="F739" s="9" t="s">
        <v>2210</v>
      </c>
      <c r="G739" s="9" t="s">
        <v>2211</v>
      </c>
      <c r="H739" s="9" t="s">
        <v>2212</v>
      </c>
      <c r="I739" s="10">
        <v>45499</v>
      </c>
    </row>
    <row r="740" spans="1:9" x14ac:dyDescent="0.15">
      <c r="A740" s="9">
        <v>739</v>
      </c>
      <c r="B740" s="9" t="s">
        <v>9</v>
      </c>
      <c r="C740" s="9">
        <v>1910</v>
      </c>
      <c r="D740" s="10">
        <v>45602</v>
      </c>
      <c r="E740" s="13" t="str">
        <f>+HYPERLINK("http://trademark.i-assist.jp/data/china/image_1910th/80017763.pdf","80017763")</f>
        <v>80017763</v>
      </c>
      <c r="F740" s="9" t="s">
        <v>2213</v>
      </c>
      <c r="G740" s="11" t="s">
        <v>2214</v>
      </c>
      <c r="H740" s="9" t="s">
        <v>2215</v>
      </c>
      <c r="I740" s="10">
        <v>45499</v>
      </c>
    </row>
    <row r="741" spans="1:9" x14ac:dyDescent="0.15">
      <c r="A741" s="9">
        <v>740</v>
      </c>
      <c r="B741" s="9" t="s">
        <v>9</v>
      </c>
      <c r="C741" s="9">
        <v>1910</v>
      </c>
      <c r="D741" s="10">
        <v>45602</v>
      </c>
      <c r="E741" s="13" t="str">
        <f>+HYPERLINK("http://trademark.i-assist.jp/data/china/image_1910th/80017774.pdf","80017774")</f>
        <v>80017774</v>
      </c>
      <c r="F741" s="9" t="s">
        <v>2216</v>
      </c>
      <c r="G741" s="11" t="s">
        <v>2217</v>
      </c>
      <c r="H741" s="9" t="s">
        <v>2218</v>
      </c>
      <c r="I741" s="10">
        <v>45499</v>
      </c>
    </row>
    <row r="742" spans="1:9" x14ac:dyDescent="0.15">
      <c r="A742" s="9">
        <v>741</v>
      </c>
      <c r="B742" s="9" t="s">
        <v>9</v>
      </c>
      <c r="C742" s="9">
        <v>1910</v>
      </c>
      <c r="D742" s="10">
        <v>45602</v>
      </c>
      <c r="E742" s="13" t="str">
        <f>+HYPERLINK("http://trademark.i-assist.jp/data/china/image_1910th/80017779.pdf","80017779")</f>
        <v>80017779</v>
      </c>
      <c r="F742" s="9" t="s">
        <v>2219</v>
      </c>
      <c r="G742" s="9" t="s">
        <v>2220</v>
      </c>
      <c r="H742" s="9" t="s">
        <v>2221</v>
      </c>
      <c r="I742" s="10">
        <v>45499</v>
      </c>
    </row>
    <row r="743" spans="1:9" x14ac:dyDescent="0.15">
      <c r="A743" s="9">
        <v>742</v>
      </c>
      <c r="B743" s="9" t="s">
        <v>9</v>
      </c>
      <c r="C743" s="9">
        <v>1910</v>
      </c>
      <c r="D743" s="10">
        <v>45602</v>
      </c>
      <c r="E743" s="13" t="str">
        <f>+HYPERLINK("http://trademark.i-assist.jp/data/china/image_1910th/80018167.pdf","80018167")</f>
        <v>80018167</v>
      </c>
      <c r="F743" s="9" t="s">
        <v>2222</v>
      </c>
      <c r="G743" s="9" t="s">
        <v>2223</v>
      </c>
      <c r="H743" s="9" t="s">
        <v>2224</v>
      </c>
      <c r="I743" s="10">
        <v>45499</v>
      </c>
    </row>
    <row r="744" spans="1:9" x14ac:dyDescent="0.15">
      <c r="A744" s="9">
        <v>743</v>
      </c>
      <c r="B744" s="9" t="s">
        <v>9</v>
      </c>
      <c r="C744" s="9">
        <v>1910</v>
      </c>
      <c r="D744" s="10">
        <v>45602</v>
      </c>
      <c r="E744" s="13" t="str">
        <f>+HYPERLINK("http://trademark.i-assist.jp/data/china/image_1910th/80018319.pdf","80018319")</f>
        <v>80018319</v>
      </c>
      <c r="F744" s="9" t="s">
        <v>2225</v>
      </c>
      <c r="G744" s="11" t="s">
        <v>2226</v>
      </c>
      <c r="H744" s="11" t="s">
        <v>2227</v>
      </c>
      <c r="I744" s="10">
        <v>45499</v>
      </c>
    </row>
    <row r="745" spans="1:9" x14ac:dyDescent="0.15">
      <c r="A745" s="9">
        <v>744</v>
      </c>
      <c r="B745" s="9" t="s">
        <v>9</v>
      </c>
      <c r="C745" s="9">
        <v>1910</v>
      </c>
      <c r="D745" s="10">
        <v>45602</v>
      </c>
      <c r="E745" s="13" t="str">
        <f>+HYPERLINK("http://trademark.i-assist.jp/data/china/image_1910th/80018594.pdf","80018594")</f>
        <v>80018594</v>
      </c>
      <c r="F745" s="11" t="s">
        <v>2228</v>
      </c>
      <c r="G745" s="11" t="s">
        <v>109</v>
      </c>
      <c r="H745" s="9" t="s">
        <v>2229</v>
      </c>
      <c r="I745" s="10">
        <v>45499</v>
      </c>
    </row>
    <row r="746" spans="1:9" x14ac:dyDescent="0.15">
      <c r="A746" s="9">
        <v>745</v>
      </c>
      <c r="B746" s="9" t="s">
        <v>9</v>
      </c>
      <c r="C746" s="9">
        <v>1910</v>
      </c>
      <c r="D746" s="10">
        <v>45602</v>
      </c>
      <c r="E746" s="13" t="str">
        <f>+HYPERLINK("http://trademark.i-assist.jp/data/china/image_1910th/80018813.pdf","80018813")</f>
        <v>80018813</v>
      </c>
      <c r="F746" s="11" t="s">
        <v>2230</v>
      </c>
      <c r="G746" s="11" t="s">
        <v>2231</v>
      </c>
      <c r="H746" s="9" t="s">
        <v>2232</v>
      </c>
      <c r="I746" s="10">
        <v>45499</v>
      </c>
    </row>
    <row r="747" spans="1:9" x14ac:dyDescent="0.15">
      <c r="A747" s="9">
        <v>746</v>
      </c>
      <c r="B747" s="9" t="s">
        <v>9</v>
      </c>
      <c r="C747" s="9">
        <v>1910</v>
      </c>
      <c r="D747" s="10">
        <v>45602</v>
      </c>
      <c r="E747" s="13" t="str">
        <f>+HYPERLINK("http://trademark.i-assist.jp/data/china/image_1910th/80018856.pdf","80018856")</f>
        <v>80018856</v>
      </c>
      <c r="F747" s="9" t="s">
        <v>2233</v>
      </c>
      <c r="G747" s="9" t="s">
        <v>2234</v>
      </c>
      <c r="H747" s="9" t="s">
        <v>2235</v>
      </c>
      <c r="I747" s="10">
        <v>45499</v>
      </c>
    </row>
    <row r="748" spans="1:9" x14ac:dyDescent="0.15">
      <c r="A748" s="9">
        <v>747</v>
      </c>
      <c r="B748" s="9" t="s">
        <v>9</v>
      </c>
      <c r="C748" s="9">
        <v>1910</v>
      </c>
      <c r="D748" s="10">
        <v>45602</v>
      </c>
      <c r="E748" s="13" t="str">
        <f>+HYPERLINK("http://trademark.i-assist.jp/data/china/image_1910th/80019080.pdf","80019080")</f>
        <v>80019080</v>
      </c>
      <c r="F748" s="11" t="s">
        <v>2236</v>
      </c>
      <c r="G748" s="9" t="s">
        <v>2237</v>
      </c>
      <c r="H748" s="9" t="s">
        <v>2238</v>
      </c>
      <c r="I748" s="10">
        <v>45499</v>
      </c>
    </row>
    <row r="749" spans="1:9" x14ac:dyDescent="0.15">
      <c r="A749" s="9">
        <v>748</v>
      </c>
      <c r="B749" s="9" t="s">
        <v>9</v>
      </c>
      <c r="C749" s="9">
        <v>1910</v>
      </c>
      <c r="D749" s="10">
        <v>45602</v>
      </c>
      <c r="E749" s="13" t="str">
        <f>+HYPERLINK("http://trademark.i-assist.jp/data/china/image_1910th/80019147.pdf","80019147")</f>
        <v>80019147</v>
      </c>
      <c r="F749" s="11" t="s">
        <v>2239</v>
      </c>
      <c r="G749" s="9" t="s">
        <v>2240</v>
      </c>
      <c r="H749" s="9" t="s">
        <v>2241</v>
      </c>
      <c r="I749" s="10">
        <v>45499</v>
      </c>
    </row>
    <row r="750" spans="1:9" x14ac:dyDescent="0.15">
      <c r="A750" s="9">
        <v>749</v>
      </c>
      <c r="B750" s="9" t="s">
        <v>9</v>
      </c>
      <c r="C750" s="9">
        <v>1910</v>
      </c>
      <c r="D750" s="10">
        <v>45602</v>
      </c>
      <c r="E750" s="13" t="str">
        <f>+HYPERLINK("http://trademark.i-assist.jp/data/china/image_1910th/80019339.pdf","80019339")</f>
        <v>80019339</v>
      </c>
      <c r="F750" s="9" t="s">
        <v>2242</v>
      </c>
      <c r="G750" s="9" t="s">
        <v>89</v>
      </c>
      <c r="H750" s="9" t="s">
        <v>2243</v>
      </c>
      <c r="I750" s="10">
        <v>45499</v>
      </c>
    </row>
    <row r="751" spans="1:9" x14ac:dyDescent="0.15">
      <c r="A751" s="9">
        <v>750</v>
      </c>
      <c r="B751" s="9" t="s">
        <v>9</v>
      </c>
      <c r="C751" s="9">
        <v>1910</v>
      </c>
      <c r="D751" s="10">
        <v>45602</v>
      </c>
      <c r="E751" s="13" t="str">
        <f>+HYPERLINK("http://trademark.i-assist.jp/data/china/image_1910th/80019652.pdf","80019652")</f>
        <v>80019652</v>
      </c>
      <c r="F751" s="9" t="s">
        <v>2244</v>
      </c>
      <c r="G751" s="9" t="s">
        <v>2245</v>
      </c>
      <c r="H751" s="9" t="s">
        <v>2246</v>
      </c>
      <c r="I751" s="10">
        <v>45499</v>
      </c>
    </row>
    <row r="752" spans="1:9" x14ac:dyDescent="0.15">
      <c r="A752" s="9">
        <v>751</v>
      </c>
      <c r="B752" s="9" t="s">
        <v>9</v>
      </c>
      <c r="C752" s="9">
        <v>1910</v>
      </c>
      <c r="D752" s="10">
        <v>45602</v>
      </c>
      <c r="E752" s="13" t="str">
        <f>+HYPERLINK("http://trademark.i-assist.jp/data/china/image_1910th/80020320.pdf","80020320")</f>
        <v>80020320</v>
      </c>
      <c r="F752" s="9" t="s">
        <v>2247</v>
      </c>
      <c r="G752" s="9" t="s">
        <v>2248</v>
      </c>
      <c r="H752" s="9" t="s">
        <v>2249</v>
      </c>
      <c r="I752" s="10">
        <v>45499</v>
      </c>
    </row>
    <row r="753" spans="1:9" x14ac:dyDescent="0.15">
      <c r="A753" s="9">
        <v>752</v>
      </c>
      <c r="B753" s="9" t="s">
        <v>9</v>
      </c>
      <c r="C753" s="9">
        <v>1910</v>
      </c>
      <c r="D753" s="10">
        <v>45602</v>
      </c>
      <c r="E753" s="13" t="str">
        <f>+HYPERLINK("http://trademark.i-assist.jp/data/china/image_1910th/80021418.pdf","80021418")</f>
        <v>80021418</v>
      </c>
      <c r="F753" s="9" t="s">
        <v>2250</v>
      </c>
      <c r="G753" s="9" t="s">
        <v>2251</v>
      </c>
      <c r="H753" s="9" t="s">
        <v>2252</v>
      </c>
      <c r="I753" s="10">
        <v>45499</v>
      </c>
    </row>
    <row r="754" spans="1:9" x14ac:dyDescent="0.15">
      <c r="A754" s="9">
        <v>753</v>
      </c>
      <c r="B754" s="9" t="s">
        <v>9</v>
      </c>
      <c r="C754" s="9">
        <v>1910</v>
      </c>
      <c r="D754" s="10">
        <v>45602</v>
      </c>
      <c r="E754" s="13" t="str">
        <f>+HYPERLINK("http://trademark.i-assist.jp/data/china/image_1910th/80021639.pdf","80021639")</f>
        <v>80021639</v>
      </c>
      <c r="F754" s="9" t="s">
        <v>2253</v>
      </c>
      <c r="G754" s="11" t="s">
        <v>2254</v>
      </c>
      <c r="H754" s="9" t="s">
        <v>2255</v>
      </c>
      <c r="I754" s="10">
        <v>45499</v>
      </c>
    </row>
    <row r="755" spans="1:9" x14ac:dyDescent="0.15">
      <c r="A755" s="9">
        <v>754</v>
      </c>
      <c r="B755" s="9" t="s">
        <v>9</v>
      </c>
      <c r="C755" s="9">
        <v>1910</v>
      </c>
      <c r="D755" s="10">
        <v>45602</v>
      </c>
      <c r="E755" s="13" t="str">
        <f>+HYPERLINK("http://trademark.i-assist.jp/data/china/image_1910th/80021668.pdf","80021668")</f>
        <v>80021668</v>
      </c>
      <c r="F755" s="9" t="s">
        <v>2256</v>
      </c>
      <c r="G755" s="9" t="s">
        <v>2257</v>
      </c>
      <c r="H755" s="9" t="s">
        <v>2258</v>
      </c>
      <c r="I755" s="10">
        <v>45499</v>
      </c>
    </row>
    <row r="756" spans="1:9" x14ac:dyDescent="0.15">
      <c r="A756" s="9">
        <v>755</v>
      </c>
      <c r="B756" s="9" t="s">
        <v>9</v>
      </c>
      <c r="C756" s="9">
        <v>1910</v>
      </c>
      <c r="D756" s="10">
        <v>45602</v>
      </c>
      <c r="E756" s="13" t="str">
        <f>+HYPERLINK("http://trademark.i-assist.jp/data/china/image_1910th/80021745.pdf","80021745")</f>
        <v>80021745</v>
      </c>
      <c r="F756" s="11" t="s">
        <v>2259</v>
      </c>
      <c r="G756" s="9" t="s">
        <v>2260</v>
      </c>
      <c r="H756" s="9" t="s">
        <v>2261</v>
      </c>
      <c r="I756" s="10">
        <v>45499</v>
      </c>
    </row>
    <row r="757" spans="1:9" x14ac:dyDescent="0.15">
      <c r="A757" s="9">
        <v>756</v>
      </c>
      <c r="B757" s="9" t="s">
        <v>9</v>
      </c>
      <c r="C757" s="9">
        <v>1910</v>
      </c>
      <c r="D757" s="10">
        <v>45602</v>
      </c>
      <c r="E757" s="13" t="str">
        <f>+HYPERLINK("http://trademark.i-assist.jp/data/china/image_1910th/80021789.pdf","80021789")</f>
        <v>80021789</v>
      </c>
      <c r="F757" s="9" t="s">
        <v>2262</v>
      </c>
      <c r="G757" s="9" t="s">
        <v>2263</v>
      </c>
      <c r="H757" s="9" t="s">
        <v>2264</v>
      </c>
      <c r="I757" s="10">
        <v>45500</v>
      </c>
    </row>
    <row r="758" spans="1:9" x14ac:dyDescent="0.15">
      <c r="A758" s="9">
        <v>757</v>
      </c>
      <c r="B758" s="9" t="s">
        <v>9</v>
      </c>
      <c r="C758" s="9">
        <v>1910</v>
      </c>
      <c r="D758" s="10">
        <v>45602</v>
      </c>
      <c r="E758" s="13" t="str">
        <f>+HYPERLINK("http://trademark.i-assist.jp/data/china/image_1910th/80021909.pdf","80021909")</f>
        <v>80021909</v>
      </c>
      <c r="F758" s="9" t="s">
        <v>2265</v>
      </c>
      <c r="G758" s="9" t="s">
        <v>2266</v>
      </c>
      <c r="H758" s="9" t="s">
        <v>2267</v>
      </c>
      <c r="I758" s="10">
        <v>45499</v>
      </c>
    </row>
    <row r="759" spans="1:9" x14ac:dyDescent="0.15">
      <c r="A759" s="9">
        <v>758</v>
      </c>
      <c r="B759" s="9" t="s">
        <v>9</v>
      </c>
      <c r="C759" s="9">
        <v>1910</v>
      </c>
      <c r="D759" s="10">
        <v>45602</v>
      </c>
      <c r="E759" s="13" t="str">
        <f>+HYPERLINK("http://trademark.i-assist.jp/data/china/image_1910th/80021978.pdf","80021978")</f>
        <v>80021978</v>
      </c>
      <c r="F759" s="9" t="s">
        <v>2268</v>
      </c>
      <c r="G759" s="9" t="s">
        <v>22</v>
      </c>
      <c r="H759" s="9" t="s">
        <v>2269</v>
      </c>
      <c r="I759" s="10">
        <v>45499</v>
      </c>
    </row>
    <row r="760" spans="1:9" x14ac:dyDescent="0.15">
      <c r="A760" s="9">
        <v>759</v>
      </c>
      <c r="B760" s="9" t="s">
        <v>9</v>
      </c>
      <c r="C760" s="9">
        <v>1910</v>
      </c>
      <c r="D760" s="10">
        <v>45602</v>
      </c>
      <c r="E760" s="13" t="str">
        <f>+HYPERLINK("http://trademark.i-assist.jp/data/china/image_1910th/80022070.pdf","80022070")</f>
        <v>80022070</v>
      </c>
      <c r="F760" s="9" t="s">
        <v>2270</v>
      </c>
      <c r="G760" s="9" t="s">
        <v>89</v>
      </c>
      <c r="H760" s="11" t="s">
        <v>2271</v>
      </c>
      <c r="I760" s="10">
        <v>45499</v>
      </c>
    </row>
    <row r="761" spans="1:9" x14ac:dyDescent="0.15">
      <c r="A761" s="9">
        <v>760</v>
      </c>
      <c r="B761" s="9" t="s">
        <v>9</v>
      </c>
      <c r="C761" s="9">
        <v>1910</v>
      </c>
      <c r="D761" s="10">
        <v>45602</v>
      </c>
      <c r="E761" s="13" t="str">
        <f>+HYPERLINK("http://trademark.i-assist.jp/data/china/image_1910th/80022160.pdf","80022160")</f>
        <v>80022160</v>
      </c>
      <c r="F761" s="9" t="s">
        <v>2272</v>
      </c>
      <c r="G761" s="11" t="s">
        <v>2273</v>
      </c>
      <c r="H761" s="9" t="s">
        <v>2274</v>
      </c>
      <c r="I761" s="10">
        <v>45499</v>
      </c>
    </row>
    <row r="762" spans="1:9" x14ac:dyDescent="0.15">
      <c r="A762" s="9">
        <v>761</v>
      </c>
      <c r="B762" s="9" t="s">
        <v>9</v>
      </c>
      <c r="C762" s="9">
        <v>1910</v>
      </c>
      <c r="D762" s="10">
        <v>45602</v>
      </c>
      <c r="E762" s="13" t="str">
        <f>+HYPERLINK("http://trademark.i-assist.jp/data/china/image_1910th/80022771.pdf","80022771")</f>
        <v>80022771</v>
      </c>
      <c r="F762" s="9" t="s">
        <v>2275</v>
      </c>
      <c r="G762" s="11" t="s">
        <v>2226</v>
      </c>
      <c r="H762" s="9" t="s">
        <v>2276</v>
      </c>
      <c r="I762" s="10">
        <v>45499</v>
      </c>
    </row>
    <row r="763" spans="1:9" x14ac:dyDescent="0.15">
      <c r="A763" s="9">
        <v>762</v>
      </c>
      <c r="B763" s="9" t="s">
        <v>9</v>
      </c>
      <c r="C763" s="9">
        <v>1910</v>
      </c>
      <c r="D763" s="10">
        <v>45602</v>
      </c>
      <c r="E763" s="13" t="str">
        <f>+HYPERLINK("http://trademark.i-assist.jp/data/china/image_1910th/80022909.pdf","80022909")</f>
        <v>80022909</v>
      </c>
      <c r="F763" s="9" t="s">
        <v>2277</v>
      </c>
      <c r="G763" s="9" t="s">
        <v>2278</v>
      </c>
      <c r="H763" s="9" t="s">
        <v>2279</v>
      </c>
      <c r="I763" s="10">
        <v>45499</v>
      </c>
    </row>
    <row r="764" spans="1:9" x14ac:dyDescent="0.15">
      <c r="A764" s="9">
        <v>763</v>
      </c>
      <c r="B764" s="9" t="s">
        <v>9</v>
      </c>
      <c r="C764" s="9">
        <v>1910</v>
      </c>
      <c r="D764" s="10">
        <v>45602</v>
      </c>
      <c r="E764" s="13" t="str">
        <f>+HYPERLINK("http://trademark.i-assist.jp/data/china/image_1910th/80023080.pdf","80023080")</f>
        <v>80023080</v>
      </c>
      <c r="F764" s="11" t="s">
        <v>19</v>
      </c>
      <c r="G764" s="9" t="s">
        <v>2280</v>
      </c>
      <c r="H764" s="9" t="s">
        <v>2281</v>
      </c>
      <c r="I764" s="10">
        <v>45499</v>
      </c>
    </row>
    <row r="765" spans="1:9" x14ac:dyDescent="0.15">
      <c r="A765" s="9">
        <v>764</v>
      </c>
      <c r="B765" s="9" t="s">
        <v>9</v>
      </c>
      <c r="C765" s="9">
        <v>1910</v>
      </c>
      <c r="D765" s="10">
        <v>45602</v>
      </c>
      <c r="E765" s="13" t="str">
        <f>+HYPERLINK("http://trademark.i-assist.jp/data/china/image_1910th/80023743.pdf","80023743")</f>
        <v>80023743</v>
      </c>
      <c r="F765" s="9" t="s">
        <v>2282</v>
      </c>
      <c r="G765" s="9" t="s">
        <v>2283</v>
      </c>
      <c r="H765" s="9" t="s">
        <v>2284</v>
      </c>
      <c r="I765" s="10">
        <v>45499</v>
      </c>
    </row>
    <row r="766" spans="1:9" x14ac:dyDescent="0.15">
      <c r="A766" s="9">
        <v>765</v>
      </c>
      <c r="B766" s="9" t="s">
        <v>9</v>
      </c>
      <c r="C766" s="9">
        <v>1910</v>
      </c>
      <c r="D766" s="10">
        <v>45602</v>
      </c>
      <c r="E766" s="13" t="str">
        <f>+HYPERLINK("http://trademark.i-assist.jp/data/china/image_1910th/80023768.pdf","80023768")</f>
        <v>80023768</v>
      </c>
      <c r="F766" s="11" t="s">
        <v>2285</v>
      </c>
      <c r="G766" s="9" t="s">
        <v>2286</v>
      </c>
      <c r="H766" s="9" t="s">
        <v>2287</v>
      </c>
      <c r="I766" s="10">
        <v>45499</v>
      </c>
    </row>
    <row r="767" spans="1:9" x14ac:dyDescent="0.15">
      <c r="A767" s="9">
        <v>766</v>
      </c>
      <c r="B767" s="9" t="s">
        <v>9</v>
      </c>
      <c r="C767" s="9">
        <v>1910</v>
      </c>
      <c r="D767" s="10">
        <v>45602</v>
      </c>
      <c r="E767" s="13" t="str">
        <f>+HYPERLINK("http://trademark.i-assist.jp/data/china/image_1910th/80023849.pdf","80023849")</f>
        <v>80023849</v>
      </c>
      <c r="F767" s="9" t="s">
        <v>2288</v>
      </c>
      <c r="G767" s="9" t="s">
        <v>2266</v>
      </c>
      <c r="H767" s="11" t="s">
        <v>2289</v>
      </c>
      <c r="I767" s="10">
        <v>45499</v>
      </c>
    </row>
    <row r="768" spans="1:9" x14ac:dyDescent="0.15">
      <c r="A768" s="9">
        <v>767</v>
      </c>
      <c r="B768" s="9" t="s">
        <v>9</v>
      </c>
      <c r="C768" s="9">
        <v>1910</v>
      </c>
      <c r="D768" s="10">
        <v>45602</v>
      </c>
      <c r="E768" s="13" t="str">
        <f>+HYPERLINK("http://trademark.i-assist.jp/data/china/image_1910th/80023869.pdf","80023869")</f>
        <v>80023869</v>
      </c>
      <c r="F768" s="9" t="s">
        <v>2290</v>
      </c>
      <c r="G768" s="11" t="s">
        <v>2291</v>
      </c>
      <c r="H768" s="9" t="s">
        <v>2292</v>
      </c>
      <c r="I768" s="10">
        <v>45499</v>
      </c>
    </row>
    <row r="769" spans="1:9" x14ac:dyDescent="0.15">
      <c r="A769" s="9">
        <v>768</v>
      </c>
      <c r="B769" s="9" t="s">
        <v>9</v>
      </c>
      <c r="C769" s="9">
        <v>1910</v>
      </c>
      <c r="D769" s="10">
        <v>45602</v>
      </c>
      <c r="E769" s="13" t="str">
        <f>+HYPERLINK("http://trademark.i-assist.jp/data/china/image_1910th/80023898.pdf","80023898")</f>
        <v>80023898</v>
      </c>
      <c r="F769" s="11" t="s">
        <v>2293</v>
      </c>
      <c r="G769" s="9" t="s">
        <v>2294</v>
      </c>
      <c r="H769" s="9" t="s">
        <v>2295</v>
      </c>
      <c r="I769" s="10">
        <v>45499</v>
      </c>
    </row>
    <row r="770" spans="1:9" x14ac:dyDescent="0.15">
      <c r="A770" s="9">
        <v>769</v>
      </c>
      <c r="B770" s="9" t="s">
        <v>9</v>
      </c>
      <c r="C770" s="9">
        <v>1910</v>
      </c>
      <c r="D770" s="10">
        <v>45602</v>
      </c>
      <c r="E770" s="13" t="str">
        <f>+HYPERLINK("http://trademark.i-assist.jp/data/china/image_1910th/80024701.pdf","80024701")</f>
        <v>80024701</v>
      </c>
      <c r="F770" s="9" t="s">
        <v>2296</v>
      </c>
      <c r="G770" s="11" t="s">
        <v>2297</v>
      </c>
      <c r="H770" s="9" t="s">
        <v>2298</v>
      </c>
      <c r="I770" s="10">
        <v>45499</v>
      </c>
    </row>
    <row r="771" spans="1:9" x14ac:dyDescent="0.15">
      <c r="A771" s="9">
        <v>770</v>
      </c>
      <c r="B771" s="9" t="s">
        <v>9</v>
      </c>
      <c r="C771" s="9">
        <v>1910</v>
      </c>
      <c r="D771" s="10">
        <v>45602</v>
      </c>
      <c r="E771" s="13" t="str">
        <f>+HYPERLINK("http://trademark.i-assist.jp/data/china/image_1910th/80025464.pdf","80025464")</f>
        <v>80025464</v>
      </c>
      <c r="F771" s="9" t="s">
        <v>2299</v>
      </c>
      <c r="G771" s="9" t="s">
        <v>111</v>
      </c>
      <c r="H771" s="9" t="s">
        <v>2300</v>
      </c>
      <c r="I771" s="10">
        <v>45499</v>
      </c>
    </row>
    <row r="772" spans="1:9" x14ac:dyDescent="0.15">
      <c r="A772" s="9">
        <v>771</v>
      </c>
      <c r="B772" s="9" t="s">
        <v>9</v>
      </c>
      <c r="C772" s="9">
        <v>1910</v>
      </c>
      <c r="D772" s="10">
        <v>45602</v>
      </c>
      <c r="E772" s="13" t="str">
        <f>+HYPERLINK("http://trademark.i-assist.jp/data/china/image_1910th/80025532.pdf","80025532")</f>
        <v>80025532</v>
      </c>
      <c r="F772" s="11" t="s">
        <v>19</v>
      </c>
      <c r="G772" s="9" t="s">
        <v>2301</v>
      </c>
      <c r="H772" s="9" t="s">
        <v>2302</v>
      </c>
      <c r="I772" s="10">
        <v>45499</v>
      </c>
    </row>
    <row r="773" spans="1:9" x14ac:dyDescent="0.15">
      <c r="A773" s="9">
        <v>772</v>
      </c>
      <c r="B773" s="9" t="s">
        <v>9</v>
      </c>
      <c r="C773" s="9">
        <v>1910</v>
      </c>
      <c r="D773" s="10">
        <v>45602</v>
      </c>
      <c r="E773" s="13" t="str">
        <f>+HYPERLINK("http://trademark.i-assist.jp/data/china/image_1910th/80026536.pdf","80026536")</f>
        <v>80026536</v>
      </c>
      <c r="F773" s="9" t="s">
        <v>2303</v>
      </c>
      <c r="G773" s="9" t="s">
        <v>2304</v>
      </c>
      <c r="H773" s="11" t="s">
        <v>2305</v>
      </c>
      <c r="I773" s="10">
        <v>45499</v>
      </c>
    </row>
    <row r="774" spans="1:9" x14ac:dyDescent="0.15">
      <c r="A774" s="9">
        <v>773</v>
      </c>
      <c r="B774" s="9" t="s">
        <v>9</v>
      </c>
      <c r="C774" s="9">
        <v>1910</v>
      </c>
      <c r="D774" s="10">
        <v>45602</v>
      </c>
      <c r="E774" s="13" t="str">
        <f>+HYPERLINK("http://trademark.i-assist.jp/data/china/image_1910th/80026627.pdf","80026627")</f>
        <v>80026627</v>
      </c>
      <c r="F774" s="11" t="s">
        <v>19</v>
      </c>
      <c r="G774" s="9" t="s">
        <v>2306</v>
      </c>
      <c r="H774" s="9" t="s">
        <v>2307</v>
      </c>
      <c r="I774" s="10">
        <v>45499</v>
      </c>
    </row>
    <row r="775" spans="1:9" x14ac:dyDescent="0.15">
      <c r="A775" s="9">
        <v>774</v>
      </c>
      <c r="B775" s="9" t="s">
        <v>9</v>
      </c>
      <c r="C775" s="9">
        <v>1910</v>
      </c>
      <c r="D775" s="10">
        <v>45602</v>
      </c>
      <c r="E775" s="13" t="str">
        <f>+HYPERLINK("http://trademark.i-assist.jp/data/china/image_1910th/80026784.pdf","80026784")</f>
        <v>80026784</v>
      </c>
      <c r="F775" s="11" t="s">
        <v>2308</v>
      </c>
      <c r="G775" s="11" t="s">
        <v>2309</v>
      </c>
      <c r="H775" s="9" t="s">
        <v>2310</v>
      </c>
      <c r="I775" s="10">
        <v>45499</v>
      </c>
    </row>
    <row r="776" spans="1:9" x14ac:dyDescent="0.15">
      <c r="A776" s="9">
        <v>775</v>
      </c>
      <c r="B776" s="9" t="s">
        <v>9</v>
      </c>
      <c r="C776" s="9">
        <v>1910</v>
      </c>
      <c r="D776" s="10">
        <v>45602</v>
      </c>
      <c r="E776" s="13" t="str">
        <f>+HYPERLINK("http://trademark.i-assist.jp/data/china/image_1910th/80027205.pdf","80027205")</f>
        <v>80027205</v>
      </c>
      <c r="F776" s="9" t="s">
        <v>2311</v>
      </c>
      <c r="G776" s="9" t="s">
        <v>2197</v>
      </c>
      <c r="H776" s="9" t="s">
        <v>2312</v>
      </c>
      <c r="I776" s="10">
        <v>45499</v>
      </c>
    </row>
    <row r="777" spans="1:9" x14ac:dyDescent="0.15">
      <c r="A777" s="9">
        <v>776</v>
      </c>
      <c r="B777" s="9" t="s">
        <v>9</v>
      </c>
      <c r="C777" s="9">
        <v>1910</v>
      </c>
      <c r="D777" s="10">
        <v>45602</v>
      </c>
      <c r="E777" s="13" t="str">
        <f>+HYPERLINK("http://trademark.i-assist.jp/data/china/image_1910th/80027553.pdf","80027553")</f>
        <v>80027553</v>
      </c>
      <c r="F777" s="11" t="s">
        <v>19</v>
      </c>
      <c r="G777" s="9" t="s">
        <v>2280</v>
      </c>
      <c r="H777" s="9" t="s">
        <v>2313</v>
      </c>
      <c r="I777" s="10">
        <v>45499</v>
      </c>
    </row>
    <row r="778" spans="1:9" x14ac:dyDescent="0.15">
      <c r="A778" s="9">
        <v>777</v>
      </c>
      <c r="B778" s="9" t="s">
        <v>9</v>
      </c>
      <c r="C778" s="9">
        <v>1910</v>
      </c>
      <c r="D778" s="10">
        <v>45602</v>
      </c>
      <c r="E778" s="13" t="str">
        <f>+HYPERLINK("http://trademark.i-assist.jp/data/china/image_1910th/80028449.pdf","80028449")</f>
        <v>80028449</v>
      </c>
      <c r="F778" s="11" t="s">
        <v>2314</v>
      </c>
      <c r="G778" s="11" t="s">
        <v>2315</v>
      </c>
      <c r="H778" s="9" t="s">
        <v>2316</v>
      </c>
      <c r="I778" s="10">
        <v>45499</v>
      </c>
    </row>
    <row r="779" spans="1:9" x14ac:dyDescent="0.15">
      <c r="A779" s="9">
        <v>778</v>
      </c>
      <c r="B779" s="9" t="s">
        <v>9</v>
      </c>
      <c r="C779" s="9">
        <v>1910</v>
      </c>
      <c r="D779" s="10">
        <v>45602</v>
      </c>
      <c r="E779" s="13" t="str">
        <f>+HYPERLINK("http://trademark.i-assist.jp/data/china/image_1910th/80028519.pdf","80028519")</f>
        <v>80028519</v>
      </c>
      <c r="F779" s="11" t="s">
        <v>2317</v>
      </c>
      <c r="G779" s="11" t="s">
        <v>2318</v>
      </c>
      <c r="H779" s="9" t="s">
        <v>2319</v>
      </c>
      <c r="I779" s="10">
        <v>45499</v>
      </c>
    </row>
    <row r="780" spans="1:9" x14ac:dyDescent="0.15">
      <c r="A780" s="9">
        <v>779</v>
      </c>
      <c r="B780" s="9" t="s">
        <v>9</v>
      </c>
      <c r="C780" s="9">
        <v>1910</v>
      </c>
      <c r="D780" s="10">
        <v>45602</v>
      </c>
      <c r="E780" s="13" t="str">
        <f>+HYPERLINK("http://trademark.i-assist.jp/data/china/image_1910th/80028889.pdf","80028889")</f>
        <v>80028889</v>
      </c>
      <c r="F780" s="9" t="s">
        <v>2320</v>
      </c>
      <c r="G780" s="9" t="s">
        <v>2321</v>
      </c>
      <c r="H780" s="9" t="s">
        <v>2322</v>
      </c>
      <c r="I780" s="10">
        <v>45499</v>
      </c>
    </row>
    <row r="781" spans="1:9" x14ac:dyDescent="0.15">
      <c r="A781" s="9">
        <v>780</v>
      </c>
      <c r="B781" s="9" t="s">
        <v>9</v>
      </c>
      <c r="C781" s="9">
        <v>1910</v>
      </c>
      <c r="D781" s="10">
        <v>45602</v>
      </c>
      <c r="E781" s="13" t="str">
        <f>+HYPERLINK("http://trademark.i-assist.jp/data/china/image_1910th/80028990.pdf","80028990")</f>
        <v>80028990</v>
      </c>
      <c r="F781" s="9" t="s">
        <v>2323</v>
      </c>
      <c r="G781" s="9" t="s">
        <v>2324</v>
      </c>
      <c r="H781" s="9" t="s">
        <v>2325</v>
      </c>
      <c r="I781" s="10">
        <v>45499</v>
      </c>
    </row>
    <row r="782" spans="1:9" x14ac:dyDescent="0.15">
      <c r="A782" s="9">
        <v>781</v>
      </c>
      <c r="B782" s="9" t="s">
        <v>9</v>
      </c>
      <c r="C782" s="9">
        <v>1910</v>
      </c>
      <c r="D782" s="10">
        <v>45602</v>
      </c>
      <c r="E782" s="13" t="str">
        <f>+HYPERLINK("http://trademark.i-assist.jp/data/china/image_1910th/80029466.pdf","80029466")</f>
        <v>80029466</v>
      </c>
      <c r="F782" s="9" t="s">
        <v>2326</v>
      </c>
      <c r="G782" s="11" t="s">
        <v>2327</v>
      </c>
      <c r="H782" s="9" t="s">
        <v>2328</v>
      </c>
      <c r="I782" s="10">
        <v>45499</v>
      </c>
    </row>
    <row r="783" spans="1:9" x14ac:dyDescent="0.15">
      <c r="A783" s="9">
        <v>782</v>
      </c>
      <c r="B783" s="9" t="s">
        <v>9</v>
      </c>
      <c r="C783" s="9">
        <v>1910</v>
      </c>
      <c r="D783" s="10">
        <v>45602</v>
      </c>
      <c r="E783" s="13" t="str">
        <f>+HYPERLINK("http://trademark.i-assist.jp/data/china/image_1910th/80030253.pdf","80030253")</f>
        <v>80030253</v>
      </c>
      <c r="F783" s="9" t="s">
        <v>2329</v>
      </c>
      <c r="G783" s="11" t="s">
        <v>2330</v>
      </c>
      <c r="H783" s="9" t="s">
        <v>2331</v>
      </c>
      <c r="I783" s="10">
        <v>45499</v>
      </c>
    </row>
    <row r="784" spans="1:9" x14ac:dyDescent="0.15">
      <c r="A784" s="9">
        <v>783</v>
      </c>
      <c r="B784" s="9" t="s">
        <v>9</v>
      </c>
      <c r="C784" s="9">
        <v>1910</v>
      </c>
      <c r="D784" s="10">
        <v>45602</v>
      </c>
      <c r="E784" s="13" t="str">
        <f>+HYPERLINK("http://trademark.i-assist.jp/data/china/image_1910th/80032332.pdf","80032332")</f>
        <v>80032332</v>
      </c>
      <c r="F784" s="9" t="s">
        <v>2332</v>
      </c>
      <c r="G784" s="9" t="s">
        <v>2161</v>
      </c>
      <c r="H784" s="11" t="s">
        <v>2333</v>
      </c>
      <c r="I784" s="10">
        <v>45499</v>
      </c>
    </row>
    <row r="785" spans="1:9" x14ac:dyDescent="0.15">
      <c r="A785" s="9">
        <v>784</v>
      </c>
      <c r="B785" s="9" t="s">
        <v>9</v>
      </c>
      <c r="C785" s="9">
        <v>1910</v>
      </c>
      <c r="D785" s="10">
        <v>45602</v>
      </c>
      <c r="E785" s="13" t="str">
        <f>+HYPERLINK("http://trademark.i-assist.jp/data/china/image_1910th/80032707.pdf","80032707")</f>
        <v>80032707</v>
      </c>
      <c r="F785" s="9" t="s">
        <v>2334</v>
      </c>
      <c r="G785" s="9" t="s">
        <v>2335</v>
      </c>
      <c r="H785" s="9" t="s">
        <v>2336</v>
      </c>
      <c r="I785" s="10">
        <v>45499</v>
      </c>
    </row>
    <row r="786" spans="1:9" x14ac:dyDescent="0.15">
      <c r="A786" s="9">
        <v>785</v>
      </c>
      <c r="B786" s="9" t="s">
        <v>9</v>
      </c>
      <c r="C786" s="9">
        <v>1910</v>
      </c>
      <c r="D786" s="10">
        <v>45602</v>
      </c>
      <c r="E786" s="13" t="str">
        <f>+HYPERLINK("http://trademark.i-assist.jp/data/china/image_1910th/80032752.pdf","80032752")</f>
        <v>80032752</v>
      </c>
      <c r="F786" s="11" t="s">
        <v>2337</v>
      </c>
      <c r="G786" s="11" t="s">
        <v>2315</v>
      </c>
      <c r="H786" s="9" t="s">
        <v>2338</v>
      </c>
      <c r="I786" s="10">
        <v>45499</v>
      </c>
    </row>
    <row r="787" spans="1:9" x14ac:dyDescent="0.15">
      <c r="A787" s="9">
        <v>786</v>
      </c>
      <c r="B787" s="9" t="s">
        <v>9</v>
      </c>
      <c r="C787" s="9">
        <v>1910</v>
      </c>
      <c r="D787" s="10">
        <v>45602</v>
      </c>
      <c r="E787" s="13" t="str">
        <f>+HYPERLINK("http://trademark.i-assist.jp/data/china/image_1910th/80032948.pdf","80032948")</f>
        <v>80032948</v>
      </c>
      <c r="F787" s="9" t="s">
        <v>2339</v>
      </c>
      <c r="G787" s="9" t="s">
        <v>2340</v>
      </c>
      <c r="H787" s="9" t="s">
        <v>2341</v>
      </c>
      <c r="I787" s="10">
        <v>45499</v>
      </c>
    </row>
    <row r="788" spans="1:9" x14ac:dyDescent="0.15">
      <c r="A788" s="9">
        <v>787</v>
      </c>
      <c r="B788" s="9" t="s">
        <v>9</v>
      </c>
      <c r="C788" s="9">
        <v>1910</v>
      </c>
      <c r="D788" s="10">
        <v>45602</v>
      </c>
      <c r="E788" s="13" t="str">
        <f>+HYPERLINK("http://trademark.i-assist.jp/data/china/image_1910th/80033521.pdf","80033521")</f>
        <v>80033521</v>
      </c>
      <c r="F788" s="9" t="s">
        <v>2342</v>
      </c>
      <c r="G788" s="9" t="s">
        <v>2343</v>
      </c>
      <c r="H788" s="9" t="s">
        <v>2344</v>
      </c>
      <c r="I788" s="10">
        <v>45499</v>
      </c>
    </row>
    <row r="789" spans="1:9" x14ac:dyDescent="0.15">
      <c r="A789" s="9">
        <v>788</v>
      </c>
      <c r="B789" s="9" t="s">
        <v>9</v>
      </c>
      <c r="C789" s="9">
        <v>1910</v>
      </c>
      <c r="D789" s="10">
        <v>45602</v>
      </c>
      <c r="E789" s="13" t="str">
        <f>+HYPERLINK("http://trademark.i-assist.jp/data/china/image_1910th/80033765.pdf","80033765")</f>
        <v>80033765</v>
      </c>
      <c r="F789" s="9" t="s">
        <v>2345</v>
      </c>
      <c r="G789" s="9" t="s">
        <v>2346</v>
      </c>
      <c r="H789" s="9" t="s">
        <v>2347</v>
      </c>
      <c r="I789" s="10">
        <v>45499</v>
      </c>
    </row>
    <row r="790" spans="1:9" x14ac:dyDescent="0.15">
      <c r="A790" s="9">
        <v>789</v>
      </c>
      <c r="B790" s="9" t="s">
        <v>9</v>
      </c>
      <c r="C790" s="9">
        <v>1910</v>
      </c>
      <c r="D790" s="10">
        <v>45602</v>
      </c>
      <c r="E790" s="13" t="str">
        <f>+HYPERLINK("http://trademark.i-assist.jp/data/china/image_1910th/80034176.pdf","80034176")</f>
        <v>80034176</v>
      </c>
      <c r="F790" s="9" t="s">
        <v>2348</v>
      </c>
      <c r="G790" s="11" t="s">
        <v>2349</v>
      </c>
      <c r="H790" s="9" t="s">
        <v>2350</v>
      </c>
      <c r="I790" s="10">
        <v>45499</v>
      </c>
    </row>
    <row r="791" spans="1:9" x14ac:dyDescent="0.15">
      <c r="A791" s="9">
        <v>790</v>
      </c>
      <c r="B791" s="9" t="s">
        <v>9</v>
      </c>
      <c r="C791" s="9">
        <v>1910</v>
      </c>
      <c r="D791" s="10">
        <v>45602</v>
      </c>
      <c r="E791" s="13" t="str">
        <f>+HYPERLINK("http://trademark.i-assist.jp/data/china/image_1910th/80034236.pdf","80034236")</f>
        <v>80034236</v>
      </c>
      <c r="F791" s="9" t="s">
        <v>2351</v>
      </c>
      <c r="G791" s="9" t="s">
        <v>1610</v>
      </c>
      <c r="H791" s="9" t="s">
        <v>2352</v>
      </c>
      <c r="I791" s="10">
        <v>45500</v>
      </c>
    </row>
    <row r="792" spans="1:9" x14ac:dyDescent="0.15">
      <c r="A792" s="9">
        <v>791</v>
      </c>
      <c r="B792" s="9" t="s">
        <v>9</v>
      </c>
      <c r="C792" s="9">
        <v>1910</v>
      </c>
      <c r="D792" s="10">
        <v>45602</v>
      </c>
      <c r="E792" s="13" t="str">
        <f>+HYPERLINK("http://trademark.i-assist.jp/data/china/image_1910th/80034599.pdf","80034599")</f>
        <v>80034599</v>
      </c>
      <c r="F792" s="9" t="s">
        <v>2353</v>
      </c>
      <c r="G792" s="9" t="s">
        <v>96</v>
      </c>
      <c r="H792" s="9" t="s">
        <v>2354</v>
      </c>
      <c r="I792" s="10">
        <v>45500</v>
      </c>
    </row>
    <row r="793" spans="1:9" x14ac:dyDescent="0.15">
      <c r="A793" s="9">
        <v>792</v>
      </c>
      <c r="B793" s="9" t="s">
        <v>9</v>
      </c>
      <c r="C793" s="9">
        <v>1910</v>
      </c>
      <c r="D793" s="10">
        <v>45602</v>
      </c>
      <c r="E793" s="13" t="str">
        <f>+HYPERLINK("http://trademark.i-assist.jp/data/china/image_1910th/80035085.pdf","80035085")</f>
        <v>80035085</v>
      </c>
      <c r="F793" s="9" t="s">
        <v>2355</v>
      </c>
      <c r="G793" s="11" t="s">
        <v>2356</v>
      </c>
      <c r="H793" s="9" t="s">
        <v>2357</v>
      </c>
      <c r="I793" s="10">
        <v>45500</v>
      </c>
    </row>
    <row r="794" spans="1:9" x14ac:dyDescent="0.15">
      <c r="A794" s="9">
        <v>793</v>
      </c>
      <c r="B794" s="9" t="s">
        <v>9</v>
      </c>
      <c r="C794" s="9">
        <v>1910</v>
      </c>
      <c r="D794" s="10">
        <v>45602</v>
      </c>
      <c r="E794" s="13" t="str">
        <f>+HYPERLINK("http://trademark.i-assist.jp/data/china/image_1910th/80036905.pdf","80036905")</f>
        <v>80036905</v>
      </c>
      <c r="F794" s="9" t="s">
        <v>2358</v>
      </c>
      <c r="G794" s="9" t="s">
        <v>2359</v>
      </c>
      <c r="H794" s="9" t="s">
        <v>2360</v>
      </c>
      <c r="I794" s="10">
        <v>45500</v>
      </c>
    </row>
    <row r="795" spans="1:9" x14ac:dyDescent="0.15">
      <c r="A795" s="9">
        <v>794</v>
      </c>
      <c r="B795" s="9" t="s">
        <v>9</v>
      </c>
      <c r="C795" s="9">
        <v>1910</v>
      </c>
      <c r="D795" s="10">
        <v>45602</v>
      </c>
      <c r="E795" s="13" t="str">
        <f>+HYPERLINK("http://trademark.i-assist.jp/data/china/image_1910th/80037473.pdf","80037473")</f>
        <v>80037473</v>
      </c>
      <c r="F795" s="9" t="s">
        <v>2361</v>
      </c>
      <c r="G795" s="9" t="s">
        <v>2362</v>
      </c>
      <c r="H795" s="9" t="s">
        <v>2363</v>
      </c>
      <c r="I795" s="10">
        <v>45499</v>
      </c>
    </row>
    <row r="796" spans="1:9" x14ac:dyDescent="0.15">
      <c r="A796" s="9">
        <v>795</v>
      </c>
      <c r="B796" s="9" t="s">
        <v>9</v>
      </c>
      <c r="C796" s="9">
        <v>1910</v>
      </c>
      <c r="D796" s="10">
        <v>45602</v>
      </c>
      <c r="E796" s="13" t="str">
        <f>+HYPERLINK("http://trademark.i-assist.jp/data/china/image_1910th/80037685.pdf","80037685")</f>
        <v>80037685</v>
      </c>
      <c r="F796" s="9" t="s">
        <v>2364</v>
      </c>
      <c r="G796" s="9" t="s">
        <v>2365</v>
      </c>
      <c r="H796" s="9" t="s">
        <v>2366</v>
      </c>
      <c r="I796" s="10">
        <v>45500</v>
      </c>
    </row>
    <row r="797" spans="1:9" x14ac:dyDescent="0.15">
      <c r="A797" s="9">
        <v>796</v>
      </c>
      <c r="B797" s="9" t="s">
        <v>9</v>
      </c>
      <c r="C797" s="9">
        <v>1910</v>
      </c>
      <c r="D797" s="10">
        <v>45602</v>
      </c>
      <c r="E797" s="13" t="str">
        <f>+HYPERLINK("http://trademark.i-assist.jp/data/china/image_1910th/80037909.pdf","80037909")</f>
        <v>80037909</v>
      </c>
      <c r="F797" s="9" t="s">
        <v>2367</v>
      </c>
      <c r="G797" s="11" t="s">
        <v>2368</v>
      </c>
      <c r="H797" s="9" t="s">
        <v>2369</v>
      </c>
      <c r="I797" s="10">
        <v>45500</v>
      </c>
    </row>
    <row r="798" spans="1:9" x14ac:dyDescent="0.15">
      <c r="A798" s="9">
        <v>797</v>
      </c>
      <c r="B798" s="9" t="s">
        <v>9</v>
      </c>
      <c r="C798" s="9">
        <v>1910</v>
      </c>
      <c r="D798" s="10">
        <v>45602</v>
      </c>
      <c r="E798" s="13" t="str">
        <f>+HYPERLINK("http://trademark.i-assist.jp/data/china/image_1910th/80038955.pdf","80038955")</f>
        <v>80038955</v>
      </c>
      <c r="F798" s="11" t="s">
        <v>2370</v>
      </c>
      <c r="G798" s="9" t="s">
        <v>2371</v>
      </c>
      <c r="H798" s="9" t="s">
        <v>2372</v>
      </c>
      <c r="I798" s="10">
        <v>45500</v>
      </c>
    </row>
    <row r="799" spans="1:9" x14ac:dyDescent="0.15">
      <c r="A799" s="9">
        <v>798</v>
      </c>
      <c r="B799" s="9" t="s">
        <v>9</v>
      </c>
      <c r="C799" s="9">
        <v>1910</v>
      </c>
      <c r="D799" s="10">
        <v>45602</v>
      </c>
      <c r="E799" s="13" t="str">
        <f>+HYPERLINK("http://trademark.i-assist.jp/data/china/image_1910th/80038995.pdf","80038995")</f>
        <v>80038995</v>
      </c>
      <c r="F799" s="11" t="s">
        <v>2373</v>
      </c>
      <c r="G799" s="11" t="s">
        <v>2374</v>
      </c>
      <c r="H799" s="9" t="s">
        <v>2375</v>
      </c>
      <c r="I799" s="10">
        <v>45500</v>
      </c>
    </row>
    <row r="800" spans="1:9" x14ac:dyDescent="0.15">
      <c r="A800" s="9">
        <v>799</v>
      </c>
      <c r="B800" s="9" t="s">
        <v>9</v>
      </c>
      <c r="C800" s="9">
        <v>1910</v>
      </c>
      <c r="D800" s="10">
        <v>45602</v>
      </c>
      <c r="E800" s="13" t="str">
        <f>+HYPERLINK("http://trademark.i-assist.jp/data/china/image_1910th/80039009.pdf","80039009")</f>
        <v>80039009</v>
      </c>
      <c r="F800" s="9" t="s">
        <v>2376</v>
      </c>
      <c r="G800" s="11" t="s">
        <v>2377</v>
      </c>
      <c r="H800" s="9" t="s">
        <v>2378</v>
      </c>
      <c r="I800" s="10">
        <v>45500</v>
      </c>
    </row>
    <row r="801" spans="1:9" x14ac:dyDescent="0.15">
      <c r="A801" s="9">
        <v>800</v>
      </c>
      <c r="B801" s="9" t="s">
        <v>9</v>
      </c>
      <c r="C801" s="9">
        <v>1910</v>
      </c>
      <c r="D801" s="10">
        <v>45602</v>
      </c>
      <c r="E801" s="13" t="str">
        <f>+HYPERLINK("http://trademark.i-assist.jp/data/china/image_1910th/80039253.pdf","80039253")</f>
        <v>80039253</v>
      </c>
      <c r="F801" s="9" t="s">
        <v>2379</v>
      </c>
      <c r="G801" s="11" t="s">
        <v>2380</v>
      </c>
      <c r="H801" s="9" t="s">
        <v>2381</v>
      </c>
      <c r="I801" s="10">
        <v>45500</v>
      </c>
    </row>
    <row r="802" spans="1:9" x14ac:dyDescent="0.15">
      <c r="A802" s="9">
        <v>801</v>
      </c>
      <c r="B802" s="9" t="s">
        <v>9</v>
      </c>
      <c r="C802" s="9">
        <v>1910</v>
      </c>
      <c r="D802" s="10">
        <v>45602</v>
      </c>
      <c r="E802" s="13" t="str">
        <f>+HYPERLINK("http://trademark.i-assist.jp/data/china/image_1910th/80039632.pdf","80039632")</f>
        <v>80039632</v>
      </c>
      <c r="F802" s="9" t="s">
        <v>2382</v>
      </c>
      <c r="G802" s="11" t="s">
        <v>2383</v>
      </c>
      <c r="H802" s="9" t="s">
        <v>2384</v>
      </c>
      <c r="I802" s="10">
        <v>45500</v>
      </c>
    </row>
    <row r="803" spans="1:9" x14ac:dyDescent="0.15">
      <c r="A803" s="9">
        <v>802</v>
      </c>
      <c r="B803" s="9" t="s">
        <v>9</v>
      </c>
      <c r="C803" s="9">
        <v>1910</v>
      </c>
      <c r="D803" s="10">
        <v>45602</v>
      </c>
      <c r="E803" s="13" t="str">
        <f>+HYPERLINK("http://trademark.i-assist.jp/data/china/image_1910th/80040106.pdf","80040106")</f>
        <v>80040106</v>
      </c>
      <c r="F803" s="11" t="s">
        <v>2385</v>
      </c>
      <c r="G803" s="9" t="s">
        <v>97</v>
      </c>
      <c r="H803" s="9" t="s">
        <v>2386</v>
      </c>
      <c r="I803" s="10">
        <v>45500</v>
      </c>
    </row>
    <row r="804" spans="1:9" x14ac:dyDescent="0.15">
      <c r="A804" s="9">
        <v>803</v>
      </c>
      <c r="B804" s="9" t="s">
        <v>9</v>
      </c>
      <c r="C804" s="9">
        <v>1910</v>
      </c>
      <c r="D804" s="10">
        <v>45602</v>
      </c>
      <c r="E804" s="13" t="str">
        <f>+HYPERLINK("http://trademark.i-assist.jp/data/china/image_1910th/80041327.pdf","80041327")</f>
        <v>80041327</v>
      </c>
      <c r="F804" s="9" t="s">
        <v>2387</v>
      </c>
      <c r="G804" s="9" t="s">
        <v>2388</v>
      </c>
      <c r="H804" s="9" t="s">
        <v>2389</v>
      </c>
      <c r="I804" s="10">
        <v>45501</v>
      </c>
    </row>
    <row r="805" spans="1:9" x14ac:dyDescent="0.15">
      <c r="A805" s="9">
        <v>804</v>
      </c>
      <c r="B805" s="9" t="s">
        <v>9</v>
      </c>
      <c r="C805" s="9">
        <v>1910</v>
      </c>
      <c r="D805" s="10">
        <v>45602</v>
      </c>
      <c r="E805" s="13" t="str">
        <f>+HYPERLINK("http://trademark.i-assist.jp/data/china/image_1910th/80041745.pdf","80041745")</f>
        <v>80041745</v>
      </c>
      <c r="F805" s="9" t="s">
        <v>2390</v>
      </c>
      <c r="G805" s="9" t="s">
        <v>2391</v>
      </c>
      <c r="H805" s="9" t="s">
        <v>2392</v>
      </c>
      <c r="I805" s="10">
        <v>45501</v>
      </c>
    </row>
    <row r="806" spans="1:9" x14ac:dyDescent="0.15">
      <c r="A806" s="9">
        <v>805</v>
      </c>
      <c r="B806" s="9" t="s">
        <v>9</v>
      </c>
      <c r="C806" s="9">
        <v>1910</v>
      </c>
      <c r="D806" s="10">
        <v>45602</v>
      </c>
      <c r="E806" s="13" t="str">
        <f>+HYPERLINK("http://trademark.i-assist.jp/data/china/image_1910th/80041958.pdf","80041958")</f>
        <v>80041958</v>
      </c>
      <c r="F806" s="9" t="s">
        <v>2393</v>
      </c>
      <c r="G806" s="9" t="s">
        <v>2394</v>
      </c>
      <c r="H806" s="9" t="s">
        <v>2395</v>
      </c>
      <c r="I806" s="10">
        <v>45501</v>
      </c>
    </row>
    <row r="807" spans="1:9" x14ac:dyDescent="0.15">
      <c r="A807" s="9">
        <v>806</v>
      </c>
      <c r="B807" s="9" t="s">
        <v>9</v>
      </c>
      <c r="C807" s="9">
        <v>1910</v>
      </c>
      <c r="D807" s="10">
        <v>45602</v>
      </c>
      <c r="E807" s="13" t="str">
        <f>+HYPERLINK("http://trademark.i-assist.jp/data/china/image_1910th/80041963.pdf","80041963")</f>
        <v>80041963</v>
      </c>
      <c r="F807" s="9" t="s">
        <v>2396</v>
      </c>
      <c r="G807" s="9" t="s">
        <v>2394</v>
      </c>
      <c r="H807" s="9" t="s">
        <v>2397</v>
      </c>
      <c r="I807" s="10">
        <v>45501</v>
      </c>
    </row>
    <row r="808" spans="1:9" x14ac:dyDescent="0.15">
      <c r="A808" s="9">
        <v>807</v>
      </c>
      <c r="B808" s="9" t="s">
        <v>9</v>
      </c>
      <c r="C808" s="9">
        <v>1910</v>
      </c>
      <c r="D808" s="10">
        <v>45602</v>
      </c>
      <c r="E808" s="13" t="str">
        <f>+HYPERLINK("http://trademark.i-assist.jp/data/china/image_1910th/80042364.pdf","80042364")</f>
        <v>80042364</v>
      </c>
      <c r="F808" s="9" t="s">
        <v>2398</v>
      </c>
      <c r="G808" s="9" t="s">
        <v>2394</v>
      </c>
      <c r="H808" s="9" t="s">
        <v>2399</v>
      </c>
      <c r="I808" s="10">
        <v>45501</v>
      </c>
    </row>
    <row r="809" spans="1:9" x14ac:dyDescent="0.15">
      <c r="A809" s="9">
        <v>808</v>
      </c>
      <c r="B809" s="9" t="s">
        <v>9</v>
      </c>
      <c r="C809" s="9">
        <v>1910</v>
      </c>
      <c r="D809" s="10">
        <v>45602</v>
      </c>
      <c r="E809" s="13" t="str">
        <f>+HYPERLINK("http://trademark.i-assist.jp/data/china/image_1910th/80042379.pdf","80042379")</f>
        <v>80042379</v>
      </c>
      <c r="F809" s="9" t="s">
        <v>2400</v>
      </c>
      <c r="G809" s="11" t="s">
        <v>2401</v>
      </c>
      <c r="H809" s="9" t="s">
        <v>2402</v>
      </c>
      <c r="I809" s="10">
        <v>45501</v>
      </c>
    </row>
    <row r="810" spans="1:9" x14ac:dyDescent="0.15">
      <c r="A810" s="9">
        <v>809</v>
      </c>
      <c r="B810" s="9" t="s">
        <v>9</v>
      </c>
      <c r="C810" s="9">
        <v>1910</v>
      </c>
      <c r="D810" s="10">
        <v>45602</v>
      </c>
      <c r="E810" s="13" t="str">
        <f>+HYPERLINK("http://trademark.i-assist.jp/data/china/image_1910th/80042393.pdf","80042393")</f>
        <v>80042393</v>
      </c>
      <c r="F810" s="9" t="s">
        <v>2403</v>
      </c>
      <c r="G810" s="9" t="s">
        <v>2404</v>
      </c>
      <c r="H810" s="9" t="s">
        <v>2405</v>
      </c>
      <c r="I810" s="10">
        <v>45501</v>
      </c>
    </row>
    <row r="811" spans="1:9" x14ac:dyDescent="0.15">
      <c r="A811" s="9">
        <v>810</v>
      </c>
      <c r="B811" s="9" t="s">
        <v>9</v>
      </c>
      <c r="C811" s="9">
        <v>1910</v>
      </c>
      <c r="D811" s="10">
        <v>45602</v>
      </c>
      <c r="E811" s="13" t="str">
        <f>+HYPERLINK("http://trademark.i-assist.jp/data/china/image_1910th/80042969.pdf","80042969")</f>
        <v>80042969</v>
      </c>
      <c r="F811" s="9" t="s">
        <v>2406</v>
      </c>
      <c r="G811" s="9" t="s">
        <v>2394</v>
      </c>
      <c r="H811" s="9" t="s">
        <v>2407</v>
      </c>
      <c r="I811" s="10">
        <v>45501</v>
      </c>
    </row>
    <row r="812" spans="1:9" x14ac:dyDescent="0.15">
      <c r="A812" s="9">
        <v>811</v>
      </c>
      <c r="B812" s="9" t="s">
        <v>9</v>
      </c>
      <c r="C812" s="9">
        <v>1910</v>
      </c>
      <c r="D812" s="10">
        <v>45602</v>
      </c>
      <c r="E812" s="13" t="str">
        <f>+HYPERLINK("http://trademark.i-assist.jp/data/china/image_1910th/80042980.pdf","80042980")</f>
        <v>80042980</v>
      </c>
      <c r="F812" s="9" t="s">
        <v>2408</v>
      </c>
      <c r="G812" s="9" t="s">
        <v>2394</v>
      </c>
      <c r="H812" s="9" t="s">
        <v>2409</v>
      </c>
      <c r="I812" s="10">
        <v>45501</v>
      </c>
    </row>
    <row r="813" spans="1:9" x14ac:dyDescent="0.15">
      <c r="A813" s="9">
        <v>812</v>
      </c>
      <c r="B813" s="9" t="s">
        <v>9</v>
      </c>
      <c r="C813" s="9">
        <v>1910</v>
      </c>
      <c r="D813" s="10">
        <v>45602</v>
      </c>
      <c r="E813" s="13" t="str">
        <f>+HYPERLINK("http://trademark.i-assist.jp/data/china/image_1910th/80043142.pdf","80043142")</f>
        <v>80043142</v>
      </c>
      <c r="F813" s="9" t="s">
        <v>2410</v>
      </c>
      <c r="G813" s="11" t="s">
        <v>2411</v>
      </c>
      <c r="H813" s="9" t="s">
        <v>2412</v>
      </c>
      <c r="I813" s="10">
        <v>45501</v>
      </c>
    </row>
    <row r="814" spans="1:9" x14ac:dyDescent="0.15">
      <c r="A814" s="9">
        <v>813</v>
      </c>
      <c r="B814" s="9" t="s">
        <v>9</v>
      </c>
      <c r="C814" s="9">
        <v>1910</v>
      </c>
      <c r="D814" s="10">
        <v>45602</v>
      </c>
      <c r="E814" s="13" t="str">
        <f>+HYPERLINK("http://trademark.i-assist.jp/data/china/image_1910th/80043146.pdf","80043146")</f>
        <v>80043146</v>
      </c>
      <c r="F814" s="9" t="s">
        <v>2413</v>
      </c>
      <c r="G814" s="9" t="s">
        <v>101</v>
      </c>
      <c r="H814" s="9" t="s">
        <v>2414</v>
      </c>
      <c r="I814" s="10">
        <v>45501</v>
      </c>
    </row>
    <row r="815" spans="1:9" x14ac:dyDescent="0.15">
      <c r="A815" s="9">
        <v>814</v>
      </c>
      <c r="B815" s="9" t="s">
        <v>9</v>
      </c>
      <c r="C815" s="9">
        <v>1910</v>
      </c>
      <c r="D815" s="10">
        <v>45602</v>
      </c>
      <c r="E815" s="13" t="str">
        <f>+HYPERLINK("http://trademark.i-assist.jp/data/china/image_1910th/80043232.pdf","80043232")</f>
        <v>80043232</v>
      </c>
      <c r="F815" s="9" t="s">
        <v>2415</v>
      </c>
      <c r="G815" s="9" t="s">
        <v>2416</v>
      </c>
      <c r="H815" s="9" t="s">
        <v>2417</v>
      </c>
      <c r="I815" s="10">
        <v>45501</v>
      </c>
    </row>
    <row r="816" spans="1:9" x14ac:dyDescent="0.15">
      <c r="A816" s="9">
        <v>815</v>
      </c>
      <c r="B816" s="9" t="s">
        <v>9</v>
      </c>
      <c r="C816" s="9">
        <v>1910</v>
      </c>
      <c r="D816" s="10">
        <v>45602</v>
      </c>
      <c r="E816" s="13" t="str">
        <f>+HYPERLINK("http://trademark.i-assist.jp/data/china/image_1910th/80043348.pdf","80043348")</f>
        <v>80043348</v>
      </c>
      <c r="F816" s="11" t="s">
        <v>2418</v>
      </c>
      <c r="G816" s="9" t="s">
        <v>2394</v>
      </c>
      <c r="H816" s="9" t="s">
        <v>2419</v>
      </c>
      <c r="I816" s="10">
        <v>45501</v>
      </c>
    </row>
    <row r="817" spans="1:9" x14ac:dyDescent="0.15">
      <c r="A817" s="9">
        <v>816</v>
      </c>
      <c r="B817" s="9" t="s">
        <v>9</v>
      </c>
      <c r="C817" s="9">
        <v>1910</v>
      </c>
      <c r="D817" s="10">
        <v>45602</v>
      </c>
      <c r="E817" s="13" t="str">
        <f>+HYPERLINK("http://trademark.i-assist.jp/data/china/image_1910th/80043501.pdf","80043501")</f>
        <v>80043501</v>
      </c>
      <c r="F817" s="9" t="s">
        <v>2420</v>
      </c>
      <c r="G817" s="9" t="s">
        <v>2394</v>
      </c>
      <c r="H817" s="9" t="s">
        <v>2421</v>
      </c>
      <c r="I817" s="10">
        <v>45501</v>
      </c>
    </row>
    <row r="818" spans="1:9" x14ac:dyDescent="0.15">
      <c r="A818" s="9">
        <v>817</v>
      </c>
      <c r="B818" s="9" t="s">
        <v>9</v>
      </c>
      <c r="C818" s="9">
        <v>1910</v>
      </c>
      <c r="D818" s="10">
        <v>45602</v>
      </c>
      <c r="E818" s="13" t="str">
        <f>+HYPERLINK("http://trademark.i-assist.jp/data/china/image_1910th/80043503.pdf","80043503")</f>
        <v>80043503</v>
      </c>
      <c r="F818" s="11" t="s">
        <v>2422</v>
      </c>
      <c r="G818" s="9" t="s">
        <v>2394</v>
      </c>
      <c r="H818" s="9" t="s">
        <v>2423</v>
      </c>
      <c r="I818" s="10">
        <v>45501</v>
      </c>
    </row>
    <row r="819" spans="1:9" x14ac:dyDescent="0.15">
      <c r="A819" s="9">
        <v>818</v>
      </c>
      <c r="B819" s="9" t="s">
        <v>9</v>
      </c>
      <c r="C819" s="9">
        <v>1910</v>
      </c>
      <c r="D819" s="10">
        <v>45602</v>
      </c>
      <c r="E819" s="13" t="str">
        <f>+HYPERLINK("http://trademark.i-assist.jp/data/china/image_1910th/80043511.pdf","80043511")</f>
        <v>80043511</v>
      </c>
      <c r="F819" s="9" t="s">
        <v>2424</v>
      </c>
      <c r="G819" s="9" t="s">
        <v>2394</v>
      </c>
      <c r="H819" s="9" t="s">
        <v>2425</v>
      </c>
      <c r="I819" s="10">
        <v>45501</v>
      </c>
    </row>
    <row r="820" spans="1:9" x14ac:dyDescent="0.15">
      <c r="A820" s="9">
        <v>819</v>
      </c>
      <c r="B820" s="9" t="s">
        <v>9</v>
      </c>
      <c r="C820" s="9">
        <v>1910</v>
      </c>
      <c r="D820" s="10">
        <v>45602</v>
      </c>
      <c r="E820" s="13" t="str">
        <f>+HYPERLINK("http://trademark.i-assist.jp/data/china/image_1910th/80043555.pdf","80043555")</f>
        <v>80043555</v>
      </c>
      <c r="F820" s="9" t="s">
        <v>2426</v>
      </c>
      <c r="G820" s="11" t="s">
        <v>2427</v>
      </c>
      <c r="H820" s="9" t="s">
        <v>2428</v>
      </c>
      <c r="I820" s="10">
        <v>45501</v>
      </c>
    </row>
    <row r="821" spans="1:9" x14ac:dyDescent="0.15">
      <c r="A821" s="9">
        <v>820</v>
      </c>
      <c r="B821" s="9" t="s">
        <v>9</v>
      </c>
      <c r="C821" s="9">
        <v>1910</v>
      </c>
      <c r="D821" s="10">
        <v>45602</v>
      </c>
      <c r="E821" s="13" t="str">
        <f>+HYPERLINK("http://trademark.i-assist.jp/data/china/image_1910th/80043725.pdf","80043725")</f>
        <v>80043725</v>
      </c>
      <c r="F821" s="9" t="s">
        <v>2429</v>
      </c>
      <c r="G821" s="9" t="s">
        <v>2430</v>
      </c>
      <c r="H821" s="9" t="s">
        <v>2431</v>
      </c>
      <c r="I821" s="10">
        <v>45501</v>
      </c>
    </row>
    <row r="822" spans="1:9" x14ac:dyDescent="0.15">
      <c r="A822" s="9">
        <v>821</v>
      </c>
      <c r="B822" s="9" t="s">
        <v>9</v>
      </c>
      <c r="C822" s="9">
        <v>1910</v>
      </c>
      <c r="D822" s="10">
        <v>45602</v>
      </c>
      <c r="E822" s="13" t="str">
        <f>+HYPERLINK("http://trademark.i-assist.jp/data/china/image_1910th/80043988.pdf","80043988")</f>
        <v>80043988</v>
      </c>
      <c r="F822" s="9" t="s">
        <v>2432</v>
      </c>
      <c r="G822" s="9" t="s">
        <v>2394</v>
      </c>
      <c r="H822" s="9" t="s">
        <v>2433</v>
      </c>
      <c r="I822" s="10">
        <v>45501</v>
      </c>
    </row>
    <row r="823" spans="1:9" x14ac:dyDescent="0.15">
      <c r="A823" s="9">
        <v>822</v>
      </c>
      <c r="B823" s="9" t="s">
        <v>9</v>
      </c>
      <c r="C823" s="9">
        <v>1910</v>
      </c>
      <c r="D823" s="10">
        <v>45602</v>
      </c>
      <c r="E823" s="13" t="str">
        <f>+HYPERLINK("http://trademark.i-assist.jp/data/china/image_1910th/80046286.pdf","80046286")</f>
        <v>80046286</v>
      </c>
      <c r="F823" s="11" t="s">
        <v>2434</v>
      </c>
      <c r="G823" s="9" t="s">
        <v>110</v>
      </c>
      <c r="H823" s="9" t="s">
        <v>2435</v>
      </c>
      <c r="I823" s="10">
        <v>45502</v>
      </c>
    </row>
    <row r="824" spans="1:9" x14ac:dyDescent="0.15">
      <c r="A824" s="9">
        <v>823</v>
      </c>
      <c r="B824" s="9" t="s">
        <v>9</v>
      </c>
      <c r="C824" s="9">
        <v>1910</v>
      </c>
      <c r="D824" s="10">
        <v>45602</v>
      </c>
      <c r="E824" s="13" t="str">
        <f>+HYPERLINK("http://trademark.i-assist.jp/data/china/image_1910th/80046460.pdf","80046460")</f>
        <v>80046460</v>
      </c>
      <c r="F824" s="9" t="s">
        <v>2436</v>
      </c>
      <c r="G824" s="11" t="s">
        <v>2437</v>
      </c>
      <c r="H824" s="9" t="s">
        <v>2438</v>
      </c>
      <c r="I824" s="10">
        <v>45502</v>
      </c>
    </row>
    <row r="825" spans="1:9" x14ac:dyDescent="0.15">
      <c r="A825" s="9">
        <v>824</v>
      </c>
      <c r="B825" s="9" t="s">
        <v>9</v>
      </c>
      <c r="C825" s="9">
        <v>1910</v>
      </c>
      <c r="D825" s="10">
        <v>45602</v>
      </c>
      <c r="E825" s="13" t="str">
        <f>+HYPERLINK("http://trademark.i-assist.jp/data/china/image_1910th/80046765.pdf","80046765")</f>
        <v>80046765</v>
      </c>
      <c r="F825" s="11" t="s">
        <v>19</v>
      </c>
      <c r="G825" s="9" t="s">
        <v>2439</v>
      </c>
      <c r="H825" s="9" t="s">
        <v>2440</v>
      </c>
      <c r="I825" s="10">
        <v>45502</v>
      </c>
    </row>
    <row r="826" spans="1:9" x14ac:dyDescent="0.15">
      <c r="A826" s="9">
        <v>825</v>
      </c>
      <c r="B826" s="9" t="s">
        <v>9</v>
      </c>
      <c r="C826" s="9">
        <v>1910</v>
      </c>
      <c r="D826" s="10">
        <v>45602</v>
      </c>
      <c r="E826" s="13" t="str">
        <f>+HYPERLINK("http://trademark.i-assist.jp/data/china/image_1910th/80046854.pdf","80046854")</f>
        <v>80046854</v>
      </c>
      <c r="F826" s="9" t="s">
        <v>2441</v>
      </c>
      <c r="G826" s="9" t="s">
        <v>2442</v>
      </c>
      <c r="H826" s="11" t="s">
        <v>2443</v>
      </c>
      <c r="I826" s="10">
        <v>45502</v>
      </c>
    </row>
    <row r="827" spans="1:9" x14ac:dyDescent="0.15">
      <c r="A827" s="9">
        <v>826</v>
      </c>
      <c r="B827" s="9" t="s">
        <v>9</v>
      </c>
      <c r="C827" s="9">
        <v>1910</v>
      </c>
      <c r="D827" s="10">
        <v>45602</v>
      </c>
      <c r="E827" s="13" t="str">
        <f>+HYPERLINK("http://trademark.i-assist.jp/data/china/image_1910th/80046895.pdf","80046895")</f>
        <v>80046895</v>
      </c>
      <c r="F827" s="11" t="s">
        <v>2444</v>
      </c>
      <c r="G827" s="11" t="s">
        <v>2445</v>
      </c>
      <c r="H827" s="9" t="s">
        <v>2446</v>
      </c>
      <c r="I827" s="10">
        <v>45502</v>
      </c>
    </row>
    <row r="828" spans="1:9" x14ac:dyDescent="0.15">
      <c r="A828" s="9">
        <v>827</v>
      </c>
      <c r="B828" s="9" t="s">
        <v>9</v>
      </c>
      <c r="C828" s="9">
        <v>1910</v>
      </c>
      <c r="D828" s="10">
        <v>45602</v>
      </c>
      <c r="E828" s="13" t="str">
        <f>+HYPERLINK("http://trademark.i-assist.jp/data/china/image_1910th/80047167.pdf","80047167")</f>
        <v>80047167</v>
      </c>
      <c r="F828" s="9" t="s">
        <v>2447</v>
      </c>
      <c r="G828" s="9" t="s">
        <v>2448</v>
      </c>
      <c r="H828" s="9" t="s">
        <v>2449</v>
      </c>
      <c r="I828" s="10">
        <v>45502</v>
      </c>
    </row>
    <row r="829" spans="1:9" x14ac:dyDescent="0.15">
      <c r="A829" s="9">
        <v>828</v>
      </c>
      <c r="B829" s="9" t="s">
        <v>9</v>
      </c>
      <c r="C829" s="9">
        <v>1910</v>
      </c>
      <c r="D829" s="10">
        <v>45602</v>
      </c>
      <c r="E829" s="13" t="str">
        <f>+HYPERLINK("http://trademark.i-assist.jp/data/china/image_1910th/80047323.pdf","80047323")</f>
        <v>80047323</v>
      </c>
      <c r="F829" s="9" t="s">
        <v>2450</v>
      </c>
      <c r="G829" s="9" t="s">
        <v>179</v>
      </c>
      <c r="H829" s="9" t="s">
        <v>2451</v>
      </c>
      <c r="I829" s="10">
        <v>45502</v>
      </c>
    </row>
    <row r="830" spans="1:9" x14ac:dyDescent="0.15">
      <c r="A830" s="9">
        <v>829</v>
      </c>
      <c r="B830" s="9" t="s">
        <v>9</v>
      </c>
      <c r="C830" s="9">
        <v>1910</v>
      </c>
      <c r="D830" s="10">
        <v>45602</v>
      </c>
      <c r="E830" s="13" t="str">
        <f>+HYPERLINK("http://trademark.i-assist.jp/data/china/image_1910th/80047779.pdf","80047779")</f>
        <v>80047779</v>
      </c>
      <c r="F830" s="9" t="s">
        <v>2452</v>
      </c>
      <c r="G830" s="11" t="s">
        <v>2453</v>
      </c>
      <c r="H830" s="9" t="s">
        <v>2454</v>
      </c>
      <c r="I830" s="10">
        <v>45502</v>
      </c>
    </row>
    <row r="831" spans="1:9" x14ac:dyDescent="0.15">
      <c r="A831" s="9">
        <v>830</v>
      </c>
      <c r="B831" s="9" t="s">
        <v>9</v>
      </c>
      <c r="C831" s="9">
        <v>1910</v>
      </c>
      <c r="D831" s="10">
        <v>45602</v>
      </c>
      <c r="E831" s="13" t="str">
        <f>+HYPERLINK("http://trademark.i-assist.jp/data/china/image_1910th/80047947.pdf","80047947")</f>
        <v>80047947</v>
      </c>
      <c r="F831" s="11" t="s">
        <v>2455</v>
      </c>
      <c r="G831" s="11" t="s">
        <v>2456</v>
      </c>
      <c r="H831" s="9" t="s">
        <v>2457</v>
      </c>
      <c r="I831" s="10">
        <v>45502</v>
      </c>
    </row>
    <row r="832" spans="1:9" x14ac:dyDescent="0.15">
      <c r="A832" s="9">
        <v>831</v>
      </c>
      <c r="B832" s="9" t="s">
        <v>9</v>
      </c>
      <c r="C832" s="9">
        <v>1910</v>
      </c>
      <c r="D832" s="10">
        <v>45602</v>
      </c>
      <c r="E832" s="13" t="str">
        <f>+HYPERLINK("http://trademark.i-assist.jp/data/china/image_1910th/80048021.pdf","80048021")</f>
        <v>80048021</v>
      </c>
      <c r="F832" s="11" t="s">
        <v>2458</v>
      </c>
      <c r="G832" s="9" t="s">
        <v>110</v>
      </c>
      <c r="H832" s="9" t="s">
        <v>2459</v>
      </c>
      <c r="I832" s="10">
        <v>45502</v>
      </c>
    </row>
    <row r="833" spans="1:9" x14ac:dyDescent="0.15">
      <c r="A833" s="9">
        <v>832</v>
      </c>
      <c r="B833" s="9" t="s">
        <v>9</v>
      </c>
      <c r="C833" s="9">
        <v>1910</v>
      </c>
      <c r="D833" s="10">
        <v>45602</v>
      </c>
      <c r="E833" s="13" t="str">
        <f>+HYPERLINK("http://trademark.i-assist.jp/data/china/image_1910th/80048271.pdf","80048271")</f>
        <v>80048271</v>
      </c>
      <c r="F833" s="9" t="s">
        <v>2460</v>
      </c>
      <c r="G833" s="11" t="s">
        <v>2461</v>
      </c>
      <c r="H833" s="11" t="s">
        <v>2462</v>
      </c>
      <c r="I833" s="10">
        <v>45502</v>
      </c>
    </row>
    <row r="834" spans="1:9" x14ac:dyDescent="0.15">
      <c r="A834" s="9">
        <v>833</v>
      </c>
      <c r="B834" s="9" t="s">
        <v>9</v>
      </c>
      <c r="C834" s="9">
        <v>1910</v>
      </c>
      <c r="D834" s="10">
        <v>45602</v>
      </c>
      <c r="E834" s="13" t="str">
        <f>+HYPERLINK("http://trademark.i-assist.jp/data/china/image_1910th/80048797.pdf","80048797")</f>
        <v>80048797</v>
      </c>
      <c r="F834" s="9" t="s">
        <v>2463</v>
      </c>
      <c r="G834" s="9" t="s">
        <v>106</v>
      </c>
      <c r="H834" s="9" t="s">
        <v>2464</v>
      </c>
      <c r="I834" s="10">
        <v>45502</v>
      </c>
    </row>
    <row r="835" spans="1:9" x14ac:dyDescent="0.15">
      <c r="A835" s="9">
        <v>834</v>
      </c>
      <c r="B835" s="9" t="s">
        <v>9</v>
      </c>
      <c r="C835" s="9">
        <v>1910</v>
      </c>
      <c r="D835" s="10">
        <v>45602</v>
      </c>
      <c r="E835" s="13" t="str">
        <f>+HYPERLINK("http://trademark.i-assist.jp/data/china/image_1910th/80048811.pdf","80048811")</f>
        <v>80048811</v>
      </c>
      <c r="F835" s="9" t="s">
        <v>2465</v>
      </c>
      <c r="G835" s="9" t="s">
        <v>2466</v>
      </c>
      <c r="H835" s="9" t="s">
        <v>2467</v>
      </c>
      <c r="I835" s="10">
        <v>45502</v>
      </c>
    </row>
    <row r="836" spans="1:9" x14ac:dyDescent="0.15">
      <c r="A836" s="9">
        <v>835</v>
      </c>
      <c r="B836" s="9" t="s">
        <v>9</v>
      </c>
      <c r="C836" s="9">
        <v>1910</v>
      </c>
      <c r="D836" s="10">
        <v>45602</v>
      </c>
      <c r="E836" s="13" t="str">
        <f>+HYPERLINK("http://trademark.i-assist.jp/data/china/image_1910th/80048957.pdf","80048957")</f>
        <v>80048957</v>
      </c>
      <c r="F836" s="9" t="s">
        <v>2468</v>
      </c>
      <c r="G836" s="11" t="s">
        <v>2469</v>
      </c>
      <c r="H836" s="11" t="s">
        <v>2470</v>
      </c>
      <c r="I836" s="10">
        <v>45502</v>
      </c>
    </row>
    <row r="837" spans="1:9" x14ac:dyDescent="0.15">
      <c r="A837" s="9">
        <v>836</v>
      </c>
      <c r="B837" s="9" t="s">
        <v>9</v>
      </c>
      <c r="C837" s="9">
        <v>1910</v>
      </c>
      <c r="D837" s="10">
        <v>45602</v>
      </c>
      <c r="E837" s="13" t="str">
        <f>+HYPERLINK("http://trademark.i-assist.jp/data/china/image_1910th/80049249.pdf","80049249")</f>
        <v>80049249</v>
      </c>
      <c r="F837" s="9" t="s">
        <v>2471</v>
      </c>
      <c r="G837" s="9" t="s">
        <v>2472</v>
      </c>
      <c r="H837" s="9" t="s">
        <v>2473</v>
      </c>
      <c r="I837" s="10">
        <v>45502</v>
      </c>
    </row>
    <row r="838" spans="1:9" x14ac:dyDescent="0.15">
      <c r="A838" s="9">
        <v>837</v>
      </c>
      <c r="B838" s="9" t="s">
        <v>9</v>
      </c>
      <c r="C838" s="9">
        <v>1910</v>
      </c>
      <c r="D838" s="10">
        <v>45602</v>
      </c>
      <c r="E838" s="13" t="str">
        <f>+HYPERLINK("http://trademark.i-assist.jp/data/china/image_1910th/80049595.pdf","80049595")</f>
        <v>80049595</v>
      </c>
      <c r="F838" s="11" t="s">
        <v>19</v>
      </c>
      <c r="G838" s="9" t="s">
        <v>2474</v>
      </c>
      <c r="H838" s="9" t="s">
        <v>2475</v>
      </c>
      <c r="I838" s="10">
        <v>45502</v>
      </c>
    </row>
    <row r="839" spans="1:9" x14ac:dyDescent="0.15">
      <c r="A839" s="9">
        <v>838</v>
      </c>
      <c r="B839" s="9" t="s">
        <v>9</v>
      </c>
      <c r="C839" s="9">
        <v>1910</v>
      </c>
      <c r="D839" s="10">
        <v>45602</v>
      </c>
      <c r="E839" s="13" t="str">
        <f>+HYPERLINK("http://trademark.i-assist.jp/data/china/image_1910th/80049874.pdf","80049874")</f>
        <v>80049874</v>
      </c>
      <c r="F839" s="9" t="s">
        <v>2476</v>
      </c>
      <c r="G839" s="9" t="s">
        <v>2477</v>
      </c>
      <c r="H839" s="9" t="s">
        <v>2478</v>
      </c>
      <c r="I839" s="10">
        <v>45502</v>
      </c>
    </row>
    <row r="840" spans="1:9" x14ac:dyDescent="0.15">
      <c r="A840" s="9">
        <v>839</v>
      </c>
      <c r="B840" s="9" t="s">
        <v>9</v>
      </c>
      <c r="C840" s="9">
        <v>1910</v>
      </c>
      <c r="D840" s="10">
        <v>45602</v>
      </c>
      <c r="E840" s="13" t="str">
        <f>+HYPERLINK("http://trademark.i-assist.jp/data/china/image_1910th/80050334.pdf","80050334")</f>
        <v>80050334</v>
      </c>
      <c r="F840" s="9" t="s">
        <v>2479</v>
      </c>
      <c r="G840" s="9" t="s">
        <v>2480</v>
      </c>
      <c r="H840" s="9" t="s">
        <v>2481</v>
      </c>
      <c r="I840" s="10">
        <v>45502</v>
      </c>
    </row>
    <row r="841" spans="1:9" x14ac:dyDescent="0.15">
      <c r="A841" s="9">
        <v>840</v>
      </c>
      <c r="B841" s="9" t="s">
        <v>9</v>
      </c>
      <c r="C841" s="9">
        <v>1910</v>
      </c>
      <c r="D841" s="10">
        <v>45602</v>
      </c>
      <c r="E841" s="13" t="str">
        <f>+HYPERLINK("http://trademark.i-assist.jp/data/china/image_1910th/80050432.pdf","80050432")</f>
        <v>80050432</v>
      </c>
      <c r="F841" s="9" t="s">
        <v>2482</v>
      </c>
      <c r="G841" s="9" t="s">
        <v>2483</v>
      </c>
      <c r="H841" s="9" t="s">
        <v>2484</v>
      </c>
      <c r="I841" s="10">
        <v>45502</v>
      </c>
    </row>
    <row r="842" spans="1:9" x14ac:dyDescent="0.15">
      <c r="A842" s="9">
        <v>841</v>
      </c>
      <c r="B842" s="9" t="s">
        <v>9</v>
      </c>
      <c r="C842" s="9">
        <v>1910</v>
      </c>
      <c r="D842" s="10">
        <v>45602</v>
      </c>
      <c r="E842" s="13" t="str">
        <f>+HYPERLINK("http://trademark.i-assist.jp/data/china/image_1910th/80050881.pdf","80050881")</f>
        <v>80050881</v>
      </c>
      <c r="F842" s="11" t="s">
        <v>19</v>
      </c>
      <c r="G842" s="9" t="s">
        <v>2485</v>
      </c>
      <c r="H842" s="9" t="s">
        <v>2486</v>
      </c>
      <c r="I842" s="10">
        <v>45502</v>
      </c>
    </row>
    <row r="843" spans="1:9" x14ac:dyDescent="0.15">
      <c r="A843" s="9">
        <v>842</v>
      </c>
      <c r="B843" s="9" t="s">
        <v>9</v>
      </c>
      <c r="C843" s="9">
        <v>1910</v>
      </c>
      <c r="D843" s="10">
        <v>45602</v>
      </c>
      <c r="E843" s="13" t="str">
        <f>+HYPERLINK("http://trademark.i-assist.jp/data/china/image_1910th/80051174.pdf","80051174")</f>
        <v>80051174</v>
      </c>
      <c r="F843" s="11" t="s">
        <v>2487</v>
      </c>
      <c r="G843" s="11" t="s">
        <v>2488</v>
      </c>
      <c r="H843" s="9" t="s">
        <v>16</v>
      </c>
      <c r="I843" s="10">
        <v>45502</v>
      </c>
    </row>
    <row r="844" spans="1:9" x14ac:dyDescent="0.15">
      <c r="A844" s="9">
        <v>843</v>
      </c>
      <c r="B844" s="9" t="s">
        <v>9</v>
      </c>
      <c r="C844" s="9">
        <v>1910</v>
      </c>
      <c r="D844" s="10">
        <v>45602</v>
      </c>
      <c r="E844" s="13" t="str">
        <f>+HYPERLINK("http://trademark.i-assist.jp/data/china/image_1910th/80051576.pdf","80051576")</f>
        <v>80051576</v>
      </c>
      <c r="F844" s="11" t="s">
        <v>2489</v>
      </c>
      <c r="G844" s="9" t="s">
        <v>2490</v>
      </c>
      <c r="H844" s="9" t="s">
        <v>2491</v>
      </c>
      <c r="I844" s="10">
        <v>45502</v>
      </c>
    </row>
    <row r="845" spans="1:9" x14ac:dyDescent="0.15">
      <c r="A845" s="9">
        <v>844</v>
      </c>
      <c r="B845" s="9" t="s">
        <v>9</v>
      </c>
      <c r="C845" s="9">
        <v>1910</v>
      </c>
      <c r="D845" s="10">
        <v>45602</v>
      </c>
      <c r="E845" s="13" t="str">
        <f>+HYPERLINK("http://trademark.i-assist.jp/data/china/image_1910th/80051587.pdf","80051587")</f>
        <v>80051587</v>
      </c>
      <c r="F845" s="9" t="s">
        <v>2492</v>
      </c>
      <c r="G845" s="9" t="s">
        <v>2493</v>
      </c>
      <c r="H845" s="9" t="s">
        <v>2494</v>
      </c>
      <c r="I845" s="10">
        <v>45502</v>
      </c>
    </row>
    <row r="846" spans="1:9" x14ac:dyDescent="0.15">
      <c r="A846" s="9">
        <v>845</v>
      </c>
      <c r="B846" s="9" t="s">
        <v>9</v>
      </c>
      <c r="C846" s="9">
        <v>1910</v>
      </c>
      <c r="D846" s="10">
        <v>45602</v>
      </c>
      <c r="E846" s="13" t="str">
        <f>+HYPERLINK("http://trademark.i-assist.jp/data/china/image_1910th/80052069.pdf","80052069")</f>
        <v>80052069</v>
      </c>
      <c r="F846" s="9" t="s">
        <v>2495</v>
      </c>
      <c r="G846" s="11" t="s">
        <v>2217</v>
      </c>
      <c r="H846" s="9" t="s">
        <v>2496</v>
      </c>
      <c r="I846" s="10">
        <v>45502</v>
      </c>
    </row>
    <row r="847" spans="1:9" x14ac:dyDescent="0.15">
      <c r="A847" s="9">
        <v>846</v>
      </c>
      <c r="B847" s="9" t="s">
        <v>9</v>
      </c>
      <c r="C847" s="9">
        <v>1910</v>
      </c>
      <c r="D847" s="10">
        <v>45602</v>
      </c>
      <c r="E847" s="13" t="str">
        <f>+HYPERLINK("http://trademark.i-assist.jp/data/china/image_1910th/80052318.pdf","80052318")</f>
        <v>80052318</v>
      </c>
      <c r="F847" s="9" t="s">
        <v>2497</v>
      </c>
      <c r="G847" s="9" t="s">
        <v>2498</v>
      </c>
      <c r="H847" s="9" t="s">
        <v>2499</v>
      </c>
      <c r="I847" s="10">
        <v>45502</v>
      </c>
    </row>
    <row r="848" spans="1:9" x14ac:dyDescent="0.15">
      <c r="A848" s="9">
        <v>847</v>
      </c>
      <c r="B848" s="9" t="s">
        <v>9</v>
      </c>
      <c r="C848" s="9">
        <v>1910</v>
      </c>
      <c r="D848" s="10">
        <v>45602</v>
      </c>
      <c r="E848" s="13" t="str">
        <f>+HYPERLINK("http://trademark.i-assist.jp/data/china/image_1910th/80052325.pdf","80052325")</f>
        <v>80052325</v>
      </c>
      <c r="F848" s="9" t="s">
        <v>2500</v>
      </c>
      <c r="G848" s="9" t="s">
        <v>2498</v>
      </c>
      <c r="H848" s="9" t="s">
        <v>2501</v>
      </c>
      <c r="I848" s="10">
        <v>45502</v>
      </c>
    </row>
    <row r="849" spans="1:9" x14ac:dyDescent="0.15">
      <c r="A849" s="9">
        <v>848</v>
      </c>
      <c r="B849" s="9" t="s">
        <v>9</v>
      </c>
      <c r="C849" s="9">
        <v>1910</v>
      </c>
      <c r="D849" s="10">
        <v>45602</v>
      </c>
      <c r="E849" s="13" t="str">
        <f>+HYPERLINK("http://trademark.i-assist.jp/data/china/image_1910th/80052873.pdf","80052873")</f>
        <v>80052873</v>
      </c>
      <c r="F849" s="9" t="s">
        <v>2502</v>
      </c>
      <c r="G849" s="9" t="s">
        <v>2442</v>
      </c>
      <c r="H849" s="9" t="s">
        <v>2503</v>
      </c>
      <c r="I849" s="10">
        <v>45502</v>
      </c>
    </row>
    <row r="850" spans="1:9" x14ac:dyDescent="0.15">
      <c r="A850" s="9">
        <v>849</v>
      </c>
      <c r="B850" s="9" t="s">
        <v>9</v>
      </c>
      <c r="C850" s="9">
        <v>1910</v>
      </c>
      <c r="D850" s="10">
        <v>45602</v>
      </c>
      <c r="E850" s="13" t="str">
        <f>+HYPERLINK("http://trademark.i-assist.jp/data/china/image_1910th/80053359.pdf","80053359")</f>
        <v>80053359</v>
      </c>
      <c r="F850" s="9" t="s">
        <v>2504</v>
      </c>
      <c r="G850" s="11" t="s">
        <v>109</v>
      </c>
      <c r="H850" s="9" t="s">
        <v>2505</v>
      </c>
      <c r="I850" s="10">
        <v>45502</v>
      </c>
    </row>
    <row r="851" spans="1:9" x14ac:dyDescent="0.15">
      <c r="A851" s="9">
        <v>850</v>
      </c>
      <c r="B851" s="9" t="s">
        <v>9</v>
      </c>
      <c r="C851" s="9">
        <v>1910</v>
      </c>
      <c r="D851" s="10">
        <v>45602</v>
      </c>
      <c r="E851" s="13" t="str">
        <f>+HYPERLINK("http://trademark.i-assist.jp/data/china/image_1910th/80053891.pdf","80053891")</f>
        <v>80053891</v>
      </c>
      <c r="F851" s="9" t="s">
        <v>2506</v>
      </c>
      <c r="G851" s="9" t="s">
        <v>179</v>
      </c>
      <c r="H851" s="9" t="s">
        <v>2507</v>
      </c>
      <c r="I851" s="10">
        <v>45502</v>
      </c>
    </row>
    <row r="852" spans="1:9" x14ac:dyDescent="0.15">
      <c r="A852" s="9">
        <v>851</v>
      </c>
      <c r="B852" s="9" t="s">
        <v>9</v>
      </c>
      <c r="C852" s="9">
        <v>1910</v>
      </c>
      <c r="D852" s="10">
        <v>45602</v>
      </c>
      <c r="E852" s="13" t="str">
        <f>+HYPERLINK("http://trademark.i-assist.jp/data/china/image_1910th/80053897.pdf","80053897")</f>
        <v>80053897</v>
      </c>
      <c r="F852" s="9" t="s">
        <v>2508</v>
      </c>
      <c r="G852" s="9" t="s">
        <v>179</v>
      </c>
      <c r="H852" s="9" t="s">
        <v>2509</v>
      </c>
      <c r="I852" s="10">
        <v>45502</v>
      </c>
    </row>
    <row r="853" spans="1:9" x14ac:dyDescent="0.15">
      <c r="A853" s="9">
        <v>852</v>
      </c>
      <c r="B853" s="9" t="s">
        <v>9</v>
      </c>
      <c r="C853" s="9">
        <v>1910</v>
      </c>
      <c r="D853" s="10">
        <v>45602</v>
      </c>
      <c r="E853" s="13" t="str">
        <f>+HYPERLINK("http://trademark.i-assist.jp/data/china/image_1910th/80054067.pdf","80054067")</f>
        <v>80054067</v>
      </c>
      <c r="F853" s="9" t="s">
        <v>2510</v>
      </c>
      <c r="G853" s="9" t="s">
        <v>2442</v>
      </c>
      <c r="H853" s="9" t="s">
        <v>2511</v>
      </c>
      <c r="I853" s="10">
        <v>45502</v>
      </c>
    </row>
    <row r="854" spans="1:9" x14ac:dyDescent="0.15">
      <c r="A854" s="9">
        <v>853</v>
      </c>
      <c r="B854" s="9" t="s">
        <v>9</v>
      </c>
      <c r="C854" s="9">
        <v>1910</v>
      </c>
      <c r="D854" s="10">
        <v>45602</v>
      </c>
      <c r="E854" s="13" t="str">
        <f>+HYPERLINK("http://trademark.i-assist.jp/data/china/image_1910th/80054899.pdf","80054899")</f>
        <v>80054899</v>
      </c>
      <c r="F854" s="9" t="s">
        <v>2512</v>
      </c>
      <c r="G854" s="11" t="s">
        <v>108</v>
      </c>
      <c r="H854" s="9" t="s">
        <v>2513</v>
      </c>
      <c r="I854" s="10">
        <v>45502</v>
      </c>
    </row>
    <row r="855" spans="1:9" x14ac:dyDescent="0.15">
      <c r="A855" s="9">
        <v>854</v>
      </c>
      <c r="B855" s="9" t="s">
        <v>9</v>
      </c>
      <c r="C855" s="9">
        <v>1910</v>
      </c>
      <c r="D855" s="10">
        <v>45602</v>
      </c>
      <c r="E855" s="13" t="str">
        <f>+HYPERLINK("http://trademark.i-assist.jp/data/china/image_1910th/80055137.pdf","80055137")</f>
        <v>80055137</v>
      </c>
      <c r="F855" s="11" t="s">
        <v>2514</v>
      </c>
      <c r="G855" s="11" t="s">
        <v>2515</v>
      </c>
      <c r="H855" s="9" t="s">
        <v>2516</v>
      </c>
      <c r="I855" s="10">
        <v>45502</v>
      </c>
    </row>
    <row r="856" spans="1:9" x14ac:dyDescent="0.15">
      <c r="A856" s="9">
        <v>855</v>
      </c>
      <c r="B856" s="9" t="s">
        <v>9</v>
      </c>
      <c r="C856" s="9">
        <v>1910</v>
      </c>
      <c r="D856" s="10">
        <v>45602</v>
      </c>
      <c r="E856" s="13" t="str">
        <f>+HYPERLINK("http://trademark.i-assist.jp/data/china/image_1910th/80055266.pdf","80055266")</f>
        <v>80055266</v>
      </c>
      <c r="F856" s="11" t="s">
        <v>2517</v>
      </c>
      <c r="G856" s="11" t="s">
        <v>2518</v>
      </c>
      <c r="H856" s="9" t="s">
        <v>2519</v>
      </c>
      <c r="I856" s="10">
        <v>45502</v>
      </c>
    </row>
    <row r="857" spans="1:9" x14ac:dyDescent="0.15">
      <c r="A857" s="9">
        <v>856</v>
      </c>
      <c r="B857" s="9" t="s">
        <v>9</v>
      </c>
      <c r="C857" s="9">
        <v>1910</v>
      </c>
      <c r="D857" s="10">
        <v>45602</v>
      </c>
      <c r="E857" s="13" t="str">
        <f>+HYPERLINK("http://trademark.i-assist.jp/data/china/image_1910th/80055812.pdf","80055812")</f>
        <v>80055812</v>
      </c>
      <c r="F857" s="9" t="s">
        <v>2520</v>
      </c>
      <c r="G857" s="9" t="s">
        <v>2521</v>
      </c>
      <c r="H857" s="9" t="s">
        <v>2522</v>
      </c>
      <c r="I857" s="10">
        <v>45502</v>
      </c>
    </row>
    <row r="858" spans="1:9" x14ac:dyDescent="0.15">
      <c r="A858" s="9">
        <v>857</v>
      </c>
      <c r="B858" s="9" t="s">
        <v>9</v>
      </c>
      <c r="C858" s="9">
        <v>1910</v>
      </c>
      <c r="D858" s="10">
        <v>45602</v>
      </c>
      <c r="E858" s="13" t="str">
        <f>+HYPERLINK("http://trademark.i-assist.jp/data/china/image_1910th/80056009.pdf","80056009")</f>
        <v>80056009</v>
      </c>
      <c r="F858" s="11" t="s">
        <v>2523</v>
      </c>
      <c r="G858" s="11" t="s">
        <v>2524</v>
      </c>
      <c r="H858" s="9" t="s">
        <v>2525</v>
      </c>
      <c r="I858" s="10">
        <v>45502</v>
      </c>
    </row>
    <row r="859" spans="1:9" x14ac:dyDescent="0.15">
      <c r="A859" s="9">
        <v>858</v>
      </c>
      <c r="B859" s="9" t="s">
        <v>9</v>
      </c>
      <c r="C859" s="9">
        <v>1910</v>
      </c>
      <c r="D859" s="10">
        <v>45602</v>
      </c>
      <c r="E859" s="13" t="str">
        <f>+HYPERLINK("http://trademark.i-assist.jp/data/china/image_1910th/80056108.pdf","80056108")</f>
        <v>80056108</v>
      </c>
      <c r="F859" s="9" t="s">
        <v>2526</v>
      </c>
      <c r="G859" s="9" t="s">
        <v>1539</v>
      </c>
      <c r="H859" s="9" t="s">
        <v>2527</v>
      </c>
      <c r="I859" s="10">
        <v>45502</v>
      </c>
    </row>
    <row r="860" spans="1:9" x14ac:dyDescent="0.15">
      <c r="A860" s="9">
        <v>859</v>
      </c>
      <c r="B860" s="9" t="s">
        <v>9</v>
      </c>
      <c r="C860" s="9">
        <v>1910</v>
      </c>
      <c r="D860" s="10">
        <v>45602</v>
      </c>
      <c r="E860" s="13" t="str">
        <f>+HYPERLINK("http://trademark.i-assist.jp/data/china/image_1910th/80056631.pdf","80056631")</f>
        <v>80056631</v>
      </c>
      <c r="F860" s="11" t="s">
        <v>2528</v>
      </c>
      <c r="G860" s="9" t="s">
        <v>179</v>
      </c>
      <c r="H860" s="11" t="s">
        <v>2529</v>
      </c>
      <c r="I860" s="10">
        <v>45502</v>
      </c>
    </row>
    <row r="861" spans="1:9" x14ac:dyDescent="0.15">
      <c r="A861" s="9">
        <v>860</v>
      </c>
      <c r="B861" s="9" t="s">
        <v>9</v>
      </c>
      <c r="C861" s="9">
        <v>1910</v>
      </c>
      <c r="D861" s="10">
        <v>45602</v>
      </c>
      <c r="E861" s="13" t="str">
        <f>+HYPERLINK("http://trademark.i-assist.jp/data/china/image_1910th/80056738.pdf","80056738")</f>
        <v>80056738</v>
      </c>
      <c r="F861" s="9" t="s">
        <v>2530</v>
      </c>
      <c r="G861" s="9" t="s">
        <v>2531</v>
      </c>
      <c r="H861" s="11" t="s">
        <v>2532</v>
      </c>
      <c r="I861" s="10">
        <v>45502</v>
      </c>
    </row>
    <row r="862" spans="1:9" x14ac:dyDescent="0.15">
      <c r="A862" s="9">
        <v>861</v>
      </c>
      <c r="B862" s="9" t="s">
        <v>9</v>
      </c>
      <c r="C862" s="9">
        <v>1910</v>
      </c>
      <c r="D862" s="10">
        <v>45602</v>
      </c>
      <c r="E862" s="13" t="str">
        <f>+HYPERLINK("http://trademark.i-assist.jp/data/china/image_1910th/80057722.pdf","80057722")</f>
        <v>80057722</v>
      </c>
      <c r="F862" s="9" t="s">
        <v>2533</v>
      </c>
      <c r="G862" s="9" t="s">
        <v>2534</v>
      </c>
      <c r="H862" s="9" t="s">
        <v>2535</v>
      </c>
      <c r="I862" s="10">
        <v>45502</v>
      </c>
    </row>
    <row r="863" spans="1:9" x14ac:dyDescent="0.15">
      <c r="A863" s="9">
        <v>862</v>
      </c>
      <c r="B863" s="9" t="s">
        <v>9</v>
      </c>
      <c r="C863" s="9">
        <v>1910</v>
      </c>
      <c r="D863" s="10">
        <v>45602</v>
      </c>
      <c r="E863" s="13" t="str">
        <f>+HYPERLINK("http://trademark.i-assist.jp/data/china/image_1910th/80058246.pdf","80058246")</f>
        <v>80058246</v>
      </c>
      <c r="F863" s="9" t="s">
        <v>2536</v>
      </c>
      <c r="G863" s="9" t="s">
        <v>179</v>
      </c>
      <c r="H863" s="9" t="s">
        <v>2537</v>
      </c>
      <c r="I863" s="10">
        <v>45502</v>
      </c>
    </row>
    <row r="864" spans="1:9" x14ac:dyDescent="0.15">
      <c r="A864" s="9">
        <v>863</v>
      </c>
      <c r="B864" s="9" t="s">
        <v>9</v>
      </c>
      <c r="C864" s="9">
        <v>1910</v>
      </c>
      <c r="D864" s="10">
        <v>45602</v>
      </c>
      <c r="E864" s="13" t="str">
        <f>+HYPERLINK("http://trademark.i-assist.jp/data/china/image_1910th/80058530.pdf","80058530")</f>
        <v>80058530</v>
      </c>
      <c r="F864" s="9" t="s">
        <v>2538</v>
      </c>
      <c r="G864" s="9" t="s">
        <v>2539</v>
      </c>
      <c r="H864" s="11" t="s">
        <v>2540</v>
      </c>
      <c r="I864" s="10">
        <v>45502</v>
      </c>
    </row>
    <row r="865" spans="1:9" x14ac:dyDescent="0.15">
      <c r="A865" s="9">
        <v>864</v>
      </c>
      <c r="B865" s="9" t="s">
        <v>9</v>
      </c>
      <c r="C865" s="9">
        <v>1910</v>
      </c>
      <c r="D865" s="10">
        <v>45602</v>
      </c>
      <c r="E865" s="13" t="str">
        <f>+HYPERLINK("http://trademark.i-assist.jp/data/china/image_1910th/80060370.pdf","80060370")</f>
        <v>80060370</v>
      </c>
      <c r="F865" s="9" t="s">
        <v>2541</v>
      </c>
      <c r="G865" s="9" t="s">
        <v>2542</v>
      </c>
      <c r="H865" s="11" t="s">
        <v>2543</v>
      </c>
      <c r="I865" s="10">
        <v>45502</v>
      </c>
    </row>
    <row r="866" spans="1:9" x14ac:dyDescent="0.15">
      <c r="A866" s="9">
        <v>865</v>
      </c>
      <c r="B866" s="9" t="s">
        <v>9</v>
      </c>
      <c r="C866" s="9">
        <v>1910</v>
      </c>
      <c r="D866" s="10">
        <v>45602</v>
      </c>
      <c r="E866" s="13" t="str">
        <f>+HYPERLINK("http://trademark.i-assist.jp/data/china/image_1910th/80060882.pdf","80060882")</f>
        <v>80060882</v>
      </c>
      <c r="F866" s="11" t="s">
        <v>2544</v>
      </c>
      <c r="G866" s="11" t="s">
        <v>2515</v>
      </c>
      <c r="H866" s="9" t="s">
        <v>2545</v>
      </c>
      <c r="I866" s="10">
        <v>45502</v>
      </c>
    </row>
    <row r="867" spans="1:9" x14ac:dyDescent="0.15">
      <c r="A867" s="9">
        <v>866</v>
      </c>
      <c r="B867" s="9" t="s">
        <v>9</v>
      </c>
      <c r="C867" s="9">
        <v>1910</v>
      </c>
      <c r="D867" s="10">
        <v>45602</v>
      </c>
      <c r="E867" s="13" t="str">
        <f>+HYPERLINK("http://trademark.i-assist.jp/data/china/image_1910th/80060924.pdf","80060924")</f>
        <v>80060924</v>
      </c>
      <c r="F867" s="9" t="s">
        <v>2546</v>
      </c>
      <c r="G867" s="9" t="s">
        <v>2547</v>
      </c>
      <c r="H867" s="9" t="s">
        <v>2548</v>
      </c>
      <c r="I867" s="10">
        <v>45502</v>
      </c>
    </row>
    <row r="868" spans="1:9" x14ac:dyDescent="0.15">
      <c r="A868" s="9">
        <v>867</v>
      </c>
      <c r="B868" s="9" t="s">
        <v>9</v>
      </c>
      <c r="C868" s="9">
        <v>1910</v>
      </c>
      <c r="D868" s="10">
        <v>45602</v>
      </c>
      <c r="E868" s="13" t="str">
        <f>+HYPERLINK("http://trademark.i-assist.jp/data/china/image_1910th/80060934.pdf","80060934")</f>
        <v>80060934</v>
      </c>
      <c r="F868" s="9" t="s">
        <v>2549</v>
      </c>
      <c r="G868" s="9" t="s">
        <v>2550</v>
      </c>
      <c r="H868" s="9" t="s">
        <v>2551</v>
      </c>
      <c r="I868" s="10">
        <v>45502</v>
      </c>
    </row>
    <row r="869" spans="1:9" x14ac:dyDescent="0.15">
      <c r="A869" s="9">
        <v>868</v>
      </c>
      <c r="B869" s="9" t="s">
        <v>9</v>
      </c>
      <c r="C869" s="9">
        <v>1910</v>
      </c>
      <c r="D869" s="10">
        <v>45602</v>
      </c>
      <c r="E869" s="13" t="str">
        <f>+HYPERLINK("http://trademark.i-assist.jp/data/china/image_1910th/80061273.pdf","80061273")</f>
        <v>80061273</v>
      </c>
      <c r="F869" s="9" t="s">
        <v>2552</v>
      </c>
      <c r="G869" s="9" t="s">
        <v>1985</v>
      </c>
      <c r="H869" s="9" t="s">
        <v>2553</v>
      </c>
      <c r="I869" s="10">
        <v>45502</v>
      </c>
    </row>
    <row r="870" spans="1:9" x14ac:dyDescent="0.15">
      <c r="A870" s="9">
        <v>869</v>
      </c>
      <c r="B870" s="9" t="s">
        <v>9</v>
      </c>
      <c r="C870" s="9">
        <v>1910</v>
      </c>
      <c r="D870" s="10">
        <v>45602</v>
      </c>
      <c r="E870" s="13" t="str">
        <f>+HYPERLINK("http://trademark.i-assist.jp/data/china/image_1910th/80062543.pdf","80062543")</f>
        <v>80062543</v>
      </c>
      <c r="F870" s="9" t="s">
        <v>2554</v>
      </c>
      <c r="G870" s="9" t="s">
        <v>2555</v>
      </c>
      <c r="H870" s="9" t="s">
        <v>2556</v>
      </c>
      <c r="I870" s="10">
        <v>45502</v>
      </c>
    </row>
    <row r="871" spans="1:9" x14ac:dyDescent="0.15">
      <c r="A871" s="9">
        <v>870</v>
      </c>
      <c r="B871" s="9" t="s">
        <v>9</v>
      </c>
      <c r="C871" s="9">
        <v>1910</v>
      </c>
      <c r="D871" s="10">
        <v>45602</v>
      </c>
      <c r="E871" s="13" t="str">
        <f>+HYPERLINK("http://trademark.i-assist.jp/data/china/image_1910th/80062622.pdf","80062622")</f>
        <v>80062622</v>
      </c>
      <c r="F871" s="9" t="s">
        <v>2557</v>
      </c>
      <c r="G871" s="9" t="s">
        <v>2558</v>
      </c>
      <c r="H871" s="9" t="s">
        <v>2559</v>
      </c>
      <c r="I871" s="10">
        <v>45502</v>
      </c>
    </row>
    <row r="872" spans="1:9" x14ac:dyDescent="0.15">
      <c r="A872" s="9">
        <v>871</v>
      </c>
      <c r="B872" s="9" t="s">
        <v>9</v>
      </c>
      <c r="C872" s="9">
        <v>1910</v>
      </c>
      <c r="D872" s="10">
        <v>45602</v>
      </c>
      <c r="E872" s="13" t="str">
        <f>+HYPERLINK("http://trademark.i-assist.jp/data/china/image_1910th/80062675.pdf","80062675")</f>
        <v>80062675</v>
      </c>
      <c r="F872" s="9" t="s">
        <v>2560</v>
      </c>
      <c r="G872" s="9" t="s">
        <v>2531</v>
      </c>
      <c r="H872" s="9" t="s">
        <v>2561</v>
      </c>
      <c r="I872" s="10">
        <v>45502</v>
      </c>
    </row>
    <row r="873" spans="1:9" x14ac:dyDescent="0.15">
      <c r="A873" s="9">
        <v>872</v>
      </c>
      <c r="B873" s="9" t="s">
        <v>9</v>
      </c>
      <c r="C873" s="9">
        <v>1910</v>
      </c>
      <c r="D873" s="10">
        <v>45602</v>
      </c>
      <c r="E873" s="13" t="str">
        <f>+HYPERLINK("http://trademark.i-assist.jp/data/china/image_1910th/80063755.pdf","80063755")</f>
        <v>80063755</v>
      </c>
      <c r="F873" s="11" t="s">
        <v>2562</v>
      </c>
      <c r="G873" s="9" t="s">
        <v>44</v>
      </c>
      <c r="H873" s="9" t="s">
        <v>2563</v>
      </c>
      <c r="I873" s="10">
        <v>45502</v>
      </c>
    </row>
    <row r="874" spans="1:9" x14ac:dyDescent="0.15">
      <c r="A874" s="9">
        <v>873</v>
      </c>
      <c r="B874" s="9" t="s">
        <v>9</v>
      </c>
      <c r="C874" s="9">
        <v>1910</v>
      </c>
      <c r="D874" s="10">
        <v>45602</v>
      </c>
      <c r="E874" s="13" t="str">
        <f>+HYPERLINK("http://trademark.i-assist.jp/data/china/image_1910th/80063757.pdf","80063757")</f>
        <v>80063757</v>
      </c>
      <c r="F874" s="9" t="s">
        <v>2564</v>
      </c>
      <c r="G874" s="9" t="s">
        <v>2565</v>
      </c>
      <c r="H874" s="11" t="s">
        <v>2566</v>
      </c>
      <c r="I874" s="10">
        <v>45502</v>
      </c>
    </row>
    <row r="875" spans="1:9" x14ac:dyDescent="0.15">
      <c r="A875" s="9">
        <v>874</v>
      </c>
      <c r="B875" s="9" t="s">
        <v>9</v>
      </c>
      <c r="C875" s="9">
        <v>1910</v>
      </c>
      <c r="D875" s="10">
        <v>45602</v>
      </c>
      <c r="E875" s="13" t="str">
        <f>+HYPERLINK("http://trademark.i-assist.jp/data/china/image_1910th/80063796.pdf","80063796")</f>
        <v>80063796</v>
      </c>
      <c r="F875" s="9" t="s">
        <v>2567</v>
      </c>
      <c r="G875" s="11" t="s">
        <v>2568</v>
      </c>
      <c r="H875" s="9" t="s">
        <v>2569</v>
      </c>
      <c r="I875" s="10">
        <v>45502</v>
      </c>
    </row>
    <row r="876" spans="1:9" x14ac:dyDescent="0.15">
      <c r="A876" s="9">
        <v>875</v>
      </c>
      <c r="B876" s="9" t="s">
        <v>9</v>
      </c>
      <c r="C876" s="9">
        <v>1910</v>
      </c>
      <c r="D876" s="10">
        <v>45602</v>
      </c>
      <c r="E876" s="13" t="str">
        <f>+HYPERLINK("http://trademark.i-assist.jp/data/china/image_1910th/80064383.pdf","80064383")</f>
        <v>80064383</v>
      </c>
      <c r="F876" s="9" t="s">
        <v>2570</v>
      </c>
      <c r="G876" s="9" t="s">
        <v>2571</v>
      </c>
      <c r="H876" s="9" t="s">
        <v>2572</v>
      </c>
      <c r="I876" s="10">
        <v>45502</v>
      </c>
    </row>
    <row r="877" spans="1:9" x14ac:dyDescent="0.15">
      <c r="A877" s="9">
        <v>876</v>
      </c>
      <c r="B877" s="9" t="s">
        <v>9</v>
      </c>
      <c r="C877" s="9">
        <v>1910</v>
      </c>
      <c r="D877" s="10">
        <v>45602</v>
      </c>
      <c r="E877" s="13" t="str">
        <f>+HYPERLINK("http://trademark.i-assist.jp/data/china/image_1910th/80064579.pdf","80064579")</f>
        <v>80064579</v>
      </c>
      <c r="F877" s="9" t="s">
        <v>2573</v>
      </c>
      <c r="G877" s="11" t="s">
        <v>2574</v>
      </c>
      <c r="H877" s="9" t="s">
        <v>2575</v>
      </c>
      <c r="I877" s="10">
        <v>45502</v>
      </c>
    </row>
    <row r="878" spans="1:9" x14ac:dyDescent="0.15">
      <c r="A878" s="9">
        <v>877</v>
      </c>
      <c r="B878" s="9" t="s">
        <v>9</v>
      </c>
      <c r="C878" s="9">
        <v>1910</v>
      </c>
      <c r="D878" s="10">
        <v>45602</v>
      </c>
      <c r="E878" s="13" t="str">
        <f>+HYPERLINK("http://trademark.i-assist.jp/data/china/image_1910th/80064712.pdf","80064712")</f>
        <v>80064712</v>
      </c>
      <c r="F878" s="9" t="s">
        <v>2576</v>
      </c>
      <c r="G878" s="9" t="s">
        <v>2577</v>
      </c>
      <c r="H878" s="9" t="s">
        <v>2578</v>
      </c>
      <c r="I878" s="10">
        <v>45502</v>
      </c>
    </row>
    <row r="879" spans="1:9" x14ac:dyDescent="0.15">
      <c r="A879" s="9">
        <v>878</v>
      </c>
      <c r="B879" s="9" t="s">
        <v>9</v>
      </c>
      <c r="C879" s="9">
        <v>1910</v>
      </c>
      <c r="D879" s="10">
        <v>45602</v>
      </c>
      <c r="E879" s="13" t="str">
        <f>+HYPERLINK("http://trademark.i-assist.jp/data/china/image_1910th/80064721.pdf","80064721")</f>
        <v>80064721</v>
      </c>
      <c r="F879" s="9" t="s">
        <v>2579</v>
      </c>
      <c r="G879" s="11" t="s">
        <v>2580</v>
      </c>
      <c r="H879" s="9" t="s">
        <v>2581</v>
      </c>
      <c r="I879" s="10">
        <v>45502</v>
      </c>
    </row>
    <row r="880" spans="1:9" x14ac:dyDescent="0.15">
      <c r="A880" s="9">
        <v>879</v>
      </c>
      <c r="B880" s="9" t="s">
        <v>9</v>
      </c>
      <c r="C880" s="9">
        <v>1910</v>
      </c>
      <c r="D880" s="10">
        <v>45602</v>
      </c>
      <c r="E880" s="13" t="str">
        <f>+HYPERLINK("http://trademark.i-assist.jp/data/china/image_1910th/80064764.pdf","80064764")</f>
        <v>80064764</v>
      </c>
      <c r="F880" s="9" t="s">
        <v>2582</v>
      </c>
      <c r="G880" s="11" t="s">
        <v>2518</v>
      </c>
      <c r="H880" s="11" t="s">
        <v>2583</v>
      </c>
      <c r="I880" s="10">
        <v>45502</v>
      </c>
    </row>
    <row r="881" spans="1:9" x14ac:dyDescent="0.15">
      <c r="A881" s="9">
        <v>880</v>
      </c>
      <c r="B881" s="9" t="s">
        <v>9</v>
      </c>
      <c r="C881" s="9">
        <v>1910</v>
      </c>
      <c r="D881" s="10">
        <v>45602</v>
      </c>
      <c r="E881" s="13" t="str">
        <f>+HYPERLINK("http://trademark.i-assist.jp/data/china/image_1910th/80065130.pdf","80065130")</f>
        <v>80065130</v>
      </c>
      <c r="F881" s="9" t="s">
        <v>2584</v>
      </c>
      <c r="G881" s="11" t="s">
        <v>103</v>
      </c>
      <c r="H881" s="11" t="s">
        <v>2585</v>
      </c>
      <c r="I881" s="10">
        <v>45502</v>
      </c>
    </row>
    <row r="882" spans="1:9" x14ac:dyDescent="0.15">
      <c r="A882" s="9">
        <v>881</v>
      </c>
      <c r="B882" s="9" t="s">
        <v>9</v>
      </c>
      <c r="C882" s="9">
        <v>1910</v>
      </c>
      <c r="D882" s="10">
        <v>45602</v>
      </c>
      <c r="E882" s="13" t="str">
        <f>+HYPERLINK("http://trademark.i-assist.jp/data/china/image_1910th/80065468.pdf","80065468")</f>
        <v>80065468</v>
      </c>
      <c r="F882" s="9" t="s">
        <v>2586</v>
      </c>
      <c r="G882" s="11" t="s">
        <v>2453</v>
      </c>
      <c r="H882" s="9" t="s">
        <v>2587</v>
      </c>
      <c r="I882" s="10">
        <v>45502</v>
      </c>
    </row>
    <row r="883" spans="1:9" x14ac:dyDescent="0.15">
      <c r="A883" s="9">
        <v>882</v>
      </c>
      <c r="B883" s="9" t="s">
        <v>9</v>
      </c>
      <c r="C883" s="9">
        <v>1910</v>
      </c>
      <c r="D883" s="10">
        <v>45602</v>
      </c>
      <c r="E883" s="13" t="str">
        <f>+HYPERLINK("http://trademark.i-assist.jp/data/china/image_1910th/80065718.pdf","80065718")</f>
        <v>80065718</v>
      </c>
      <c r="F883" s="9" t="s">
        <v>2588</v>
      </c>
      <c r="G883" s="11" t="s">
        <v>2589</v>
      </c>
      <c r="H883" s="9" t="s">
        <v>2590</v>
      </c>
      <c r="I883" s="10">
        <v>45502</v>
      </c>
    </row>
    <row r="884" spans="1:9" x14ac:dyDescent="0.15">
      <c r="A884" s="9">
        <v>883</v>
      </c>
      <c r="B884" s="9" t="s">
        <v>9</v>
      </c>
      <c r="C884" s="9">
        <v>1910</v>
      </c>
      <c r="D884" s="10">
        <v>45602</v>
      </c>
      <c r="E884" s="13" t="str">
        <f>+HYPERLINK("http://trademark.i-assist.jp/data/china/image_1910th/80066377.pdf","80066377")</f>
        <v>80066377</v>
      </c>
      <c r="F884" s="9" t="s">
        <v>2591</v>
      </c>
      <c r="G884" s="11" t="s">
        <v>2592</v>
      </c>
      <c r="H884" s="9" t="s">
        <v>2593</v>
      </c>
      <c r="I884" s="10">
        <v>45502</v>
      </c>
    </row>
    <row r="885" spans="1:9" x14ac:dyDescent="0.15">
      <c r="A885" s="9">
        <v>884</v>
      </c>
      <c r="B885" s="9" t="s">
        <v>9</v>
      </c>
      <c r="C885" s="9">
        <v>1910</v>
      </c>
      <c r="D885" s="10">
        <v>45602</v>
      </c>
      <c r="E885" s="13" t="str">
        <f>+HYPERLINK("http://trademark.i-assist.jp/data/china/image_1910th/80066411.pdf","80066411")</f>
        <v>80066411</v>
      </c>
      <c r="F885" s="9" t="s">
        <v>2594</v>
      </c>
      <c r="G885" s="11" t="s">
        <v>2445</v>
      </c>
      <c r="H885" s="9" t="s">
        <v>2595</v>
      </c>
      <c r="I885" s="10">
        <v>45502</v>
      </c>
    </row>
    <row r="886" spans="1:9" x14ac:dyDescent="0.15">
      <c r="A886" s="9">
        <v>885</v>
      </c>
      <c r="B886" s="9" t="s">
        <v>9</v>
      </c>
      <c r="C886" s="9">
        <v>1910</v>
      </c>
      <c r="D886" s="10">
        <v>45602</v>
      </c>
      <c r="E886" s="13" t="str">
        <f>+HYPERLINK("http://trademark.i-assist.jp/data/china/image_1910th/80066535.pdf","80066535")</f>
        <v>80066535</v>
      </c>
      <c r="F886" s="9" t="s">
        <v>2596</v>
      </c>
      <c r="G886" s="11" t="s">
        <v>2597</v>
      </c>
      <c r="H886" s="9" t="s">
        <v>2598</v>
      </c>
      <c r="I886" s="10">
        <v>45502</v>
      </c>
    </row>
    <row r="887" spans="1:9" x14ac:dyDescent="0.15">
      <c r="A887" s="9">
        <v>886</v>
      </c>
      <c r="B887" s="9" t="s">
        <v>9</v>
      </c>
      <c r="C887" s="9">
        <v>1910</v>
      </c>
      <c r="D887" s="10">
        <v>45602</v>
      </c>
      <c r="E887" s="13" t="str">
        <f>+HYPERLINK("http://trademark.i-assist.jp/data/china/image_1910th/80066953.pdf","80066953")</f>
        <v>80066953</v>
      </c>
      <c r="F887" s="9" t="s">
        <v>2599</v>
      </c>
      <c r="G887" s="11" t="s">
        <v>2600</v>
      </c>
      <c r="H887" s="11" t="s">
        <v>2601</v>
      </c>
      <c r="I887" s="10">
        <v>45502</v>
      </c>
    </row>
    <row r="888" spans="1:9" x14ac:dyDescent="0.15">
      <c r="A888" s="9">
        <v>887</v>
      </c>
      <c r="B888" s="9" t="s">
        <v>9</v>
      </c>
      <c r="C888" s="9">
        <v>1910</v>
      </c>
      <c r="D888" s="10">
        <v>45602</v>
      </c>
      <c r="E888" s="13" t="str">
        <f>+HYPERLINK("http://trademark.i-assist.jp/data/china/image_1910th/80067185.pdf","80067185")</f>
        <v>80067185</v>
      </c>
      <c r="F888" s="9" t="s">
        <v>2602</v>
      </c>
      <c r="G888" s="9" t="s">
        <v>2603</v>
      </c>
      <c r="H888" s="9" t="s">
        <v>2604</v>
      </c>
      <c r="I888" s="10">
        <v>45502</v>
      </c>
    </row>
    <row r="889" spans="1:9" x14ac:dyDescent="0.15">
      <c r="A889" s="9">
        <v>888</v>
      </c>
      <c r="B889" s="9" t="s">
        <v>9</v>
      </c>
      <c r="C889" s="9">
        <v>1910</v>
      </c>
      <c r="D889" s="10">
        <v>45602</v>
      </c>
      <c r="E889" s="13" t="str">
        <f>+HYPERLINK("http://trademark.i-assist.jp/data/china/image_1910th/80067303.pdf","80067303")</f>
        <v>80067303</v>
      </c>
      <c r="F889" s="11" t="s">
        <v>2605</v>
      </c>
      <c r="G889" s="11" t="s">
        <v>2606</v>
      </c>
      <c r="H889" s="11" t="s">
        <v>2607</v>
      </c>
      <c r="I889" s="10">
        <v>45502</v>
      </c>
    </row>
    <row r="890" spans="1:9" x14ac:dyDescent="0.15">
      <c r="A890" s="9">
        <v>889</v>
      </c>
      <c r="B890" s="9" t="s">
        <v>9</v>
      </c>
      <c r="C890" s="9">
        <v>1910</v>
      </c>
      <c r="D890" s="10">
        <v>45602</v>
      </c>
      <c r="E890" s="13" t="str">
        <f>+HYPERLINK("http://trademark.i-assist.jp/data/china/image_1910th/80067392.pdf","80067392")</f>
        <v>80067392</v>
      </c>
      <c r="F890" s="9" t="s">
        <v>2608</v>
      </c>
      <c r="G890" s="9" t="s">
        <v>104</v>
      </c>
      <c r="H890" s="9" t="s">
        <v>2609</v>
      </c>
      <c r="I890" s="10">
        <v>45502</v>
      </c>
    </row>
    <row r="891" spans="1:9" x14ac:dyDescent="0.15">
      <c r="A891" s="9">
        <v>890</v>
      </c>
      <c r="B891" s="9" t="s">
        <v>9</v>
      </c>
      <c r="C891" s="9">
        <v>1910</v>
      </c>
      <c r="D891" s="10">
        <v>45602</v>
      </c>
      <c r="E891" s="13" t="str">
        <f>+HYPERLINK("http://trademark.i-assist.jp/data/china/image_1910th/80067868.pdf","80067868")</f>
        <v>80067868</v>
      </c>
      <c r="F891" s="9" t="s">
        <v>2610</v>
      </c>
      <c r="G891" s="11" t="s">
        <v>2611</v>
      </c>
      <c r="H891" s="9" t="s">
        <v>2612</v>
      </c>
      <c r="I891" s="10">
        <v>45502</v>
      </c>
    </row>
    <row r="892" spans="1:9" x14ac:dyDescent="0.15">
      <c r="A892" s="9">
        <v>891</v>
      </c>
      <c r="B892" s="9" t="s">
        <v>9</v>
      </c>
      <c r="C892" s="9">
        <v>1910</v>
      </c>
      <c r="D892" s="10">
        <v>45602</v>
      </c>
      <c r="E892" s="13" t="str">
        <f>+HYPERLINK("http://trademark.i-assist.jp/data/china/image_1910th/80067921.pdf","80067921")</f>
        <v>80067921</v>
      </c>
      <c r="F892" s="9" t="s">
        <v>2613</v>
      </c>
      <c r="G892" s="9" t="s">
        <v>2614</v>
      </c>
      <c r="H892" s="9" t="s">
        <v>2615</v>
      </c>
      <c r="I892" s="10">
        <v>45502</v>
      </c>
    </row>
    <row r="893" spans="1:9" x14ac:dyDescent="0.15">
      <c r="A893" s="9">
        <v>892</v>
      </c>
      <c r="B893" s="9" t="s">
        <v>9</v>
      </c>
      <c r="C893" s="9">
        <v>1910</v>
      </c>
      <c r="D893" s="10">
        <v>45602</v>
      </c>
      <c r="E893" s="13" t="str">
        <f>+HYPERLINK("http://trademark.i-assist.jp/data/china/image_1910th/80068403.pdf","80068403")</f>
        <v>80068403</v>
      </c>
      <c r="F893" s="11" t="s">
        <v>2616</v>
      </c>
      <c r="G893" s="11" t="s">
        <v>2617</v>
      </c>
      <c r="H893" s="9" t="s">
        <v>2618</v>
      </c>
      <c r="I893" s="10">
        <v>45502</v>
      </c>
    </row>
    <row r="894" spans="1:9" x14ac:dyDescent="0.15">
      <c r="A894" s="9">
        <v>893</v>
      </c>
      <c r="B894" s="9" t="s">
        <v>9</v>
      </c>
      <c r="C894" s="9">
        <v>1910</v>
      </c>
      <c r="D894" s="10">
        <v>45602</v>
      </c>
      <c r="E894" s="13" t="str">
        <f>+HYPERLINK("http://trademark.i-assist.jp/data/china/image_1910th/80068921.pdf","80068921")</f>
        <v>80068921</v>
      </c>
      <c r="F894" s="11" t="s">
        <v>2619</v>
      </c>
      <c r="G894" s="11" t="s">
        <v>2620</v>
      </c>
      <c r="H894" s="9" t="s">
        <v>2621</v>
      </c>
      <c r="I894" s="10">
        <v>45502</v>
      </c>
    </row>
    <row r="895" spans="1:9" x14ac:dyDescent="0.15">
      <c r="A895" s="9">
        <v>894</v>
      </c>
      <c r="B895" s="9" t="s">
        <v>9</v>
      </c>
      <c r="C895" s="9">
        <v>1910</v>
      </c>
      <c r="D895" s="10">
        <v>45602</v>
      </c>
      <c r="E895" s="13" t="str">
        <f>+HYPERLINK("http://trademark.i-assist.jp/data/china/image_1910th/80069451.pdf","80069451")</f>
        <v>80069451</v>
      </c>
      <c r="F895" s="9" t="s">
        <v>2622</v>
      </c>
      <c r="G895" s="9" t="s">
        <v>89</v>
      </c>
      <c r="H895" s="9" t="s">
        <v>2623</v>
      </c>
      <c r="I895" s="10">
        <v>45502</v>
      </c>
    </row>
    <row r="896" spans="1:9" x14ac:dyDescent="0.15">
      <c r="A896" s="9">
        <v>895</v>
      </c>
      <c r="B896" s="9" t="s">
        <v>9</v>
      </c>
      <c r="C896" s="9">
        <v>1910</v>
      </c>
      <c r="D896" s="10">
        <v>45602</v>
      </c>
      <c r="E896" s="13" t="str">
        <f>+HYPERLINK("http://trademark.i-assist.jp/data/china/image_1910th/80070097.pdf","80070097")</f>
        <v>80070097</v>
      </c>
      <c r="F896" s="9" t="s">
        <v>2624</v>
      </c>
      <c r="G896" s="9" t="s">
        <v>2625</v>
      </c>
      <c r="H896" s="9" t="s">
        <v>2626</v>
      </c>
      <c r="I896" s="10">
        <v>45502</v>
      </c>
    </row>
    <row r="897" spans="1:9" x14ac:dyDescent="0.15">
      <c r="A897" s="9">
        <v>896</v>
      </c>
      <c r="B897" s="9" t="s">
        <v>9</v>
      </c>
      <c r="C897" s="9">
        <v>1910</v>
      </c>
      <c r="D897" s="10">
        <v>45602</v>
      </c>
      <c r="E897" s="13" t="str">
        <f>+HYPERLINK("http://trademark.i-assist.jp/data/china/image_1910th/80070341.pdf","80070341")</f>
        <v>80070341</v>
      </c>
      <c r="F897" s="9" t="s">
        <v>2627</v>
      </c>
      <c r="G897" s="9" t="s">
        <v>2628</v>
      </c>
      <c r="H897" s="9" t="s">
        <v>2629</v>
      </c>
      <c r="I897" s="10">
        <v>45502</v>
      </c>
    </row>
    <row r="898" spans="1:9" x14ac:dyDescent="0.15">
      <c r="A898" s="9">
        <v>897</v>
      </c>
      <c r="B898" s="9" t="s">
        <v>9</v>
      </c>
      <c r="C898" s="9">
        <v>1910</v>
      </c>
      <c r="D898" s="10">
        <v>45602</v>
      </c>
      <c r="E898" s="13" t="str">
        <f>+HYPERLINK("http://trademark.i-assist.jp/data/china/image_1910th/80070700.pdf","80070700")</f>
        <v>80070700</v>
      </c>
      <c r="F898" s="9" t="s">
        <v>2630</v>
      </c>
      <c r="G898" s="11" t="s">
        <v>2631</v>
      </c>
      <c r="H898" s="11" t="s">
        <v>2632</v>
      </c>
      <c r="I898" s="10">
        <v>45503</v>
      </c>
    </row>
    <row r="899" spans="1:9" x14ac:dyDescent="0.15">
      <c r="A899" s="9">
        <v>898</v>
      </c>
      <c r="B899" s="9" t="s">
        <v>9</v>
      </c>
      <c r="C899" s="9">
        <v>1910</v>
      </c>
      <c r="D899" s="10">
        <v>45602</v>
      </c>
      <c r="E899" s="13" t="str">
        <f>+HYPERLINK("http://trademark.i-assist.jp/data/china/image_1910th/80070712.pdf","80070712")</f>
        <v>80070712</v>
      </c>
      <c r="F899" s="11" t="s">
        <v>2633</v>
      </c>
      <c r="G899" s="11" t="s">
        <v>2631</v>
      </c>
      <c r="H899" s="9" t="s">
        <v>2634</v>
      </c>
      <c r="I899" s="10">
        <v>45503</v>
      </c>
    </row>
    <row r="900" spans="1:9" x14ac:dyDescent="0.15">
      <c r="A900" s="9">
        <v>899</v>
      </c>
      <c r="B900" s="9" t="s">
        <v>9</v>
      </c>
      <c r="C900" s="9">
        <v>1910</v>
      </c>
      <c r="D900" s="10">
        <v>45602</v>
      </c>
      <c r="E900" s="13" t="str">
        <f>+HYPERLINK("http://trademark.i-assist.jp/data/china/image_1910th/80071692.pdf","80071692")</f>
        <v>80071692</v>
      </c>
      <c r="F900" s="11" t="s">
        <v>2635</v>
      </c>
      <c r="G900" s="9" t="s">
        <v>2636</v>
      </c>
      <c r="H900" s="9" t="s">
        <v>2637</v>
      </c>
      <c r="I900" s="10">
        <v>45503</v>
      </c>
    </row>
    <row r="901" spans="1:9" x14ac:dyDescent="0.15">
      <c r="A901" s="9">
        <v>900</v>
      </c>
      <c r="B901" s="9" t="s">
        <v>9</v>
      </c>
      <c r="C901" s="9">
        <v>1910</v>
      </c>
      <c r="D901" s="10">
        <v>45602</v>
      </c>
      <c r="E901" s="13" t="str">
        <f>+HYPERLINK("http://trademark.i-assist.jp/data/china/image_1910th/80072153.pdf","80072153")</f>
        <v>80072153</v>
      </c>
      <c r="F901" s="9" t="s">
        <v>2638</v>
      </c>
      <c r="G901" s="9" t="s">
        <v>2639</v>
      </c>
      <c r="H901" s="9" t="s">
        <v>2640</v>
      </c>
      <c r="I901" s="10">
        <v>45503</v>
      </c>
    </row>
    <row r="902" spans="1:9" x14ac:dyDescent="0.15">
      <c r="A902" s="9">
        <v>901</v>
      </c>
      <c r="B902" s="9" t="s">
        <v>9</v>
      </c>
      <c r="C902" s="9">
        <v>1910</v>
      </c>
      <c r="D902" s="10">
        <v>45602</v>
      </c>
      <c r="E902" s="13" t="str">
        <f>+HYPERLINK("http://trademark.i-assist.jp/data/china/image_1910th/80074087.pdf","80074087")</f>
        <v>80074087</v>
      </c>
      <c r="F902" s="9" t="s">
        <v>2641</v>
      </c>
      <c r="G902" s="9" t="s">
        <v>2642</v>
      </c>
      <c r="H902" s="9" t="s">
        <v>2643</v>
      </c>
      <c r="I902" s="10">
        <v>45503</v>
      </c>
    </row>
    <row r="903" spans="1:9" x14ac:dyDescent="0.15">
      <c r="A903" s="9">
        <v>902</v>
      </c>
      <c r="B903" s="9" t="s">
        <v>9</v>
      </c>
      <c r="C903" s="9">
        <v>1910</v>
      </c>
      <c r="D903" s="10">
        <v>45602</v>
      </c>
      <c r="E903" s="13" t="str">
        <f>+HYPERLINK("http://trademark.i-assist.jp/data/china/image_1910th/80074177.pdf","80074177")</f>
        <v>80074177</v>
      </c>
      <c r="F903" s="9" t="s">
        <v>2644</v>
      </c>
      <c r="G903" s="9" t="s">
        <v>120</v>
      </c>
      <c r="H903" s="9" t="s">
        <v>2645</v>
      </c>
      <c r="I903" s="10">
        <v>45503</v>
      </c>
    </row>
    <row r="904" spans="1:9" x14ac:dyDescent="0.15">
      <c r="A904" s="9">
        <v>903</v>
      </c>
      <c r="B904" s="9" t="s">
        <v>9</v>
      </c>
      <c r="C904" s="9">
        <v>1910</v>
      </c>
      <c r="D904" s="10">
        <v>45602</v>
      </c>
      <c r="E904" s="13" t="str">
        <f>+HYPERLINK("http://trademark.i-assist.jp/data/china/image_1910th/80074198.pdf","80074198")</f>
        <v>80074198</v>
      </c>
      <c r="F904" s="9" t="s">
        <v>2646</v>
      </c>
      <c r="G904" s="9" t="s">
        <v>2647</v>
      </c>
      <c r="H904" s="9" t="s">
        <v>2648</v>
      </c>
      <c r="I904" s="10">
        <v>45503</v>
      </c>
    </row>
    <row r="905" spans="1:9" x14ac:dyDescent="0.15">
      <c r="A905" s="9">
        <v>904</v>
      </c>
      <c r="B905" s="9" t="s">
        <v>9</v>
      </c>
      <c r="C905" s="9">
        <v>1910</v>
      </c>
      <c r="D905" s="10">
        <v>45602</v>
      </c>
      <c r="E905" s="13" t="str">
        <f>+HYPERLINK("http://trademark.i-assist.jp/data/china/image_1910th/80074243.pdf","80074243")</f>
        <v>80074243</v>
      </c>
      <c r="F905" s="9" t="s">
        <v>2649</v>
      </c>
      <c r="G905" s="9" t="s">
        <v>2650</v>
      </c>
      <c r="H905" s="11" t="s">
        <v>2651</v>
      </c>
      <c r="I905" s="10">
        <v>45503</v>
      </c>
    </row>
    <row r="906" spans="1:9" x14ac:dyDescent="0.15">
      <c r="A906" s="9">
        <v>905</v>
      </c>
      <c r="B906" s="9" t="s">
        <v>9</v>
      </c>
      <c r="C906" s="9">
        <v>1910</v>
      </c>
      <c r="D906" s="10">
        <v>45602</v>
      </c>
      <c r="E906" s="13" t="str">
        <f>+HYPERLINK("http://trademark.i-assist.jp/data/china/image_1910th/80074527.pdf","80074527")</f>
        <v>80074527</v>
      </c>
      <c r="F906" s="9" t="s">
        <v>2652</v>
      </c>
      <c r="G906" s="11" t="s">
        <v>2653</v>
      </c>
      <c r="H906" s="11" t="s">
        <v>2654</v>
      </c>
      <c r="I906" s="10">
        <v>45503</v>
      </c>
    </row>
    <row r="907" spans="1:9" x14ac:dyDescent="0.15">
      <c r="A907" s="9">
        <v>906</v>
      </c>
      <c r="B907" s="9" t="s">
        <v>9</v>
      </c>
      <c r="C907" s="9">
        <v>1910</v>
      </c>
      <c r="D907" s="10">
        <v>45602</v>
      </c>
      <c r="E907" s="13" t="str">
        <f>+HYPERLINK("http://trademark.i-assist.jp/data/china/image_1910th/80074750.pdf","80074750")</f>
        <v>80074750</v>
      </c>
      <c r="F907" s="9" t="s">
        <v>2655</v>
      </c>
      <c r="G907" s="9" t="s">
        <v>2656</v>
      </c>
      <c r="H907" s="11" t="s">
        <v>2657</v>
      </c>
      <c r="I907" s="10">
        <v>45503</v>
      </c>
    </row>
    <row r="908" spans="1:9" x14ac:dyDescent="0.15">
      <c r="A908" s="9">
        <v>907</v>
      </c>
      <c r="B908" s="9" t="s">
        <v>9</v>
      </c>
      <c r="C908" s="9">
        <v>1910</v>
      </c>
      <c r="D908" s="10">
        <v>45602</v>
      </c>
      <c r="E908" s="13" t="str">
        <f>+HYPERLINK("http://trademark.i-assist.jp/data/china/image_1910th/80074823.pdf","80074823")</f>
        <v>80074823</v>
      </c>
      <c r="F908" s="9" t="s">
        <v>2658</v>
      </c>
      <c r="G908" s="9" t="s">
        <v>2659</v>
      </c>
      <c r="H908" s="9" t="s">
        <v>2660</v>
      </c>
      <c r="I908" s="10">
        <v>45503</v>
      </c>
    </row>
    <row r="909" spans="1:9" x14ac:dyDescent="0.15">
      <c r="A909" s="9">
        <v>908</v>
      </c>
      <c r="B909" s="9" t="s">
        <v>9</v>
      </c>
      <c r="C909" s="9">
        <v>1910</v>
      </c>
      <c r="D909" s="10">
        <v>45602</v>
      </c>
      <c r="E909" s="13" t="str">
        <f>+HYPERLINK("http://trademark.i-assist.jp/data/china/image_1910th/80075126.pdf","80075126")</f>
        <v>80075126</v>
      </c>
      <c r="F909" s="11" t="s">
        <v>2661</v>
      </c>
      <c r="G909" s="9" t="s">
        <v>2662</v>
      </c>
      <c r="H909" s="11" t="s">
        <v>2663</v>
      </c>
      <c r="I909" s="10">
        <v>45503</v>
      </c>
    </row>
    <row r="910" spans="1:9" x14ac:dyDescent="0.15">
      <c r="A910" s="9">
        <v>909</v>
      </c>
      <c r="B910" s="9" t="s">
        <v>9</v>
      </c>
      <c r="C910" s="9">
        <v>1910</v>
      </c>
      <c r="D910" s="10">
        <v>45602</v>
      </c>
      <c r="E910" s="13" t="str">
        <f>+HYPERLINK("http://trademark.i-assist.jp/data/china/image_1910th/80075202.pdf","80075202")</f>
        <v>80075202</v>
      </c>
      <c r="F910" s="9" t="s">
        <v>2664</v>
      </c>
      <c r="G910" s="11" t="s">
        <v>2665</v>
      </c>
      <c r="H910" s="9" t="s">
        <v>2666</v>
      </c>
      <c r="I910" s="10">
        <v>45503</v>
      </c>
    </row>
    <row r="911" spans="1:9" x14ac:dyDescent="0.15">
      <c r="A911" s="9">
        <v>910</v>
      </c>
      <c r="B911" s="9" t="s">
        <v>9</v>
      </c>
      <c r="C911" s="9">
        <v>1910</v>
      </c>
      <c r="D911" s="10">
        <v>45602</v>
      </c>
      <c r="E911" s="13" t="str">
        <f>+HYPERLINK("http://trademark.i-assist.jp/data/china/image_1910th/80075944.pdf","80075944")</f>
        <v>80075944</v>
      </c>
      <c r="F911" s="9" t="s">
        <v>2667</v>
      </c>
      <c r="G911" s="9" t="s">
        <v>2668</v>
      </c>
      <c r="H911" s="9" t="s">
        <v>2669</v>
      </c>
      <c r="I911" s="10">
        <v>45503</v>
      </c>
    </row>
    <row r="912" spans="1:9" x14ac:dyDescent="0.15">
      <c r="A912" s="9">
        <v>911</v>
      </c>
      <c r="B912" s="9" t="s">
        <v>9</v>
      </c>
      <c r="C912" s="9">
        <v>1910</v>
      </c>
      <c r="D912" s="10">
        <v>45602</v>
      </c>
      <c r="E912" s="13" t="str">
        <f>+HYPERLINK("http://trademark.i-assist.jp/data/china/image_1910th/80076266.pdf","80076266")</f>
        <v>80076266</v>
      </c>
      <c r="F912" s="9" t="s">
        <v>2670</v>
      </c>
      <c r="G912" s="9" t="s">
        <v>2671</v>
      </c>
      <c r="H912" s="9" t="s">
        <v>2672</v>
      </c>
      <c r="I912" s="10">
        <v>45503</v>
      </c>
    </row>
    <row r="913" spans="1:9" x14ac:dyDescent="0.15">
      <c r="A913" s="9">
        <v>912</v>
      </c>
      <c r="B913" s="9" t="s">
        <v>9</v>
      </c>
      <c r="C913" s="9">
        <v>1910</v>
      </c>
      <c r="D913" s="10">
        <v>45602</v>
      </c>
      <c r="E913" s="13" t="str">
        <f>+HYPERLINK("http://trademark.i-assist.jp/data/china/image_1910th/80076442.pdf","80076442")</f>
        <v>80076442</v>
      </c>
      <c r="F913" s="9" t="s">
        <v>2673</v>
      </c>
      <c r="G913" s="9" t="s">
        <v>98</v>
      </c>
      <c r="H913" s="9" t="s">
        <v>2674</v>
      </c>
      <c r="I913" s="10">
        <v>45503</v>
      </c>
    </row>
    <row r="914" spans="1:9" x14ac:dyDescent="0.15">
      <c r="A914" s="9">
        <v>913</v>
      </c>
      <c r="B914" s="9" t="s">
        <v>9</v>
      </c>
      <c r="C914" s="9">
        <v>1910</v>
      </c>
      <c r="D914" s="10">
        <v>45602</v>
      </c>
      <c r="E914" s="13" t="str">
        <f>+HYPERLINK("http://trademark.i-assist.jp/data/china/image_1910th/80076487.pdf","80076487")</f>
        <v>80076487</v>
      </c>
      <c r="F914" s="11" t="s">
        <v>2675</v>
      </c>
      <c r="G914" s="9" t="s">
        <v>2676</v>
      </c>
      <c r="H914" s="11" t="s">
        <v>2677</v>
      </c>
      <c r="I914" s="10">
        <v>45503</v>
      </c>
    </row>
    <row r="915" spans="1:9" x14ac:dyDescent="0.15">
      <c r="A915" s="9">
        <v>914</v>
      </c>
      <c r="B915" s="9" t="s">
        <v>9</v>
      </c>
      <c r="C915" s="9">
        <v>1910</v>
      </c>
      <c r="D915" s="10">
        <v>45602</v>
      </c>
      <c r="E915" s="13" t="str">
        <f>+HYPERLINK("http://trademark.i-assist.jp/data/china/image_1910th/80076512.pdf","80076512")</f>
        <v>80076512</v>
      </c>
      <c r="F915" s="9" t="s">
        <v>2678</v>
      </c>
      <c r="G915" s="11" t="s">
        <v>2679</v>
      </c>
      <c r="H915" s="9" t="s">
        <v>2680</v>
      </c>
      <c r="I915" s="10">
        <v>45503</v>
      </c>
    </row>
    <row r="916" spans="1:9" x14ac:dyDescent="0.15">
      <c r="A916" s="9">
        <v>915</v>
      </c>
      <c r="B916" s="9" t="s">
        <v>9</v>
      </c>
      <c r="C916" s="9">
        <v>1910</v>
      </c>
      <c r="D916" s="10">
        <v>45602</v>
      </c>
      <c r="E916" s="13" t="str">
        <f>+HYPERLINK("http://trademark.i-assist.jp/data/china/image_1910th/80076898.pdf","80076898")</f>
        <v>80076898</v>
      </c>
      <c r="F916" s="11" t="s">
        <v>2681</v>
      </c>
      <c r="G916" s="11" t="s">
        <v>116</v>
      </c>
      <c r="H916" s="9" t="s">
        <v>2682</v>
      </c>
      <c r="I916" s="10">
        <v>45503</v>
      </c>
    </row>
    <row r="917" spans="1:9" x14ac:dyDescent="0.15">
      <c r="A917" s="9">
        <v>916</v>
      </c>
      <c r="B917" s="9" t="s">
        <v>9</v>
      </c>
      <c r="C917" s="9">
        <v>1910</v>
      </c>
      <c r="D917" s="10">
        <v>45602</v>
      </c>
      <c r="E917" s="13" t="str">
        <f>+HYPERLINK("http://trademark.i-assist.jp/data/china/image_1910th/80076917.pdf","80076917")</f>
        <v>80076917</v>
      </c>
      <c r="F917" s="11" t="s">
        <v>2683</v>
      </c>
      <c r="G917" s="9" t="s">
        <v>2684</v>
      </c>
      <c r="H917" s="9" t="s">
        <v>2685</v>
      </c>
      <c r="I917" s="10">
        <v>45503</v>
      </c>
    </row>
    <row r="918" spans="1:9" x14ac:dyDescent="0.15">
      <c r="A918" s="9">
        <v>917</v>
      </c>
      <c r="B918" s="9" t="s">
        <v>9</v>
      </c>
      <c r="C918" s="9">
        <v>1910</v>
      </c>
      <c r="D918" s="10">
        <v>45602</v>
      </c>
      <c r="E918" s="13" t="str">
        <f>+HYPERLINK("http://trademark.i-assist.jp/data/china/image_1910th/80076943.pdf","80076943")</f>
        <v>80076943</v>
      </c>
      <c r="F918" s="9" t="s">
        <v>2686</v>
      </c>
      <c r="G918" s="9" t="s">
        <v>2687</v>
      </c>
      <c r="H918" s="9" t="s">
        <v>2688</v>
      </c>
      <c r="I918" s="10">
        <v>45503</v>
      </c>
    </row>
    <row r="919" spans="1:9" x14ac:dyDescent="0.15">
      <c r="A919" s="9">
        <v>918</v>
      </c>
      <c r="B919" s="9" t="s">
        <v>9</v>
      </c>
      <c r="C919" s="9">
        <v>1910</v>
      </c>
      <c r="D919" s="10">
        <v>45602</v>
      </c>
      <c r="E919" s="13" t="str">
        <f>+HYPERLINK("http://trademark.i-assist.jp/data/china/image_1910th/80078119.pdf","80078119")</f>
        <v>80078119</v>
      </c>
      <c r="F919" s="9" t="s">
        <v>2689</v>
      </c>
      <c r="G919" s="9" t="s">
        <v>2690</v>
      </c>
      <c r="H919" s="9" t="s">
        <v>2691</v>
      </c>
      <c r="I919" s="10">
        <v>45503</v>
      </c>
    </row>
    <row r="920" spans="1:9" x14ac:dyDescent="0.15">
      <c r="A920" s="9">
        <v>919</v>
      </c>
      <c r="B920" s="9" t="s">
        <v>9</v>
      </c>
      <c r="C920" s="9">
        <v>1910</v>
      </c>
      <c r="D920" s="10">
        <v>45602</v>
      </c>
      <c r="E920" s="13" t="str">
        <f>+HYPERLINK("http://trademark.i-assist.jp/data/china/image_1910th/80078474.pdf","80078474")</f>
        <v>80078474</v>
      </c>
      <c r="F920" s="9" t="s">
        <v>2692</v>
      </c>
      <c r="G920" s="9" t="s">
        <v>2693</v>
      </c>
      <c r="H920" s="9" t="s">
        <v>2694</v>
      </c>
      <c r="I920" s="10">
        <v>45503</v>
      </c>
    </row>
    <row r="921" spans="1:9" x14ac:dyDescent="0.15">
      <c r="A921" s="9">
        <v>920</v>
      </c>
      <c r="B921" s="9" t="s">
        <v>9</v>
      </c>
      <c r="C921" s="9">
        <v>1910</v>
      </c>
      <c r="D921" s="10">
        <v>45602</v>
      </c>
      <c r="E921" s="13" t="str">
        <f>+HYPERLINK("http://trademark.i-assist.jp/data/china/image_1910th/80078627.pdf","80078627")</f>
        <v>80078627</v>
      </c>
      <c r="F921" s="9" t="s">
        <v>2695</v>
      </c>
      <c r="G921" s="9" t="s">
        <v>2696</v>
      </c>
      <c r="H921" s="11" t="s">
        <v>2697</v>
      </c>
      <c r="I921" s="10">
        <v>45503</v>
      </c>
    </row>
    <row r="922" spans="1:9" x14ac:dyDescent="0.15">
      <c r="A922" s="9">
        <v>921</v>
      </c>
      <c r="B922" s="9" t="s">
        <v>9</v>
      </c>
      <c r="C922" s="9">
        <v>1910</v>
      </c>
      <c r="D922" s="10">
        <v>45602</v>
      </c>
      <c r="E922" s="13" t="str">
        <f>+HYPERLINK("http://trademark.i-assist.jp/data/china/image_1910th/80078657.pdf","80078657")</f>
        <v>80078657</v>
      </c>
      <c r="F922" s="11" t="s">
        <v>2698</v>
      </c>
      <c r="G922" s="9" t="s">
        <v>2696</v>
      </c>
      <c r="H922" s="9" t="s">
        <v>2699</v>
      </c>
      <c r="I922" s="10">
        <v>45503</v>
      </c>
    </row>
    <row r="923" spans="1:9" x14ac:dyDescent="0.15">
      <c r="A923" s="9">
        <v>922</v>
      </c>
      <c r="B923" s="9" t="s">
        <v>9</v>
      </c>
      <c r="C923" s="9">
        <v>1910</v>
      </c>
      <c r="D923" s="10">
        <v>45602</v>
      </c>
      <c r="E923" s="13" t="str">
        <f>+HYPERLINK("http://trademark.i-assist.jp/data/china/image_1910th/80079097.pdf","80079097")</f>
        <v>80079097</v>
      </c>
      <c r="F923" s="9" t="s">
        <v>2700</v>
      </c>
      <c r="G923" s="9" t="s">
        <v>2650</v>
      </c>
      <c r="H923" s="9" t="s">
        <v>2701</v>
      </c>
      <c r="I923" s="10">
        <v>45503</v>
      </c>
    </row>
    <row r="924" spans="1:9" x14ac:dyDescent="0.15">
      <c r="A924" s="9">
        <v>923</v>
      </c>
      <c r="B924" s="9" t="s">
        <v>9</v>
      </c>
      <c r="C924" s="9">
        <v>1910</v>
      </c>
      <c r="D924" s="10">
        <v>45602</v>
      </c>
      <c r="E924" s="13" t="str">
        <f>+HYPERLINK("http://trademark.i-assist.jp/data/china/image_1910th/80079242.pdf","80079242")</f>
        <v>80079242</v>
      </c>
      <c r="F924" s="9" t="s">
        <v>2702</v>
      </c>
      <c r="G924" s="9" t="s">
        <v>2703</v>
      </c>
      <c r="H924" s="9" t="s">
        <v>2704</v>
      </c>
      <c r="I924" s="10">
        <v>45503</v>
      </c>
    </row>
    <row r="925" spans="1:9" x14ac:dyDescent="0.15">
      <c r="A925" s="9">
        <v>924</v>
      </c>
      <c r="B925" s="9" t="s">
        <v>9</v>
      </c>
      <c r="C925" s="9">
        <v>1910</v>
      </c>
      <c r="D925" s="10">
        <v>45602</v>
      </c>
      <c r="E925" s="13" t="str">
        <f>+HYPERLINK("http://trademark.i-assist.jp/data/china/image_1910th/80079317.pdf","80079317")</f>
        <v>80079317</v>
      </c>
      <c r="F925" s="9" t="s">
        <v>2705</v>
      </c>
      <c r="G925" s="9" t="s">
        <v>2706</v>
      </c>
      <c r="H925" s="9" t="s">
        <v>2707</v>
      </c>
      <c r="I925" s="10">
        <v>45503</v>
      </c>
    </row>
    <row r="926" spans="1:9" x14ac:dyDescent="0.15">
      <c r="A926" s="9">
        <v>925</v>
      </c>
      <c r="B926" s="9" t="s">
        <v>9</v>
      </c>
      <c r="C926" s="9">
        <v>1910</v>
      </c>
      <c r="D926" s="10">
        <v>45602</v>
      </c>
      <c r="E926" s="13" t="str">
        <f>+HYPERLINK("http://trademark.i-assist.jp/data/china/image_1910th/80080236.pdf","80080236")</f>
        <v>80080236</v>
      </c>
      <c r="F926" s="11" t="s">
        <v>2708</v>
      </c>
      <c r="G926" s="11" t="s">
        <v>2709</v>
      </c>
      <c r="H926" s="9" t="s">
        <v>2710</v>
      </c>
      <c r="I926" s="10">
        <v>45503</v>
      </c>
    </row>
    <row r="927" spans="1:9" x14ac:dyDescent="0.15">
      <c r="A927" s="9">
        <v>926</v>
      </c>
      <c r="B927" s="9" t="s">
        <v>9</v>
      </c>
      <c r="C927" s="9">
        <v>1910</v>
      </c>
      <c r="D927" s="10">
        <v>45602</v>
      </c>
      <c r="E927" s="13" t="str">
        <f>+HYPERLINK("http://trademark.i-assist.jp/data/china/image_1910th/80080417.pdf","80080417")</f>
        <v>80080417</v>
      </c>
      <c r="F927" s="9" t="s">
        <v>2711</v>
      </c>
      <c r="G927" s="11" t="s">
        <v>2653</v>
      </c>
      <c r="H927" s="9" t="s">
        <v>2712</v>
      </c>
      <c r="I927" s="10">
        <v>45503</v>
      </c>
    </row>
    <row r="928" spans="1:9" x14ac:dyDescent="0.15">
      <c r="A928" s="9">
        <v>927</v>
      </c>
      <c r="B928" s="9" t="s">
        <v>9</v>
      </c>
      <c r="C928" s="9">
        <v>1910</v>
      </c>
      <c r="D928" s="10">
        <v>45602</v>
      </c>
      <c r="E928" s="13" t="str">
        <f>+HYPERLINK("http://trademark.i-assist.jp/data/china/image_1910th/80080888.pdf","80080888")</f>
        <v>80080888</v>
      </c>
      <c r="F928" s="11" t="s">
        <v>2713</v>
      </c>
      <c r="G928" s="9" t="s">
        <v>2647</v>
      </c>
      <c r="H928" s="9" t="s">
        <v>2714</v>
      </c>
      <c r="I928" s="10">
        <v>45503</v>
      </c>
    </row>
    <row r="929" spans="1:9" x14ac:dyDescent="0.15">
      <c r="A929" s="9">
        <v>928</v>
      </c>
      <c r="B929" s="9" t="s">
        <v>9</v>
      </c>
      <c r="C929" s="9">
        <v>1910</v>
      </c>
      <c r="D929" s="10">
        <v>45602</v>
      </c>
      <c r="E929" s="13" t="str">
        <f>+HYPERLINK("http://trademark.i-assist.jp/data/china/image_1910th/80081154.pdf","80081154")</f>
        <v>80081154</v>
      </c>
      <c r="F929" s="9" t="s">
        <v>2715</v>
      </c>
      <c r="G929" s="11" t="s">
        <v>2631</v>
      </c>
      <c r="H929" s="9" t="s">
        <v>2716</v>
      </c>
      <c r="I929" s="10">
        <v>45503</v>
      </c>
    </row>
    <row r="930" spans="1:9" x14ac:dyDescent="0.15">
      <c r="A930" s="9">
        <v>929</v>
      </c>
      <c r="B930" s="9" t="s">
        <v>9</v>
      </c>
      <c r="C930" s="9">
        <v>1910</v>
      </c>
      <c r="D930" s="10">
        <v>45602</v>
      </c>
      <c r="E930" s="13" t="str">
        <f>+HYPERLINK("http://trademark.i-assist.jp/data/china/image_1910th/80081300.pdf","80081300")</f>
        <v>80081300</v>
      </c>
      <c r="F930" s="9" t="s">
        <v>2717</v>
      </c>
      <c r="G930" s="9" t="s">
        <v>2718</v>
      </c>
      <c r="H930" s="11" t="s">
        <v>2719</v>
      </c>
      <c r="I930" s="10">
        <v>45503</v>
      </c>
    </row>
    <row r="931" spans="1:9" x14ac:dyDescent="0.15">
      <c r="A931" s="9">
        <v>930</v>
      </c>
      <c r="B931" s="9" t="s">
        <v>9</v>
      </c>
      <c r="C931" s="9">
        <v>1910</v>
      </c>
      <c r="D931" s="10">
        <v>45602</v>
      </c>
      <c r="E931" s="13" t="str">
        <f>+HYPERLINK("http://trademark.i-assist.jp/data/china/image_1910th/80081429.pdf","80081429")</f>
        <v>80081429</v>
      </c>
      <c r="F931" s="9" t="s">
        <v>2720</v>
      </c>
      <c r="G931" s="9" t="s">
        <v>2721</v>
      </c>
      <c r="H931" s="9" t="s">
        <v>2722</v>
      </c>
      <c r="I931" s="10">
        <v>45503</v>
      </c>
    </row>
    <row r="932" spans="1:9" x14ac:dyDescent="0.15">
      <c r="A932" s="9">
        <v>931</v>
      </c>
      <c r="B932" s="9" t="s">
        <v>9</v>
      </c>
      <c r="C932" s="9">
        <v>1910</v>
      </c>
      <c r="D932" s="10">
        <v>45602</v>
      </c>
      <c r="E932" s="13" t="str">
        <f>+HYPERLINK("http://trademark.i-assist.jp/data/china/image_1910th/80082178.pdf","80082178")</f>
        <v>80082178</v>
      </c>
      <c r="F932" s="11" t="s">
        <v>2723</v>
      </c>
      <c r="G932" s="11" t="s">
        <v>2724</v>
      </c>
      <c r="H932" s="9" t="s">
        <v>2725</v>
      </c>
      <c r="I932" s="10">
        <v>45503</v>
      </c>
    </row>
    <row r="933" spans="1:9" x14ac:dyDescent="0.15">
      <c r="A933" s="9">
        <v>932</v>
      </c>
      <c r="B933" s="9" t="s">
        <v>9</v>
      </c>
      <c r="C933" s="9">
        <v>1910</v>
      </c>
      <c r="D933" s="10">
        <v>45602</v>
      </c>
      <c r="E933" s="13" t="str">
        <f>+HYPERLINK("http://trademark.i-assist.jp/data/china/image_1910th/80082220.pdf","80082220")</f>
        <v>80082220</v>
      </c>
      <c r="F933" s="9" t="s">
        <v>2726</v>
      </c>
      <c r="G933" s="11" t="s">
        <v>2727</v>
      </c>
      <c r="H933" s="9" t="s">
        <v>2728</v>
      </c>
      <c r="I933" s="10">
        <v>45503</v>
      </c>
    </row>
    <row r="934" spans="1:9" x14ac:dyDescent="0.15">
      <c r="A934" s="9">
        <v>933</v>
      </c>
      <c r="B934" s="9" t="s">
        <v>9</v>
      </c>
      <c r="C934" s="9">
        <v>1910</v>
      </c>
      <c r="D934" s="10">
        <v>45602</v>
      </c>
      <c r="E934" s="13" t="str">
        <f>+HYPERLINK("http://trademark.i-assist.jp/data/china/image_1910th/80082724.pdf","80082724")</f>
        <v>80082724</v>
      </c>
      <c r="F934" s="11" t="s">
        <v>2729</v>
      </c>
      <c r="G934" s="9" t="s">
        <v>2730</v>
      </c>
      <c r="H934" s="9" t="s">
        <v>2731</v>
      </c>
      <c r="I934" s="10">
        <v>45503</v>
      </c>
    </row>
    <row r="935" spans="1:9" x14ac:dyDescent="0.15">
      <c r="A935" s="9">
        <v>934</v>
      </c>
      <c r="B935" s="9" t="s">
        <v>9</v>
      </c>
      <c r="C935" s="9">
        <v>1910</v>
      </c>
      <c r="D935" s="10">
        <v>45602</v>
      </c>
      <c r="E935" s="13" t="str">
        <f>+HYPERLINK("http://trademark.i-assist.jp/data/china/image_1910th/80083125.pdf","80083125")</f>
        <v>80083125</v>
      </c>
      <c r="F935" s="11" t="s">
        <v>2732</v>
      </c>
      <c r="G935" s="9" t="s">
        <v>2730</v>
      </c>
      <c r="H935" s="9" t="s">
        <v>2733</v>
      </c>
      <c r="I935" s="10">
        <v>45503</v>
      </c>
    </row>
    <row r="936" spans="1:9" x14ac:dyDescent="0.15">
      <c r="A936" s="9">
        <v>935</v>
      </c>
      <c r="B936" s="9" t="s">
        <v>9</v>
      </c>
      <c r="C936" s="9">
        <v>1910</v>
      </c>
      <c r="D936" s="10">
        <v>45602</v>
      </c>
      <c r="E936" s="13" t="str">
        <f>+HYPERLINK("http://trademark.i-assist.jp/data/china/image_1910th/80083235.pdf","80083235")</f>
        <v>80083235</v>
      </c>
      <c r="F936" s="9" t="s">
        <v>2734</v>
      </c>
      <c r="G936" s="9" t="s">
        <v>2735</v>
      </c>
      <c r="H936" s="9" t="s">
        <v>2736</v>
      </c>
      <c r="I936" s="10">
        <v>45503</v>
      </c>
    </row>
    <row r="937" spans="1:9" x14ac:dyDescent="0.15">
      <c r="A937" s="9">
        <v>936</v>
      </c>
      <c r="B937" s="9" t="s">
        <v>9</v>
      </c>
      <c r="C937" s="9">
        <v>1910</v>
      </c>
      <c r="D937" s="10">
        <v>45602</v>
      </c>
      <c r="E937" s="13" t="str">
        <f>+HYPERLINK("http://trademark.i-assist.jp/data/china/image_1910th/80083526.pdf","80083526")</f>
        <v>80083526</v>
      </c>
      <c r="F937" s="9" t="s">
        <v>2737</v>
      </c>
      <c r="G937" s="9" t="s">
        <v>2738</v>
      </c>
      <c r="H937" s="11" t="s">
        <v>2739</v>
      </c>
      <c r="I937" s="10">
        <v>45503</v>
      </c>
    </row>
    <row r="938" spans="1:9" x14ac:dyDescent="0.15">
      <c r="A938" s="9">
        <v>937</v>
      </c>
      <c r="B938" s="9" t="s">
        <v>9</v>
      </c>
      <c r="C938" s="9">
        <v>1910</v>
      </c>
      <c r="D938" s="10">
        <v>45602</v>
      </c>
      <c r="E938" s="13" t="str">
        <f>+HYPERLINK("http://trademark.i-assist.jp/data/china/image_1910th/80085402.pdf","80085402")</f>
        <v>80085402</v>
      </c>
      <c r="F938" s="9" t="s">
        <v>2740</v>
      </c>
      <c r="G938" s="11" t="s">
        <v>2741</v>
      </c>
      <c r="H938" s="9" t="s">
        <v>2742</v>
      </c>
      <c r="I938" s="10">
        <v>45503</v>
      </c>
    </row>
    <row r="939" spans="1:9" x14ac:dyDescent="0.15">
      <c r="A939" s="9">
        <v>938</v>
      </c>
      <c r="B939" s="9" t="s">
        <v>9</v>
      </c>
      <c r="C939" s="9">
        <v>1910</v>
      </c>
      <c r="D939" s="10">
        <v>45602</v>
      </c>
      <c r="E939" s="13" t="str">
        <f>+HYPERLINK("http://trademark.i-assist.jp/data/china/image_1910th/80085492.pdf","80085492")</f>
        <v>80085492</v>
      </c>
      <c r="F939" s="9" t="s">
        <v>2743</v>
      </c>
      <c r="G939" s="9" t="s">
        <v>2744</v>
      </c>
      <c r="H939" s="11" t="s">
        <v>2745</v>
      </c>
      <c r="I939" s="10">
        <v>45503</v>
      </c>
    </row>
    <row r="940" spans="1:9" x14ac:dyDescent="0.15">
      <c r="A940" s="9">
        <v>939</v>
      </c>
      <c r="B940" s="9" t="s">
        <v>9</v>
      </c>
      <c r="C940" s="9">
        <v>1910</v>
      </c>
      <c r="D940" s="10">
        <v>45602</v>
      </c>
      <c r="E940" s="13" t="str">
        <f>+HYPERLINK("http://trademark.i-assist.jp/data/china/image_1910th/80086069.pdf","80086069")</f>
        <v>80086069</v>
      </c>
      <c r="F940" s="9" t="s">
        <v>2746</v>
      </c>
      <c r="G940" s="9" t="s">
        <v>2747</v>
      </c>
      <c r="H940" s="9" t="s">
        <v>2748</v>
      </c>
      <c r="I940" s="10">
        <v>45503</v>
      </c>
    </row>
    <row r="941" spans="1:9" x14ac:dyDescent="0.15">
      <c r="A941" s="9">
        <v>940</v>
      </c>
      <c r="B941" s="9" t="s">
        <v>9</v>
      </c>
      <c r="C941" s="9">
        <v>1910</v>
      </c>
      <c r="D941" s="10">
        <v>45602</v>
      </c>
      <c r="E941" s="13" t="str">
        <f>+HYPERLINK("http://trademark.i-assist.jp/data/china/image_1910th/80086298.pdf","80086298")</f>
        <v>80086298</v>
      </c>
      <c r="F941" s="9" t="s">
        <v>2749</v>
      </c>
      <c r="G941" s="11" t="s">
        <v>2750</v>
      </c>
      <c r="H941" s="9" t="s">
        <v>2751</v>
      </c>
      <c r="I941" s="10">
        <v>45503</v>
      </c>
    </row>
    <row r="942" spans="1:9" x14ac:dyDescent="0.15">
      <c r="A942" s="9">
        <v>941</v>
      </c>
      <c r="B942" s="9" t="s">
        <v>9</v>
      </c>
      <c r="C942" s="9">
        <v>1910</v>
      </c>
      <c r="D942" s="10">
        <v>45602</v>
      </c>
      <c r="E942" s="13" t="str">
        <f>+HYPERLINK("http://trademark.i-assist.jp/data/china/image_1910th/80086563.pdf","80086563")</f>
        <v>80086563</v>
      </c>
      <c r="F942" s="9" t="s">
        <v>2752</v>
      </c>
      <c r="G942" s="9" t="s">
        <v>2753</v>
      </c>
      <c r="H942" s="9" t="s">
        <v>2754</v>
      </c>
      <c r="I942" s="10">
        <v>45503</v>
      </c>
    </row>
    <row r="943" spans="1:9" x14ac:dyDescent="0.15">
      <c r="A943" s="9">
        <v>942</v>
      </c>
      <c r="B943" s="9" t="s">
        <v>9</v>
      </c>
      <c r="C943" s="9">
        <v>1910</v>
      </c>
      <c r="D943" s="10">
        <v>45602</v>
      </c>
      <c r="E943" s="13" t="str">
        <f>+HYPERLINK("http://trademark.i-assist.jp/data/china/image_1910th/80086585.pdf","80086585")</f>
        <v>80086585</v>
      </c>
      <c r="F943" s="9" t="s">
        <v>2755</v>
      </c>
      <c r="G943" s="9" t="s">
        <v>2756</v>
      </c>
      <c r="H943" s="9" t="s">
        <v>2757</v>
      </c>
      <c r="I943" s="10">
        <v>45503</v>
      </c>
    </row>
    <row r="944" spans="1:9" x14ac:dyDescent="0.15">
      <c r="A944" s="9">
        <v>943</v>
      </c>
      <c r="B944" s="9" t="s">
        <v>9</v>
      </c>
      <c r="C944" s="9">
        <v>1910</v>
      </c>
      <c r="D944" s="10">
        <v>45602</v>
      </c>
      <c r="E944" s="13" t="str">
        <f>+HYPERLINK("http://trademark.i-assist.jp/data/china/image_1910th/80086854.pdf","80086854")</f>
        <v>80086854</v>
      </c>
      <c r="F944" s="9" t="s">
        <v>2758</v>
      </c>
      <c r="G944" s="9" t="s">
        <v>2759</v>
      </c>
      <c r="H944" s="9" t="s">
        <v>2760</v>
      </c>
      <c r="I944" s="10">
        <v>45503</v>
      </c>
    </row>
    <row r="945" spans="1:9" x14ac:dyDescent="0.15">
      <c r="A945" s="9">
        <v>944</v>
      </c>
      <c r="B945" s="9" t="s">
        <v>9</v>
      </c>
      <c r="C945" s="9">
        <v>1910</v>
      </c>
      <c r="D945" s="10">
        <v>45602</v>
      </c>
      <c r="E945" s="13" t="str">
        <f>+HYPERLINK("http://trademark.i-assist.jp/data/china/image_1910th/80087364.pdf","80087364")</f>
        <v>80087364</v>
      </c>
      <c r="F945" s="9" t="s">
        <v>2761</v>
      </c>
      <c r="G945" s="9" t="s">
        <v>2762</v>
      </c>
      <c r="H945" s="9" t="s">
        <v>2763</v>
      </c>
      <c r="I945" s="10">
        <v>45503</v>
      </c>
    </row>
    <row r="946" spans="1:9" x14ac:dyDescent="0.15">
      <c r="A946" s="9">
        <v>945</v>
      </c>
      <c r="B946" s="9" t="s">
        <v>9</v>
      </c>
      <c r="C946" s="9">
        <v>1910</v>
      </c>
      <c r="D946" s="10">
        <v>45602</v>
      </c>
      <c r="E946" s="13" t="str">
        <f>+HYPERLINK("http://trademark.i-assist.jp/data/china/image_1910th/80087520.pdf","80087520")</f>
        <v>80087520</v>
      </c>
      <c r="F946" s="9" t="s">
        <v>2764</v>
      </c>
      <c r="G946" s="9" t="s">
        <v>2765</v>
      </c>
      <c r="H946" s="9" t="s">
        <v>2766</v>
      </c>
      <c r="I946" s="10">
        <v>45503</v>
      </c>
    </row>
    <row r="947" spans="1:9" x14ac:dyDescent="0.15">
      <c r="A947" s="9">
        <v>946</v>
      </c>
      <c r="B947" s="9" t="s">
        <v>9</v>
      </c>
      <c r="C947" s="9">
        <v>1910</v>
      </c>
      <c r="D947" s="10">
        <v>45602</v>
      </c>
      <c r="E947" s="13" t="str">
        <f>+HYPERLINK("http://trademark.i-assist.jp/data/china/image_1910th/80087609.pdf","80087609")</f>
        <v>80087609</v>
      </c>
      <c r="F947" s="9" t="s">
        <v>2767</v>
      </c>
      <c r="G947" s="9" t="s">
        <v>2768</v>
      </c>
      <c r="H947" s="9" t="s">
        <v>2769</v>
      </c>
      <c r="I947" s="10">
        <v>45503</v>
      </c>
    </row>
    <row r="948" spans="1:9" x14ac:dyDescent="0.15">
      <c r="A948" s="9">
        <v>947</v>
      </c>
      <c r="B948" s="9" t="s">
        <v>9</v>
      </c>
      <c r="C948" s="9">
        <v>1910</v>
      </c>
      <c r="D948" s="10">
        <v>45602</v>
      </c>
      <c r="E948" s="13" t="str">
        <f>+HYPERLINK("http://trademark.i-assist.jp/data/china/image_1910th/80087999.pdf","80087999")</f>
        <v>80087999</v>
      </c>
      <c r="F948" s="11" t="s">
        <v>19</v>
      </c>
      <c r="G948" s="9" t="s">
        <v>1803</v>
      </c>
      <c r="H948" s="9" t="s">
        <v>2770</v>
      </c>
      <c r="I948" s="10">
        <v>45503</v>
      </c>
    </row>
    <row r="949" spans="1:9" x14ac:dyDescent="0.15">
      <c r="A949" s="9">
        <v>948</v>
      </c>
      <c r="B949" s="9" t="s">
        <v>9</v>
      </c>
      <c r="C949" s="9">
        <v>1910</v>
      </c>
      <c r="D949" s="10">
        <v>45602</v>
      </c>
      <c r="E949" s="13" t="str">
        <f>+HYPERLINK("http://trademark.i-assist.jp/data/china/image_1910th/80088274.pdf","80088274")</f>
        <v>80088274</v>
      </c>
      <c r="F949" s="9" t="s">
        <v>2771</v>
      </c>
      <c r="G949" s="11" t="s">
        <v>2772</v>
      </c>
      <c r="H949" s="9" t="s">
        <v>2773</v>
      </c>
      <c r="I949" s="10">
        <v>45503</v>
      </c>
    </row>
    <row r="950" spans="1:9" x14ac:dyDescent="0.15">
      <c r="A950" s="9">
        <v>949</v>
      </c>
      <c r="B950" s="9" t="s">
        <v>9</v>
      </c>
      <c r="C950" s="9">
        <v>1910</v>
      </c>
      <c r="D950" s="10">
        <v>45602</v>
      </c>
      <c r="E950" s="13" t="str">
        <f>+HYPERLINK("http://trademark.i-assist.jp/data/china/image_1910th/80089280.pdf","80089280")</f>
        <v>80089280</v>
      </c>
      <c r="F950" s="9" t="s">
        <v>2774</v>
      </c>
      <c r="G950" s="9" t="s">
        <v>130</v>
      </c>
      <c r="H950" s="9" t="s">
        <v>2775</v>
      </c>
      <c r="I950" s="10">
        <v>45503</v>
      </c>
    </row>
    <row r="951" spans="1:9" x14ac:dyDescent="0.15">
      <c r="A951" s="9">
        <v>950</v>
      </c>
      <c r="B951" s="9" t="s">
        <v>9</v>
      </c>
      <c r="C951" s="9">
        <v>1910</v>
      </c>
      <c r="D951" s="10">
        <v>45602</v>
      </c>
      <c r="E951" s="13" t="str">
        <f>+HYPERLINK("http://trademark.i-assist.jp/data/china/image_1910th/80089295.pdf","80089295")</f>
        <v>80089295</v>
      </c>
      <c r="F951" s="9" t="s">
        <v>2776</v>
      </c>
      <c r="G951" s="9" t="s">
        <v>2777</v>
      </c>
      <c r="H951" s="11" t="s">
        <v>2778</v>
      </c>
      <c r="I951" s="10">
        <v>45503</v>
      </c>
    </row>
    <row r="952" spans="1:9" x14ac:dyDescent="0.15">
      <c r="A952" s="9">
        <v>951</v>
      </c>
      <c r="B952" s="9" t="s">
        <v>9</v>
      </c>
      <c r="C952" s="9">
        <v>1910</v>
      </c>
      <c r="D952" s="10">
        <v>45602</v>
      </c>
      <c r="E952" s="13" t="str">
        <f>+HYPERLINK("http://trademark.i-assist.jp/data/china/image_1910th/80089921.pdf","80089921")</f>
        <v>80089921</v>
      </c>
      <c r="F952" s="9" t="s">
        <v>2779</v>
      </c>
      <c r="G952" s="11" t="s">
        <v>2631</v>
      </c>
      <c r="H952" s="9" t="s">
        <v>2780</v>
      </c>
      <c r="I952" s="10">
        <v>45503</v>
      </c>
    </row>
    <row r="953" spans="1:9" x14ac:dyDescent="0.15">
      <c r="A953" s="9">
        <v>952</v>
      </c>
      <c r="B953" s="9" t="s">
        <v>9</v>
      </c>
      <c r="C953" s="9">
        <v>1910</v>
      </c>
      <c r="D953" s="10">
        <v>45602</v>
      </c>
      <c r="E953" s="13" t="str">
        <f>+HYPERLINK("http://trademark.i-assist.jp/data/china/image_1910th/80090414.pdf","80090414")</f>
        <v>80090414</v>
      </c>
      <c r="F953" s="9" t="s">
        <v>2781</v>
      </c>
      <c r="G953" s="9" t="s">
        <v>2782</v>
      </c>
      <c r="H953" s="9" t="s">
        <v>2783</v>
      </c>
      <c r="I953" s="10">
        <v>45503</v>
      </c>
    </row>
    <row r="954" spans="1:9" x14ac:dyDescent="0.15">
      <c r="A954" s="9">
        <v>953</v>
      </c>
      <c r="B954" s="9" t="s">
        <v>9</v>
      </c>
      <c r="C954" s="9">
        <v>1910</v>
      </c>
      <c r="D954" s="10">
        <v>45602</v>
      </c>
      <c r="E954" s="13" t="str">
        <f>+HYPERLINK("http://trademark.i-assist.jp/data/china/image_1910th/80090446.pdf","80090446")</f>
        <v>80090446</v>
      </c>
      <c r="F954" s="9" t="s">
        <v>2784</v>
      </c>
      <c r="G954" s="9" t="s">
        <v>2785</v>
      </c>
      <c r="H954" s="9" t="s">
        <v>2786</v>
      </c>
      <c r="I954" s="10">
        <v>45503</v>
      </c>
    </row>
    <row r="955" spans="1:9" x14ac:dyDescent="0.15">
      <c r="A955" s="9">
        <v>954</v>
      </c>
      <c r="B955" s="9" t="s">
        <v>9</v>
      </c>
      <c r="C955" s="9">
        <v>1910</v>
      </c>
      <c r="D955" s="10">
        <v>45602</v>
      </c>
      <c r="E955" s="13" t="str">
        <f>+HYPERLINK("http://trademark.i-assist.jp/data/china/image_1910th/80090678.pdf","80090678")</f>
        <v>80090678</v>
      </c>
      <c r="F955" s="9" t="s">
        <v>2787</v>
      </c>
      <c r="G955" s="9" t="s">
        <v>2788</v>
      </c>
      <c r="H955" s="9" t="s">
        <v>2789</v>
      </c>
      <c r="I955" s="10">
        <v>45503</v>
      </c>
    </row>
    <row r="956" spans="1:9" x14ac:dyDescent="0.15">
      <c r="A956" s="9">
        <v>955</v>
      </c>
      <c r="B956" s="9" t="s">
        <v>9</v>
      </c>
      <c r="C956" s="9">
        <v>1910</v>
      </c>
      <c r="D956" s="10">
        <v>45602</v>
      </c>
      <c r="E956" s="13" t="str">
        <f>+HYPERLINK("http://trademark.i-assist.jp/data/china/image_1910th/80090793.pdf","80090793")</f>
        <v>80090793</v>
      </c>
      <c r="F956" s="11" t="s">
        <v>19</v>
      </c>
      <c r="G956" s="11" t="s">
        <v>2790</v>
      </c>
      <c r="H956" s="9" t="s">
        <v>2791</v>
      </c>
      <c r="I956" s="10">
        <v>45503</v>
      </c>
    </row>
    <row r="957" spans="1:9" x14ac:dyDescent="0.15">
      <c r="A957" s="9">
        <v>956</v>
      </c>
      <c r="B957" s="9" t="s">
        <v>9</v>
      </c>
      <c r="C957" s="9">
        <v>1910</v>
      </c>
      <c r="D957" s="10">
        <v>45602</v>
      </c>
      <c r="E957" s="13" t="str">
        <f>+HYPERLINK("http://trademark.i-assist.jp/data/china/image_1910th/80091014.pdf","80091014")</f>
        <v>80091014</v>
      </c>
      <c r="F957" s="11" t="s">
        <v>2792</v>
      </c>
      <c r="G957" s="9" t="s">
        <v>2793</v>
      </c>
      <c r="H957" s="9" t="s">
        <v>2794</v>
      </c>
      <c r="I957" s="10">
        <v>45503</v>
      </c>
    </row>
    <row r="958" spans="1:9" x14ac:dyDescent="0.15">
      <c r="A958" s="9">
        <v>957</v>
      </c>
      <c r="B958" s="9" t="s">
        <v>9</v>
      </c>
      <c r="C958" s="9">
        <v>1910</v>
      </c>
      <c r="D958" s="10">
        <v>45602</v>
      </c>
      <c r="E958" s="13" t="str">
        <f>+HYPERLINK("http://trademark.i-assist.jp/data/china/image_1910th/80091037.pdf","80091037")</f>
        <v>80091037</v>
      </c>
      <c r="F958" s="9" t="s">
        <v>2795</v>
      </c>
      <c r="G958" s="11" t="s">
        <v>2796</v>
      </c>
      <c r="H958" s="9" t="s">
        <v>2797</v>
      </c>
      <c r="I958" s="10">
        <v>45503</v>
      </c>
    </row>
    <row r="959" spans="1:9" x14ac:dyDescent="0.15">
      <c r="A959" s="9">
        <v>958</v>
      </c>
      <c r="B959" s="9" t="s">
        <v>9</v>
      </c>
      <c r="C959" s="9">
        <v>1910</v>
      </c>
      <c r="D959" s="10">
        <v>45602</v>
      </c>
      <c r="E959" s="13" t="str">
        <f>+HYPERLINK("http://trademark.i-assist.jp/data/china/image_1910th/80092124.pdf","80092124")</f>
        <v>80092124</v>
      </c>
      <c r="F959" s="11" t="s">
        <v>19</v>
      </c>
      <c r="G959" s="9" t="s">
        <v>2798</v>
      </c>
      <c r="H959" s="9" t="s">
        <v>2799</v>
      </c>
      <c r="I959" s="10">
        <v>45503</v>
      </c>
    </row>
    <row r="960" spans="1:9" x14ac:dyDescent="0.15">
      <c r="A960" s="9">
        <v>959</v>
      </c>
      <c r="B960" s="9" t="s">
        <v>9</v>
      </c>
      <c r="C960" s="9">
        <v>1910</v>
      </c>
      <c r="D960" s="10">
        <v>45602</v>
      </c>
      <c r="E960" s="13" t="str">
        <f>+HYPERLINK("http://trademark.i-assist.jp/data/china/image_1910th/80092204.pdf","80092204")</f>
        <v>80092204</v>
      </c>
      <c r="F960" s="9" t="s">
        <v>2800</v>
      </c>
      <c r="G960" s="9" t="s">
        <v>2650</v>
      </c>
      <c r="H960" s="11" t="s">
        <v>2801</v>
      </c>
      <c r="I960" s="10">
        <v>45503</v>
      </c>
    </row>
    <row r="961" spans="1:9" x14ac:dyDescent="0.15">
      <c r="A961" s="9">
        <v>960</v>
      </c>
      <c r="B961" s="9" t="s">
        <v>9</v>
      </c>
      <c r="C961" s="9">
        <v>1910</v>
      </c>
      <c r="D961" s="10">
        <v>45602</v>
      </c>
      <c r="E961" s="13" t="str">
        <f>+HYPERLINK("http://trademark.i-assist.jp/data/china/image_1910th/80092382.pdf","80092382")</f>
        <v>80092382</v>
      </c>
      <c r="F961" s="11" t="s">
        <v>19</v>
      </c>
      <c r="G961" s="9" t="s">
        <v>2802</v>
      </c>
      <c r="H961" s="11" t="s">
        <v>2803</v>
      </c>
      <c r="I961" s="10">
        <v>45503</v>
      </c>
    </row>
    <row r="962" spans="1:9" x14ac:dyDescent="0.15">
      <c r="A962" s="9">
        <v>961</v>
      </c>
      <c r="B962" s="9" t="s">
        <v>9</v>
      </c>
      <c r="C962" s="9">
        <v>1910</v>
      </c>
      <c r="D962" s="10">
        <v>45602</v>
      </c>
      <c r="E962" s="13" t="str">
        <f>+HYPERLINK("http://trademark.i-assist.jp/data/china/image_1910th/80092619.pdf","80092619")</f>
        <v>80092619</v>
      </c>
      <c r="F962" s="11" t="s">
        <v>2804</v>
      </c>
      <c r="G962" s="11" t="s">
        <v>2727</v>
      </c>
      <c r="H962" s="9" t="s">
        <v>2805</v>
      </c>
      <c r="I962" s="10">
        <v>45503</v>
      </c>
    </row>
    <row r="963" spans="1:9" x14ac:dyDescent="0.15">
      <c r="A963" s="9">
        <v>962</v>
      </c>
      <c r="B963" s="9" t="s">
        <v>9</v>
      </c>
      <c r="C963" s="9">
        <v>1910</v>
      </c>
      <c r="D963" s="10">
        <v>45602</v>
      </c>
      <c r="E963" s="13" t="str">
        <f>+HYPERLINK("http://trademark.i-assist.jp/data/china/image_1910th/80092668.pdf","80092668")</f>
        <v>80092668</v>
      </c>
      <c r="F963" s="9" t="s">
        <v>2806</v>
      </c>
      <c r="G963" s="9" t="s">
        <v>2807</v>
      </c>
      <c r="H963" s="9" t="s">
        <v>2808</v>
      </c>
      <c r="I963" s="10">
        <v>45503</v>
      </c>
    </row>
    <row r="964" spans="1:9" x14ac:dyDescent="0.15">
      <c r="A964" s="9">
        <v>963</v>
      </c>
      <c r="B964" s="9" t="s">
        <v>9</v>
      </c>
      <c r="C964" s="9">
        <v>1910</v>
      </c>
      <c r="D964" s="10">
        <v>45602</v>
      </c>
      <c r="E964" s="13" t="str">
        <f>+HYPERLINK("http://trademark.i-assist.jp/data/china/image_1910th/80092752.pdf","80092752")</f>
        <v>80092752</v>
      </c>
      <c r="F964" s="9" t="s">
        <v>2809</v>
      </c>
      <c r="G964" s="9" t="s">
        <v>2810</v>
      </c>
      <c r="H964" s="9" t="s">
        <v>2811</v>
      </c>
      <c r="I964" s="10">
        <v>45503</v>
      </c>
    </row>
    <row r="965" spans="1:9" x14ac:dyDescent="0.15">
      <c r="A965" s="9">
        <v>964</v>
      </c>
      <c r="B965" s="9" t="s">
        <v>9</v>
      </c>
      <c r="C965" s="9">
        <v>1910</v>
      </c>
      <c r="D965" s="10">
        <v>45602</v>
      </c>
      <c r="E965" s="13" t="str">
        <f>+HYPERLINK("http://trademark.i-assist.jp/data/china/image_1910th/80092924.pdf","80092924")</f>
        <v>80092924</v>
      </c>
      <c r="F965" s="11" t="s">
        <v>19</v>
      </c>
      <c r="G965" s="9" t="s">
        <v>2812</v>
      </c>
      <c r="H965" s="9" t="s">
        <v>2813</v>
      </c>
      <c r="I965" s="10">
        <v>45503</v>
      </c>
    </row>
    <row r="966" spans="1:9" x14ac:dyDescent="0.15">
      <c r="A966" s="9">
        <v>965</v>
      </c>
      <c r="B966" s="9" t="s">
        <v>9</v>
      </c>
      <c r="C966" s="9">
        <v>1910</v>
      </c>
      <c r="D966" s="10">
        <v>45602</v>
      </c>
      <c r="E966" s="13" t="str">
        <f>+HYPERLINK("http://trademark.i-assist.jp/data/china/image_1910th/80093696.pdf","80093696")</f>
        <v>80093696</v>
      </c>
      <c r="F966" s="9" t="s">
        <v>2814</v>
      </c>
      <c r="G966" s="9" t="s">
        <v>2815</v>
      </c>
      <c r="H966" s="9" t="s">
        <v>2816</v>
      </c>
      <c r="I966" s="10">
        <v>45503</v>
      </c>
    </row>
    <row r="967" spans="1:9" x14ac:dyDescent="0.15">
      <c r="A967" s="9">
        <v>966</v>
      </c>
      <c r="B967" s="9" t="s">
        <v>9</v>
      </c>
      <c r="C967" s="9">
        <v>1910</v>
      </c>
      <c r="D967" s="10">
        <v>45602</v>
      </c>
      <c r="E967" s="13" t="str">
        <f>+HYPERLINK("http://trademark.i-assist.jp/data/china/image_1910th/80093874.pdf","80093874")</f>
        <v>80093874</v>
      </c>
      <c r="F967" s="9" t="s">
        <v>2817</v>
      </c>
      <c r="G967" s="11" t="s">
        <v>2818</v>
      </c>
      <c r="H967" s="9" t="s">
        <v>2819</v>
      </c>
      <c r="I967" s="10">
        <v>45503</v>
      </c>
    </row>
    <row r="968" spans="1:9" x14ac:dyDescent="0.15">
      <c r="A968" s="9">
        <v>967</v>
      </c>
      <c r="B968" s="9" t="s">
        <v>9</v>
      </c>
      <c r="C968" s="9">
        <v>1910</v>
      </c>
      <c r="D968" s="10">
        <v>45602</v>
      </c>
      <c r="E968" s="13" t="str">
        <f>+HYPERLINK("http://trademark.i-assist.jp/data/china/image_1910th/80093909.pdf","80093909")</f>
        <v>80093909</v>
      </c>
      <c r="F968" s="9" t="s">
        <v>2690</v>
      </c>
      <c r="G968" s="9" t="s">
        <v>2690</v>
      </c>
      <c r="H968" s="9" t="s">
        <v>2820</v>
      </c>
      <c r="I968" s="10">
        <v>45503</v>
      </c>
    </row>
    <row r="969" spans="1:9" x14ac:dyDescent="0.15">
      <c r="A969" s="9">
        <v>968</v>
      </c>
      <c r="B969" s="9" t="s">
        <v>9</v>
      </c>
      <c r="C969" s="9">
        <v>1910</v>
      </c>
      <c r="D969" s="10">
        <v>45602</v>
      </c>
      <c r="E969" s="13" t="str">
        <f>+HYPERLINK("http://trademark.i-assist.jp/data/china/image_1910th/80094583.pdf","80094583")</f>
        <v>80094583</v>
      </c>
      <c r="F969" s="11" t="s">
        <v>2821</v>
      </c>
      <c r="G969" s="9" t="s">
        <v>98</v>
      </c>
      <c r="H969" s="9" t="s">
        <v>2822</v>
      </c>
      <c r="I969" s="10">
        <v>45503</v>
      </c>
    </row>
    <row r="970" spans="1:9" x14ac:dyDescent="0.15">
      <c r="A970" s="9">
        <v>969</v>
      </c>
      <c r="B970" s="9" t="s">
        <v>9</v>
      </c>
      <c r="C970" s="9">
        <v>1910</v>
      </c>
      <c r="D970" s="10">
        <v>45602</v>
      </c>
      <c r="E970" s="13" t="str">
        <f>+HYPERLINK("http://trademark.i-assist.jp/data/china/image_1910th/80094905.pdf","80094905")</f>
        <v>80094905</v>
      </c>
      <c r="F970" s="9" t="s">
        <v>2823</v>
      </c>
      <c r="G970" s="9" t="s">
        <v>2824</v>
      </c>
      <c r="H970" s="9" t="s">
        <v>2825</v>
      </c>
      <c r="I970" s="10">
        <v>45503</v>
      </c>
    </row>
    <row r="971" spans="1:9" x14ac:dyDescent="0.15">
      <c r="A971" s="9">
        <v>970</v>
      </c>
      <c r="B971" s="9" t="s">
        <v>9</v>
      </c>
      <c r="C971" s="9">
        <v>1910</v>
      </c>
      <c r="D971" s="10">
        <v>45602</v>
      </c>
      <c r="E971" s="13" t="str">
        <f>+HYPERLINK("http://trademark.i-assist.jp/data/china/image_1910th/80096414.pdf","80096414")</f>
        <v>80096414</v>
      </c>
      <c r="F971" s="9" t="s">
        <v>2826</v>
      </c>
      <c r="G971" s="9" t="s">
        <v>2668</v>
      </c>
      <c r="H971" s="9" t="s">
        <v>2827</v>
      </c>
      <c r="I971" s="10">
        <v>45504</v>
      </c>
    </row>
    <row r="972" spans="1:9" x14ac:dyDescent="0.15">
      <c r="A972" s="9">
        <v>971</v>
      </c>
      <c r="B972" s="9" t="s">
        <v>9</v>
      </c>
      <c r="C972" s="9">
        <v>1910</v>
      </c>
      <c r="D972" s="10">
        <v>45602</v>
      </c>
      <c r="E972" s="13" t="str">
        <f>+HYPERLINK("http://trademark.i-assist.jp/data/china/image_1910th/80096913.pdf","80096913")</f>
        <v>80096913</v>
      </c>
      <c r="F972" s="9" t="s">
        <v>2828</v>
      </c>
      <c r="G972" s="9" t="s">
        <v>2829</v>
      </c>
      <c r="H972" s="9" t="s">
        <v>2830</v>
      </c>
      <c r="I972" s="10">
        <v>45504</v>
      </c>
    </row>
    <row r="973" spans="1:9" x14ac:dyDescent="0.15">
      <c r="A973" s="9">
        <v>972</v>
      </c>
      <c r="B973" s="9" t="s">
        <v>9</v>
      </c>
      <c r="C973" s="9">
        <v>1910</v>
      </c>
      <c r="D973" s="10">
        <v>45602</v>
      </c>
      <c r="E973" s="13" t="str">
        <f>+HYPERLINK("http://trademark.i-assist.jp/data/china/image_1910th/80097390.pdf","80097390")</f>
        <v>80097390</v>
      </c>
      <c r="F973" s="9" t="s">
        <v>2831</v>
      </c>
      <c r="G973" s="9" t="s">
        <v>2832</v>
      </c>
      <c r="H973" s="9" t="s">
        <v>2833</v>
      </c>
      <c r="I973" s="10">
        <v>45504</v>
      </c>
    </row>
    <row r="974" spans="1:9" x14ac:dyDescent="0.15">
      <c r="A974" s="9">
        <v>973</v>
      </c>
      <c r="B974" s="9" t="s">
        <v>9</v>
      </c>
      <c r="C974" s="9">
        <v>1910</v>
      </c>
      <c r="D974" s="10">
        <v>45602</v>
      </c>
      <c r="E974" s="13" t="str">
        <f>+HYPERLINK("http://trademark.i-assist.jp/data/china/image_1910th/80097419.pdf","80097419")</f>
        <v>80097419</v>
      </c>
      <c r="F974" s="11" t="s">
        <v>2834</v>
      </c>
      <c r="G974" s="9" t="s">
        <v>2835</v>
      </c>
      <c r="H974" s="9" t="s">
        <v>2836</v>
      </c>
      <c r="I974" s="10">
        <v>45504</v>
      </c>
    </row>
    <row r="975" spans="1:9" x14ac:dyDescent="0.15">
      <c r="A975" s="9">
        <v>974</v>
      </c>
      <c r="B975" s="9" t="s">
        <v>9</v>
      </c>
      <c r="C975" s="9">
        <v>1910</v>
      </c>
      <c r="D975" s="10">
        <v>45602</v>
      </c>
      <c r="E975" s="13" t="str">
        <f>+HYPERLINK("http://trademark.i-assist.jp/data/china/image_1910th/80097824.pdf","80097824")</f>
        <v>80097824</v>
      </c>
      <c r="F975" s="11" t="s">
        <v>2837</v>
      </c>
      <c r="G975" s="9" t="s">
        <v>2838</v>
      </c>
      <c r="H975" s="9" t="s">
        <v>2839</v>
      </c>
      <c r="I975" s="10">
        <v>45504</v>
      </c>
    </row>
    <row r="976" spans="1:9" x14ac:dyDescent="0.15">
      <c r="A976" s="9">
        <v>975</v>
      </c>
      <c r="B976" s="9" t="s">
        <v>9</v>
      </c>
      <c r="C976" s="9">
        <v>1910</v>
      </c>
      <c r="D976" s="10">
        <v>45602</v>
      </c>
      <c r="E976" s="13" t="str">
        <f>+HYPERLINK("http://trademark.i-assist.jp/data/china/image_1910th/80097923.pdf","80097923")</f>
        <v>80097923</v>
      </c>
      <c r="F976" s="9" t="s">
        <v>2840</v>
      </c>
      <c r="G976" s="11" t="s">
        <v>2841</v>
      </c>
      <c r="H976" s="9" t="s">
        <v>2842</v>
      </c>
      <c r="I976" s="10">
        <v>45504</v>
      </c>
    </row>
    <row r="977" spans="1:9" x14ac:dyDescent="0.15">
      <c r="A977" s="9">
        <v>976</v>
      </c>
      <c r="B977" s="9" t="s">
        <v>9</v>
      </c>
      <c r="C977" s="9">
        <v>1910</v>
      </c>
      <c r="D977" s="10">
        <v>45602</v>
      </c>
      <c r="E977" s="13" t="str">
        <f>+HYPERLINK("http://trademark.i-assist.jp/data/china/image_1910th/80098177.pdf","80098177")</f>
        <v>80098177</v>
      </c>
      <c r="F977" s="9" t="s">
        <v>2843</v>
      </c>
      <c r="G977" s="11" t="s">
        <v>2844</v>
      </c>
      <c r="H977" s="9" t="s">
        <v>2845</v>
      </c>
      <c r="I977" s="10">
        <v>45504</v>
      </c>
    </row>
    <row r="978" spans="1:9" x14ac:dyDescent="0.15">
      <c r="A978" s="9">
        <v>977</v>
      </c>
      <c r="B978" s="9" t="s">
        <v>9</v>
      </c>
      <c r="C978" s="9">
        <v>1910</v>
      </c>
      <c r="D978" s="10">
        <v>45602</v>
      </c>
      <c r="E978" s="13" t="str">
        <f>+HYPERLINK("http://trademark.i-assist.jp/data/china/image_1910th/80098545.pdf","80098545")</f>
        <v>80098545</v>
      </c>
      <c r="F978" s="9" t="s">
        <v>2846</v>
      </c>
      <c r="G978" s="9" t="s">
        <v>2847</v>
      </c>
      <c r="H978" s="9" t="s">
        <v>2848</v>
      </c>
      <c r="I978" s="10">
        <v>45504</v>
      </c>
    </row>
    <row r="979" spans="1:9" x14ac:dyDescent="0.15">
      <c r="A979" s="9">
        <v>978</v>
      </c>
      <c r="B979" s="9" t="s">
        <v>9</v>
      </c>
      <c r="C979" s="9">
        <v>1910</v>
      </c>
      <c r="D979" s="10">
        <v>45602</v>
      </c>
      <c r="E979" s="13" t="str">
        <f>+HYPERLINK("http://trademark.i-assist.jp/data/china/image_1910th/80098693.pdf","80098693")</f>
        <v>80098693</v>
      </c>
      <c r="F979" s="9" t="s">
        <v>2849</v>
      </c>
      <c r="G979" s="9" t="s">
        <v>2850</v>
      </c>
      <c r="H979" s="11" t="s">
        <v>2851</v>
      </c>
      <c r="I979" s="10">
        <v>45504</v>
      </c>
    </row>
    <row r="980" spans="1:9" x14ac:dyDescent="0.15">
      <c r="A980" s="9">
        <v>979</v>
      </c>
      <c r="B980" s="9" t="s">
        <v>9</v>
      </c>
      <c r="C980" s="9">
        <v>1910</v>
      </c>
      <c r="D980" s="10">
        <v>45602</v>
      </c>
      <c r="E980" s="13" t="str">
        <f>+HYPERLINK("http://trademark.i-assist.jp/data/china/image_1910th/80098773.pdf","80098773")</f>
        <v>80098773</v>
      </c>
      <c r="F980" s="9" t="s">
        <v>2852</v>
      </c>
      <c r="G980" s="9" t="s">
        <v>2853</v>
      </c>
      <c r="H980" s="11" t="s">
        <v>2854</v>
      </c>
      <c r="I980" s="10">
        <v>45504</v>
      </c>
    </row>
    <row r="981" spans="1:9" x14ac:dyDescent="0.15">
      <c r="A981" s="9">
        <v>980</v>
      </c>
      <c r="B981" s="9" t="s">
        <v>9</v>
      </c>
      <c r="C981" s="9">
        <v>1910</v>
      </c>
      <c r="D981" s="10">
        <v>45602</v>
      </c>
      <c r="E981" s="13" t="str">
        <f>+HYPERLINK("http://trademark.i-assist.jp/data/china/image_1910th/80098963.pdf","80098963")</f>
        <v>80098963</v>
      </c>
      <c r="F981" s="9" t="s">
        <v>2855</v>
      </c>
      <c r="G981" s="9" t="s">
        <v>2838</v>
      </c>
      <c r="H981" s="11" t="s">
        <v>2856</v>
      </c>
      <c r="I981" s="10">
        <v>45504</v>
      </c>
    </row>
    <row r="982" spans="1:9" x14ac:dyDescent="0.15">
      <c r="A982" s="9">
        <v>981</v>
      </c>
      <c r="B982" s="9" t="s">
        <v>9</v>
      </c>
      <c r="C982" s="9">
        <v>1910</v>
      </c>
      <c r="D982" s="10">
        <v>45602</v>
      </c>
      <c r="E982" s="13" t="str">
        <f>+HYPERLINK("http://trademark.i-assist.jp/data/china/image_1910th/80099446.pdf","80099446")</f>
        <v>80099446</v>
      </c>
      <c r="F982" s="9" t="s">
        <v>2857</v>
      </c>
      <c r="G982" s="11" t="s">
        <v>2858</v>
      </c>
      <c r="H982" s="9" t="s">
        <v>2859</v>
      </c>
      <c r="I982" s="10">
        <v>45504</v>
      </c>
    </row>
    <row r="983" spans="1:9" x14ac:dyDescent="0.15">
      <c r="A983" s="9">
        <v>982</v>
      </c>
      <c r="B983" s="9" t="s">
        <v>9</v>
      </c>
      <c r="C983" s="9">
        <v>1910</v>
      </c>
      <c r="D983" s="10">
        <v>45602</v>
      </c>
      <c r="E983" s="13" t="str">
        <f>+HYPERLINK("http://trademark.i-assist.jp/data/china/image_1910th/80099729.pdf","80099729")</f>
        <v>80099729</v>
      </c>
      <c r="F983" s="9" t="s">
        <v>2860</v>
      </c>
      <c r="G983" s="9" t="s">
        <v>2861</v>
      </c>
      <c r="H983" s="9" t="s">
        <v>2862</v>
      </c>
      <c r="I983" s="10">
        <v>45504</v>
      </c>
    </row>
    <row r="984" spans="1:9" x14ac:dyDescent="0.15">
      <c r="A984" s="9">
        <v>983</v>
      </c>
      <c r="B984" s="9" t="s">
        <v>9</v>
      </c>
      <c r="C984" s="9">
        <v>1910</v>
      </c>
      <c r="D984" s="10">
        <v>45602</v>
      </c>
      <c r="E984" s="13" t="str">
        <f>+HYPERLINK("http://trademark.i-assist.jp/data/china/image_1910th/80099819.pdf","80099819")</f>
        <v>80099819</v>
      </c>
      <c r="F984" s="11" t="s">
        <v>2863</v>
      </c>
      <c r="G984" s="9" t="s">
        <v>71</v>
      </c>
      <c r="H984" s="9" t="s">
        <v>2864</v>
      </c>
      <c r="I984" s="10">
        <v>45504</v>
      </c>
    </row>
    <row r="985" spans="1:9" x14ac:dyDescent="0.15">
      <c r="A985" s="9">
        <v>984</v>
      </c>
      <c r="B985" s="9" t="s">
        <v>9</v>
      </c>
      <c r="C985" s="9">
        <v>1910</v>
      </c>
      <c r="D985" s="10">
        <v>45602</v>
      </c>
      <c r="E985" s="13" t="str">
        <f>+HYPERLINK("http://trademark.i-assist.jp/data/china/image_1910th/80099848.pdf","80099848")</f>
        <v>80099848</v>
      </c>
      <c r="F985" s="11" t="s">
        <v>2865</v>
      </c>
      <c r="G985" s="9" t="s">
        <v>2866</v>
      </c>
      <c r="H985" s="9" t="s">
        <v>2867</v>
      </c>
      <c r="I985" s="10">
        <v>45504</v>
      </c>
    </row>
    <row r="986" spans="1:9" x14ac:dyDescent="0.15">
      <c r="A986" s="9">
        <v>985</v>
      </c>
      <c r="B986" s="9" t="s">
        <v>9</v>
      </c>
      <c r="C986" s="9">
        <v>1910</v>
      </c>
      <c r="D986" s="10">
        <v>45602</v>
      </c>
      <c r="E986" s="13" t="str">
        <f>+HYPERLINK("http://trademark.i-assist.jp/data/china/image_1910th/80099920.pdf","80099920")</f>
        <v>80099920</v>
      </c>
      <c r="F986" s="9" t="s">
        <v>2868</v>
      </c>
      <c r="G986" s="11" t="s">
        <v>2869</v>
      </c>
      <c r="H986" s="9" t="s">
        <v>2870</v>
      </c>
      <c r="I986" s="10">
        <v>45504</v>
      </c>
    </row>
    <row r="987" spans="1:9" x14ac:dyDescent="0.15">
      <c r="A987" s="9">
        <v>986</v>
      </c>
      <c r="B987" s="9" t="s">
        <v>9</v>
      </c>
      <c r="C987" s="9">
        <v>1910</v>
      </c>
      <c r="D987" s="10">
        <v>45602</v>
      </c>
      <c r="E987" s="13" t="str">
        <f>+HYPERLINK("http://trademark.i-assist.jp/data/china/image_1910th/80100598.pdf","80100598")</f>
        <v>80100598</v>
      </c>
      <c r="F987" s="9" t="s">
        <v>2871</v>
      </c>
      <c r="G987" s="9" t="s">
        <v>2872</v>
      </c>
      <c r="H987" s="9" t="s">
        <v>2873</v>
      </c>
      <c r="I987" s="10">
        <v>45504</v>
      </c>
    </row>
    <row r="988" spans="1:9" x14ac:dyDescent="0.15">
      <c r="A988" s="9">
        <v>987</v>
      </c>
      <c r="B988" s="9" t="s">
        <v>9</v>
      </c>
      <c r="C988" s="9">
        <v>1910</v>
      </c>
      <c r="D988" s="10">
        <v>45602</v>
      </c>
      <c r="E988" s="13" t="str">
        <f>+HYPERLINK("http://trademark.i-assist.jp/data/china/image_1910th/80100739.pdf","80100739")</f>
        <v>80100739</v>
      </c>
      <c r="F988" s="9" t="s">
        <v>2874</v>
      </c>
      <c r="G988" s="9" t="s">
        <v>2875</v>
      </c>
      <c r="H988" s="9" t="s">
        <v>2876</v>
      </c>
      <c r="I988" s="10">
        <v>45504</v>
      </c>
    </row>
    <row r="989" spans="1:9" x14ac:dyDescent="0.15">
      <c r="A989" s="9">
        <v>988</v>
      </c>
      <c r="B989" s="9" t="s">
        <v>9</v>
      </c>
      <c r="C989" s="9">
        <v>1910</v>
      </c>
      <c r="D989" s="10">
        <v>45602</v>
      </c>
      <c r="E989" s="13" t="str">
        <f>+HYPERLINK("http://trademark.i-assist.jp/data/china/image_1910th/80101375.pdf","80101375")</f>
        <v>80101375</v>
      </c>
      <c r="F989" s="11" t="s">
        <v>19</v>
      </c>
      <c r="G989" s="9" t="s">
        <v>2877</v>
      </c>
      <c r="H989" s="9" t="s">
        <v>2878</v>
      </c>
      <c r="I989" s="10">
        <v>45504</v>
      </c>
    </row>
    <row r="990" spans="1:9" x14ac:dyDescent="0.15">
      <c r="A990" s="9">
        <v>989</v>
      </c>
      <c r="B990" s="9" t="s">
        <v>9</v>
      </c>
      <c r="C990" s="9">
        <v>1910</v>
      </c>
      <c r="D990" s="10">
        <v>45602</v>
      </c>
      <c r="E990" s="13" t="str">
        <f>+HYPERLINK("http://trademark.i-assist.jp/data/china/image_1910th/80101405.pdf","80101405")</f>
        <v>80101405</v>
      </c>
      <c r="F990" s="9" t="s">
        <v>2879</v>
      </c>
      <c r="G990" s="9" t="s">
        <v>2880</v>
      </c>
      <c r="H990" s="9" t="s">
        <v>2881</v>
      </c>
      <c r="I990" s="10">
        <v>45504</v>
      </c>
    </row>
    <row r="991" spans="1:9" x14ac:dyDescent="0.15">
      <c r="A991" s="9">
        <v>990</v>
      </c>
      <c r="B991" s="9" t="s">
        <v>9</v>
      </c>
      <c r="C991" s="9">
        <v>1910</v>
      </c>
      <c r="D991" s="10">
        <v>45602</v>
      </c>
      <c r="E991" s="13" t="str">
        <f>+HYPERLINK("http://trademark.i-assist.jp/data/china/image_1910th/80101447.pdf","80101447")</f>
        <v>80101447</v>
      </c>
      <c r="F991" s="11" t="s">
        <v>2882</v>
      </c>
      <c r="G991" s="9" t="s">
        <v>2866</v>
      </c>
      <c r="H991" s="9" t="s">
        <v>2883</v>
      </c>
      <c r="I991" s="10">
        <v>45504</v>
      </c>
    </row>
    <row r="992" spans="1:9" x14ac:dyDescent="0.15">
      <c r="A992" s="9">
        <v>991</v>
      </c>
      <c r="B992" s="9" t="s">
        <v>9</v>
      </c>
      <c r="C992" s="9">
        <v>1910</v>
      </c>
      <c r="D992" s="10">
        <v>45602</v>
      </c>
      <c r="E992" s="13" t="str">
        <f>+HYPERLINK("http://trademark.i-assist.jp/data/china/image_1910th/80101726.pdf","80101726")</f>
        <v>80101726</v>
      </c>
      <c r="F992" s="9" t="s">
        <v>2884</v>
      </c>
      <c r="G992" s="9" t="s">
        <v>2885</v>
      </c>
      <c r="H992" s="9" t="s">
        <v>2886</v>
      </c>
      <c r="I992" s="10">
        <v>45504</v>
      </c>
    </row>
    <row r="993" spans="1:9" x14ac:dyDescent="0.15">
      <c r="A993" s="9">
        <v>992</v>
      </c>
      <c r="B993" s="9" t="s">
        <v>9</v>
      </c>
      <c r="C993" s="9">
        <v>1910</v>
      </c>
      <c r="D993" s="10">
        <v>45602</v>
      </c>
      <c r="E993" s="13" t="str">
        <f>+HYPERLINK("http://trademark.i-assist.jp/data/china/image_1910th/80101956.pdf","80101956")</f>
        <v>80101956</v>
      </c>
      <c r="F993" s="9" t="s">
        <v>2887</v>
      </c>
      <c r="G993" s="9" t="s">
        <v>127</v>
      </c>
      <c r="H993" s="9" t="s">
        <v>2888</v>
      </c>
      <c r="I993" s="10">
        <v>45504</v>
      </c>
    </row>
    <row r="994" spans="1:9" x14ac:dyDescent="0.15">
      <c r="A994" s="9">
        <v>993</v>
      </c>
      <c r="B994" s="9" t="s">
        <v>9</v>
      </c>
      <c r="C994" s="9">
        <v>1910</v>
      </c>
      <c r="D994" s="10">
        <v>45602</v>
      </c>
      <c r="E994" s="13" t="str">
        <f>+HYPERLINK("http://trademark.i-assist.jp/data/china/image_1910th/80102986.pdf","80102986")</f>
        <v>80102986</v>
      </c>
      <c r="F994" s="9" t="s">
        <v>2889</v>
      </c>
      <c r="G994" s="9" t="s">
        <v>2890</v>
      </c>
      <c r="H994" s="9" t="s">
        <v>2891</v>
      </c>
      <c r="I994" s="10">
        <v>45504</v>
      </c>
    </row>
    <row r="995" spans="1:9" x14ac:dyDescent="0.15">
      <c r="A995" s="9">
        <v>994</v>
      </c>
      <c r="B995" s="9" t="s">
        <v>9</v>
      </c>
      <c r="C995" s="9">
        <v>1910</v>
      </c>
      <c r="D995" s="10">
        <v>45602</v>
      </c>
      <c r="E995" s="13" t="str">
        <f>+HYPERLINK("http://trademark.i-assist.jp/data/china/image_1910th/80103145.pdf","80103145")</f>
        <v>80103145</v>
      </c>
      <c r="F995" s="9" t="s">
        <v>2892</v>
      </c>
      <c r="G995" s="9" t="s">
        <v>47</v>
      </c>
      <c r="H995" s="9" t="s">
        <v>2893</v>
      </c>
      <c r="I995" s="10">
        <v>45504</v>
      </c>
    </row>
    <row r="996" spans="1:9" x14ac:dyDescent="0.15">
      <c r="A996" s="9">
        <v>995</v>
      </c>
      <c r="B996" s="9" t="s">
        <v>9</v>
      </c>
      <c r="C996" s="9">
        <v>1910</v>
      </c>
      <c r="D996" s="10">
        <v>45602</v>
      </c>
      <c r="E996" s="13" t="str">
        <f>+HYPERLINK("http://trademark.i-assist.jp/data/china/image_1910th/80103299.pdf","80103299")</f>
        <v>80103299</v>
      </c>
      <c r="F996" s="9" t="s">
        <v>2894</v>
      </c>
      <c r="G996" s="9" t="s">
        <v>2895</v>
      </c>
      <c r="H996" s="9" t="s">
        <v>2896</v>
      </c>
      <c r="I996" s="10">
        <v>45504</v>
      </c>
    </row>
    <row r="997" spans="1:9" x14ac:dyDescent="0.15">
      <c r="A997" s="9">
        <v>996</v>
      </c>
      <c r="B997" s="9" t="s">
        <v>9</v>
      </c>
      <c r="C997" s="9">
        <v>1910</v>
      </c>
      <c r="D997" s="10">
        <v>45602</v>
      </c>
      <c r="E997" s="13" t="str">
        <f>+HYPERLINK("http://trademark.i-assist.jp/data/china/image_1910th/80104783.pdf","80104783")</f>
        <v>80104783</v>
      </c>
      <c r="F997" s="9" t="s">
        <v>2897</v>
      </c>
      <c r="G997" s="9" t="s">
        <v>2898</v>
      </c>
      <c r="H997" s="9" t="s">
        <v>2899</v>
      </c>
      <c r="I997" s="10">
        <v>45504</v>
      </c>
    </row>
    <row r="998" spans="1:9" x14ac:dyDescent="0.15">
      <c r="A998" s="9">
        <v>997</v>
      </c>
      <c r="B998" s="9" t="s">
        <v>9</v>
      </c>
      <c r="C998" s="9">
        <v>1910</v>
      </c>
      <c r="D998" s="10">
        <v>45602</v>
      </c>
      <c r="E998" s="13" t="str">
        <f>+HYPERLINK("http://trademark.i-assist.jp/data/china/image_1910th/80105484.pdf","80105484")</f>
        <v>80105484</v>
      </c>
      <c r="F998" s="11" t="s">
        <v>2900</v>
      </c>
      <c r="G998" s="9" t="s">
        <v>2901</v>
      </c>
      <c r="H998" s="11" t="s">
        <v>2902</v>
      </c>
      <c r="I998" s="10">
        <v>45504</v>
      </c>
    </row>
    <row r="999" spans="1:9" x14ac:dyDescent="0.15">
      <c r="A999" s="9">
        <v>998</v>
      </c>
      <c r="B999" s="9" t="s">
        <v>9</v>
      </c>
      <c r="C999" s="9">
        <v>1910</v>
      </c>
      <c r="D999" s="10">
        <v>45602</v>
      </c>
      <c r="E999" s="13" t="str">
        <f>+HYPERLINK("http://trademark.i-assist.jp/data/china/image_1910th/80105606.pdf","80105606")</f>
        <v>80105606</v>
      </c>
      <c r="F999" s="9" t="s">
        <v>2903</v>
      </c>
      <c r="G999" s="9" t="s">
        <v>2668</v>
      </c>
      <c r="H999" s="9" t="s">
        <v>2904</v>
      </c>
      <c r="I999" s="10">
        <v>45504</v>
      </c>
    </row>
    <row r="1000" spans="1:9" x14ac:dyDescent="0.15">
      <c r="A1000" s="9">
        <v>999</v>
      </c>
      <c r="B1000" s="9" t="s">
        <v>9</v>
      </c>
      <c r="C1000" s="9">
        <v>1910</v>
      </c>
      <c r="D1000" s="10">
        <v>45602</v>
      </c>
      <c r="E1000" s="13" t="str">
        <f>+HYPERLINK("http://trademark.i-assist.jp/data/china/image_1910th/80105914.pdf","80105914")</f>
        <v>80105914</v>
      </c>
      <c r="F1000" s="9" t="s">
        <v>2905</v>
      </c>
      <c r="G1000" s="9" t="s">
        <v>123</v>
      </c>
      <c r="H1000" s="9" t="s">
        <v>2906</v>
      </c>
      <c r="I1000" s="10">
        <v>45504</v>
      </c>
    </row>
    <row r="1001" spans="1:9" x14ac:dyDescent="0.15">
      <c r="A1001" s="9">
        <v>1000</v>
      </c>
      <c r="B1001" s="9" t="s">
        <v>9</v>
      </c>
      <c r="C1001" s="9">
        <v>1910</v>
      </c>
      <c r="D1001" s="10">
        <v>45602</v>
      </c>
      <c r="E1001" s="13" t="str">
        <f>+HYPERLINK("http://trademark.i-assist.jp/data/china/image_1910th/80106281.pdf","80106281")</f>
        <v>80106281</v>
      </c>
      <c r="F1001" s="11" t="s">
        <v>19</v>
      </c>
      <c r="G1001" s="9" t="s">
        <v>2907</v>
      </c>
      <c r="H1001" s="9" t="s">
        <v>2908</v>
      </c>
      <c r="I1001" s="10">
        <v>45504</v>
      </c>
    </row>
    <row r="1002" spans="1:9" x14ac:dyDescent="0.15">
      <c r="A1002" s="9">
        <v>1001</v>
      </c>
      <c r="B1002" s="9" t="s">
        <v>9</v>
      </c>
      <c r="C1002" s="9">
        <v>1910</v>
      </c>
      <c r="D1002" s="10">
        <v>45602</v>
      </c>
      <c r="E1002" s="13" t="str">
        <f>+HYPERLINK("http://trademark.i-assist.jp/data/china/image_1910th/80106488.pdf","80106488")</f>
        <v>80106488</v>
      </c>
      <c r="F1002" s="9" t="s">
        <v>2909</v>
      </c>
      <c r="G1002" s="9" t="s">
        <v>2890</v>
      </c>
      <c r="H1002" s="9" t="s">
        <v>2910</v>
      </c>
      <c r="I1002" s="10">
        <v>45504</v>
      </c>
    </row>
    <row r="1003" spans="1:9" x14ac:dyDescent="0.15">
      <c r="A1003" s="9">
        <v>1002</v>
      </c>
      <c r="B1003" s="9" t="s">
        <v>9</v>
      </c>
      <c r="C1003" s="9">
        <v>1910</v>
      </c>
      <c r="D1003" s="10">
        <v>45602</v>
      </c>
      <c r="E1003" s="13" t="str">
        <f>+HYPERLINK("http://trademark.i-assist.jp/data/china/image_1910th/80106582.pdf","80106582")</f>
        <v>80106582</v>
      </c>
      <c r="F1003" s="9" t="s">
        <v>2911</v>
      </c>
      <c r="G1003" s="9" t="s">
        <v>2829</v>
      </c>
      <c r="H1003" s="9" t="s">
        <v>2912</v>
      </c>
      <c r="I1003" s="10">
        <v>45504</v>
      </c>
    </row>
    <row r="1004" spans="1:9" x14ac:dyDescent="0.15">
      <c r="A1004" s="9">
        <v>1003</v>
      </c>
      <c r="B1004" s="9" t="s">
        <v>9</v>
      </c>
      <c r="C1004" s="9">
        <v>1910</v>
      </c>
      <c r="D1004" s="10">
        <v>45602</v>
      </c>
      <c r="E1004" s="13" t="str">
        <f>+HYPERLINK("http://trademark.i-assist.jp/data/china/image_1910th/80107210.pdf","80107210")</f>
        <v>80107210</v>
      </c>
      <c r="F1004" s="9" t="s">
        <v>2913</v>
      </c>
      <c r="G1004" s="9" t="s">
        <v>2914</v>
      </c>
      <c r="H1004" s="9" t="s">
        <v>2915</v>
      </c>
      <c r="I1004" s="10">
        <v>45504</v>
      </c>
    </row>
    <row r="1005" spans="1:9" x14ac:dyDescent="0.15">
      <c r="A1005" s="9">
        <v>1004</v>
      </c>
      <c r="B1005" s="9" t="s">
        <v>9</v>
      </c>
      <c r="C1005" s="9">
        <v>1910</v>
      </c>
      <c r="D1005" s="10">
        <v>45602</v>
      </c>
      <c r="E1005" s="13" t="str">
        <f>+HYPERLINK("http://trademark.i-assist.jp/data/china/image_1910th/80108051.pdf","80108051")</f>
        <v>80108051</v>
      </c>
      <c r="F1005" s="9" t="s">
        <v>2916</v>
      </c>
      <c r="G1005" s="11" t="s">
        <v>2917</v>
      </c>
      <c r="H1005" s="11" t="s">
        <v>2918</v>
      </c>
      <c r="I1005" s="10">
        <v>45504</v>
      </c>
    </row>
    <row r="1006" spans="1:9" x14ac:dyDescent="0.15">
      <c r="A1006" s="9">
        <v>1005</v>
      </c>
      <c r="B1006" s="9" t="s">
        <v>9</v>
      </c>
      <c r="C1006" s="9">
        <v>1910</v>
      </c>
      <c r="D1006" s="10">
        <v>45602</v>
      </c>
      <c r="E1006" s="13" t="str">
        <f>+HYPERLINK("http://trademark.i-assist.jp/data/china/image_1910th/80108281.pdf","80108281")</f>
        <v>80108281</v>
      </c>
      <c r="F1006" s="9" t="s">
        <v>2919</v>
      </c>
      <c r="G1006" s="11" t="s">
        <v>2920</v>
      </c>
      <c r="H1006" s="9" t="s">
        <v>100</v>
      </c>
      <c r="I1006" s="10">
        <v>45504</v>
      </c>
    </row>
    <row r="1007" spans="1:9" x14ac:dyDescent="0.15">
      <c r="A1007" s="9">
        <v>1006</v>
      </c>
      <c r="B1007" s="9" t="s">
        <v>9</v>
      </c>
      <c r="C1007" s="9">
        <v>1910</v>
      </c>
      <c r="D1007" s="10">
        <v>45602</v>
      </c>
      <c r="E1007" s="13" t="str">
        <f>+HYPERLINK("http://trademark.i-assist.jp/data/china/image_1910th/80108445.pdf","80108445")</f>
        <v>80108445</v>
      </c>
      <c r="F1007" s="9" t="s">
        <v>2921</v>
      </c>
      <c r="G1007" s="9" t="s">
        <v>2922</v>
      </c>
      <c r="H1007" s="9" t="s">
        <v>2923</v>
      </c>
      <c r="I1007" s="10">
        <v>45504</v>
      </c>
    </row>
    <row r="1008" spans="1:9" x14ac:dyDescent="0.15">
      <c r="A1008" s="9">
        <v>1007</v>
      </c>
      <c r="B1008" s="9" t="s">
        <v>9</v>
      </c>
      <c r="C1008" s="9">
        <v>1910</v>
      </c>
      <c r="D1008" s="10">
        <v>45602</v>
      </c>
      <c r="E1008" s="13" t="str">
        <f>+HYPERLINK("http://trademark.i-assist.jp/data/china/image_1910th/80108705.pdf","80108705")</f>
        <v>80108705</v>
      </c>
      <c r="F1008" s="11" t="s">
        <v>2924</v>
      </c>
      <c r="G1008" s="9" t="s">
        <v>114</v>
      </c>
      <c r="H1008" s="9" t="s">
        <v>2925</v>
      </c>
      <c r="I1008" s="10">
        <v>45504</v>
      </c>
    </row>
    <row r="1009" spans="1:9" x14ac:dyDescent="0.15">
      <c r="A1009" s="9">
        <v>1008</v>
      </c>
      <c r="B1009" s="9" t="s">
        <v>9</v>
      </c>
      <c r="C1009" s="9">
        <v>1910</v>
      </c>
      <c r="D1009" s="10">
        <v>45602</v>
      </c>
      <c r="E1009" s="13" t="str">
        <f>+HYPERLINK("http://trademark.i-assist.jp/data/china/image_1910th/80108902.pdf","80108902")</f>
        <v>80108902</v>
      </c>
      <c r="F1009" s="9" t="s">
        <v>2926</v>
      </c>
      <c r="G1009" s="9" t="s">
        <v>2838</v>
      </c>
      <c r="H1009" s="9" t="s">
        <v>2927</v>
      </c>
      <c r="I1009" s="10">
        <v>45504</v>
      </c>
    </row>
    <row r="1010" spans="1:9" x14ac:dyDescent="0.15">
      <c r="A1010" s="9">
        <v>1009</v>
      </c>
      <c r="B1010" s="9" t="s">
        <v>9</v>
      </c>
      <c r="C1010" s="9">
        <v>1910</v>
      </c>
      <c r="D1010" s="10">
        <v>45602</v>
      </c>
      <c r="E1010" s="13" t="str">
        <f>+HYPERLINK("http://trademark.i-assist.jp/data/china/image_1910th/80109047.pdf","80109047")</f>
        <v>80109047</v>
      </c>
      <c r="F1010" s="9" t="s">
        <v>2928</v>
      </c>
      <c r="G1010" s="11" t="s">
        <v>2929</v>
      </c>
      <c r="H1010" s="9" t="s">
        <v>2930</v>
      </c>
      <c r="I1010" s="10">
        <v>45504</v>
      </c>
    </row>
    <row r="1011" spans="1:9" x14ac:dyDescent="0.15">
      <c r="A1011" s="9">
        <v>1010</v>
      </c>
      <c r="B1011" s="9" t="s">
        <v>9</v>
      </c>
      <c r="C1011" s="9">
        <v>1910</v>
      </c>
      <c r="D1011" s="10">
        <v>45602</v>
      </c>
      <c r="E1011" s="13" t="str">
        <f>+HYPERLINK("http://trademark.i-assist.jp/data/china/image_1910th/80109088.pdf","80109088")</f>
        <v>80109088</v>
      </c>
      <c r="F1011" s="9" t="s">
        <v>2931</v>
      </c>
      <c r="G1011" s="11" t="s">
        <v>2932</v>
      </c>
      <c r="H1011" s="9" t="s">
        <v>2933</v>
      </c>
      <c r="I1011" s="10">
        <v>45504</v>
      </c>
    </row>
    <row r="1012" spans="1:9" x14ac:dyDescent="0.15">
      <c r="A1012" s="9">
        <v>1011</v>
      </c>
      <c r="B1012" s="9" t="s">
        <v>9</v>
      </c>
      <c r="C1012" s="9">
        <v>1910</v>
      </c>
      <c r="D1012" s="10">
        <v>45602</v>
      </c>
      <c r="E1012" s="13" t="str">
        <f>+HYPERLINK("http://trademark.i-assist.jp/data/china/image_1910th/80109215.pdf","80109215")</f>
        <v>80109215</v>
      </c>
      <c r="F1012" s="9" t="s">
        <v>2934</v>
      </c>
      <c r="G1012" s="9" t="s">
        <v>129</v>
      </c>
      <c r="H1012" s="9" t="s">
        <v>2935</v>
      </c>
      <c r="I1012" s="10">
        <v>45504</v>
      </c>
    </row>
    <row r="1013" spans="1:9" x14ac:dyDescent="0.15">
      <c r="A1013" s="9">
        <v>1012</v>
      </c>
      <c r="B1013" s="9" t="s">
        <v>9</v>
      </c>
      <c r="C1013" s="9">
        <v>1910</v>
      </c>
      <c r="D1013" s="10">
        <v>45602</v>
      </c>
      <c r="E1013" s="13" t="str">
        <f>+HYPERLINK("http://trademark.i-assist.jp/data/china/image_1910th/80109993.pdf","80109993")</f>
        <v>80109993</v>
      </c>
      <c r="F1013" s="9" t="s">
        <v>2936</v>
      </c>
      <c r="G1013" s="9" t="s">
        <v>2937</v>
      </c>
      <c r="H1013" s="9" t="s">
        <v>2938</v>
      </c>
      <c r="I1013" s="10">
        <v>45504</v>
      </c>
    </row>
    <row r="1014" spans="1:9" x14ac:dyDescent="0.15">
      <c r="A1014" s="9">
        <v>1013</v>
      </c>
      <c r="B1014" s="9" t="s">
        <v>9</v>
      </c>
      <c r="C1014" s="9">
        <v>1910</v>
      </c>
      <c r="D1014" s="10">
        <v>45602</v>
      </c>
      <c r="E1014" s="13" t="str">
        <f>+HYPERLINK("http://trademark.i-assist.jp/data/china/image_1910th/80110027.pdf","80110027")</f>
        <v>80110027</v>
      </c>
      <c r="F1014" s="9" t="s">
        <v>2939</v>
      </c>
      <c r="G1014" s="9" t="s">
        <v>2940</v>
      </c>
      <c r="H1014" s="11" t="s">
        <v>2941</v>
      </c>
      <c r="I1014" s="10">
        <v>45504</v>
      </c>
    </row>
    <row r="1015" spans="1:9" x14ac:dyDescent="0.15">
      <c r="A1015" s="9">
        <v>1014</v>
      </c>
      <c r="B1015" s="9" t="s">
        <v>9</v>
      </c>
      <c r="C1015" s="9">
        <v>1910</v>
      </c>
      <c r="D1015" s="10">
        <v>45602</v>
      </c>
      <c r="E1015" s="13" t="str">
        <f>+HYPERLINK("http://trademark.i-assist.jp/data/china/image_1910th/80110167.pdf","80110167")</f>
        <v>80110167</v>
      </c>
      <c r="F1015" s="9" t="s">
        <v>2942</v>
      </c>
      <c r="G1015" s="9" t="s">
        <v>2943</v>
      </c>
      <c r="H1015" s="9" t="s">
        <v>2944</v>
      </c>
      <c r="I1015" s="10">
        <v>45504</v>
      </c>
    </row>
    <row r="1016" spans="1:9" x14ac:dyDescent="0.15">
      <c r="A1016" s="9">
        <v>1015</v>
      </c>
      <c r="B1016" s="9" t="s">
        <v>9</v>
      </c>
      <c r="C1016" s="9">
        <v>1910</v>
      </c>
      <c r="D1016" s="10">
        <v>45602</v>
      </c>
      <c r="E1016" s="13" t="str">
        <f>+HYPERLINK("http://trademark.i-assist.jp/data/china/image_1910th/80110286.pdf","80110286")</f>
        <v>80110286</v>
      </c>
      <c r="F1016" s="11" t="s">
        <v>2945</v>
      </c>
      <c r="G1016" s="9" t="s">
        <v>2668</v>
      </c>
      <c r="H1016" s="9" t="s">
        <v>2946</v>
      </c>
      <c r="I1016" s="10">
        <v>45504</v>
      </c>
    </row>
    <row r="1017" spans="1:9" x14ac:dyDescent="0.15">
      <c r="A1017" s="9">
        <v>1016</v>
      </c>
      <c r="B1017" s="9" t="s">
        <v>9</v>
      </c>
      <c r="C1017" s="9">
        <v>1910</v>
      </c>
      <c r="D1017" s="10">
        <v>45602</v>
      </c>
      <c r="E1017" s="13" t="str">
        <f>+HYPERLINK("http://trademark.i-assist.jp/data/china/image_1910th/80110692.pdf","80110692")</f>
        <v>80110692</v>
      </c>
      <c r="F1017" s="9" t="s">
        <v>2947</v>
      </c>
      <c r="G1017" s="11" t="s">
        <v>2948</v>
      </c>
      <c r="H1017" s="9" t="s">
        <v>2949</v>
      </c>
      <c r="I1017" s="10">
        <v>45504</v>
      </c>
    </row>
    <row r="1018" spans="1:9" x14ac:dyDescent="0.15">
      <c r="A1018" s="9">
        <v>1017</v>
      </c>
      <c r="B1018" s="9" t="s">
        <v>9</v>
      </c>
      <c r="C1018" s="9">
        <v>1910</v>
      </c>
      <c r="D1018" s="10">
        <v>45602</v>
      </c>
      <c r="E1018" s="13" t="str">
        <f>+HYPERLINK("http://trademark.i-assist.jp/data/china/image_1910th/80110978.pdf","80110978")</f>
        <v>80110978</v>
      </c>
      <c r="F1018" s="11" t="s">
        <v>2950</v>
      </c>
      <c r="G1018" s="11" t="s">
        <v>2951</v>
      </c>
      <c r="H1018" s="9" t="s">
        <v>2952</v>
      </c>
      <c r="I1018" s="10">
        <v>45504</v>
      </c>
    </row>
    <row r="1019" spans="1:9" x14ac:dyDescent="0.15">
      <c r="A1019" s="9">
        <v>1018</v>
      </c>
      <c r="B1019" s="9" t="s">
        <v>9</v>
      </c>
      <c r="C1019" s="9">
        <v>1910</v>
      </c>
      <c r="D1019" s="10">
        <v>45602</v>
      </c>
      <c r="E1019" s="13" t="str">
        <f>+HYPERLINK("http://trademark.i-assist.jp/data/china/image_1910th/80111037.pdf","80111037")</f>
        <v>80111037</v>
      </c>
      <c r="F1019" s="9" t="s">
        <v>2953</v>
      </c>
      <c r="G1019" s="9" t="s">
        <v>2954</v>
      </c>
      <c r="H1019" s="9" t="s">
        <v>2955</v>
      </c>
      <c r="I1019" s="10">
        <v>45504</v>
      </c>
    </row>
    <row r="1020" spans="1:9" x14ac:dyDescent="0.15">
      <c r="A1020" s="9">
        <v>1019</v>
      </c>
      <c r="B1020" s="9" t="s">
        <v>9</v>
      </c>
      <c r="C1020" s="9">
        <v>1910</v>
      </c>
      <c r="D1020" s="10">
        <v>45602</v>
      </c>
      <c r="E1020" s="13" t="str">
        <f>+HYPERLINK("http://trademark.i-assist.jp/data/china/image_1910th/80111160.pdf","80111160")</f>
        <v>80111160</v>
      </c>
      <c r="F1020" s="11" t="s">
        <v>2956</v>
      </c>
      <c r="G1020" s="9" t="s">
        <v>2957</v>
      </c>
      <c r="H1020" s="9" t="s">
        <v>2958</v>
      </c>
      <c r="I1020" s="10">
        <v>45504</v>
      </c>
    </row>
    <row r="1021" spans="1:9" x14ac:dyDescent="0.15">
      <c r="A1021" s="9">
        <v>1020</v>
      </c>
      <c r="B1021" s="9" t="s">
        <v>9</v>
      </c>
      <c r="C1021" s="9">
        <v>1910</v>
      </c>
      <c r="D1021" s="10">
        <v>45602</v>
      </c>
      <c r="E1021" s="13" t="str">
        <f>+HYPERLINK("http://trademark.i-assist.jp/data/china/image_1910th/80111240.pdf","80111240")</f>
        <v>80111240</v>
      </c>
      <c r="F1021" s="9" t="s">
        <v>2959</v>
      </c>
      <c r="G1021" s="9" t="s">
        <v>2838</v>
      </c>
      <c r="H1021" s="11" t="s">
        <v>2960</v>
      </c>
      <c r="I1021" s="10">
        <v>45504</v>
      </c>
    </row>
    <row r="1022" spans="1:9" x14ac:dyDescent="0.15">
      <c r="A1022" s="9">
        <v>1021</v>
      </c>
      <c r="B1022" s="9" t="s">
        <v>9</v>
      </c>
      <c r="C1022" s="9">
        <v>1910</v>
      </c>
      <c r="D1022" s="10">
        <v>45602</v>
      </c>
      <c r="E1022" s="13" t="str">
        <f>+HYPERLINK("http://trademark.i-assist.jp/data/china/image_1910th/80111593.pdf","80111593")</f>
        <v>80111593</v>
      </c>
      <c r="F1022" s="9" t="s">
        <v>2961</v>
      </c>
      <c r="G1022" s="11" t="s">
        <v>2962</v>
      </c>
      <c r="H1022" s="9" t="s">
        <v>2963</v>
      </c>
      <c r="I1022" s="10">
        <v>45504</v>
      </c>
    </row>
    <row r="1023" spans="1:9" x14ac:dyDescent="0.15">
      <c r="A1023" s="9">
        <v>1022</v>
      </c>
      <c r="B1023" s="9" t="s">
        <v>9</v>
      </c>
      <c r="C1023" s="9">
        <v>1910</v>
      </c>
      <c r="D1023" s="10">
        <v>45602</v>
      </c>
      <c r="E1023" s="13" t="str">
        <f>+HYPERLINK("http://trademark.i-assist.jp/data/china/image_1910th/80111665.pdf","80111665")</f>
        <v>80111665</v>
      </c>
      <c r="F1023" s="9" t="s">
        <v>2964</v>
      </c>
      <c r="G1023" s="11" t="s">
        <v>2965</v>
      </c>
      <c r="H1023" s="9" t="s">
        <v>16</v>
      </c>
      <c r="I1023" s="10">
        <v>45504</v>
      </c>
    </row>
    <row r="1024" spans="1:9" x14ac:dyDescent="0.15">
      <c r="A1024" s="9">
        <v>1023</v>
      </c>
      <c r="B1024" s="9" t="s">
        <v>9</v>
      </c>
      <c r="C1024" s="9">
        <v>1910</v>
      </c>
      <c r="D1024" s="10">
        <v>45602</v>
      </c>
      <c r="E1024" s="13" t="str">
        <f>+HYPERLINK("http://trademark.i-assist.jp/data/china/image_1910th/80111810.pdf","80111810")</f>
        <v>80111810</v>
      </c>
      <c r="F1024" s="9" t="s">
        <v>2966</v>
      </c>
      <c r="G1024" s="11" t="s">
        <v>2967</v>
      </c>
      <c r="H1024" s="9" t="s">
        <v>2968</v>
      </c>
      <c r="I1024" s="10">
        <v>45504</v>
      </c>
    </row>
    <row r="1025" spans="1:9" x14ac:dyDescent="0.15">
      <c r="A1025" s="9">
        <v>1024</v>
      </c>
      <c r="B1025" s="9" t="s">
        <v>9</v>
      </c>
      <c r="C1025" s="9">
        <v>1910</v>
      </c>
      <c r="D1025" s="10">
        <v>45602</v>
      </c>
      <c r="E1025" s="13" t="str">
        <f>+HYPERLINK("http://trademark.i-assist.jp/data/china/image_1910th/80111891.pdf","80111891")</f>
        <v>80111891</v>
      </c>
      <c r="F1025" s="9" t="s">
        <v>2969</v>
      </c>
      <c r="G1025" s="9" t="s">
        <v>2970</v>
      </c>
      <c r="H1025" s="9" t="s">
        <v>2971</v>
      </c>
      <c r="I1025" s="10">
        <v>45504</v>
      </c>
    </row>
    <row r="1026" spans="1:9" x14ac:dyDescent="0.15">
      <c r="A1026" s="9">
        <v>1025</v>
      </c>
      <c r="B1026" s="9" t="s">
        <v>9</v>
      </c>
      <c r="C1026" s="9">
        <v>1910</v>
      </c>
      <c r="D1026" s="10">
        <v>45602</v>
      </c>
      <c r="E1026" s="13" t="str">
        <f>+HYPERLINK("http://trademark.i-assist.jp/data/china/image_1910th/80111926.pdf","80111926")</f>
        <v>80111926</v>
      </c>
      <c r="F1026" s="9" t="s">
        <v>2972</v>
      </c>
      <c r="G1026" s="11" t="s">
        <v>193</v>
      </c>
      <c r="H1026" s="9" t="s">
        <v>2973</v>
      </c>
      <c r="I1026" s="10">
        <v>45504</v>
      </c>
    </row>
    <row r="1027" spans="1:9" x14ac:dyDescent="0.15">
      <c r="A1027" s="9">
        <v>1026</v>
      </c>
      <c r="B1027" s="9" t="s">
        <v>9</v>
      </c>
      <c r="C1027" s="9">
        <v>1910</v>
      </c>
      <c r="D1027" s="10">
        <v>45602</v>
      </c>
      <c r="E1027" s="13" t="str">
        <f>+HYPERLINK("http://trademark.i-assist.jp/data/china/image_1910th/80112203.pdf","80112203")</f>
        <v>80112203</v>
      </c>
      <c r="F1027" s="9" t="s">
        <v>2974</v>
      </c>
      <c r="G1027" s="9" t="s">
        <v>2975</v>
      </c>
      <c r="H1027" s="9" t="s">
        <v>2976</v>
      </c>
      <c r="I1027" s="10">
        <v>45504</v>
      </c>
    </row>
    <row r="1028" spans="1:9" x14ac:dyDescent="0.15">
      <c r="A1028" s="9">
        <v>1027</v>
      </c>
      <c r="B1028" s="9" t="s">
        <v>9</v>
      </c>
      <c r="C1028" s="9">
        <v>1910</v>
      </c>
      <c r="D1028" s="10">
        <v>45602</v>
      </c>
      <c r="E1028" s="13" t="str">
        <f>+HYPERLINK("http://trademark.i-assist.jp/data/china/image_1910th/80112253.pdf","80112253")</f>
        <v>80112253</v>
      </c>
      <c r="F1028" s="9" t="s">
        <v>2931</v>
      </c>
      <c r="G1028" s="11" t="s">
        <v>2932</v>
      </c>
      <c r="H1028" s="9" t="s">
        <v>2977</v>
      </c>
      <c r="I1028" s="10">
        <v>45504</v>
      </c>
    </row>
    <row r="1029" spans="1:9" x14ac:dyDescent="0.15">
      <c r="A1029" s="9">
        <v>1028</v>
      </c>
      <c r="B1029" s="9" t="s">
        <v>9</v>
      </c>
      <c r="C1029" s="9">
        <v>1910</v>
      </c>
      <c r="D1029" s="10">
        <v>45602</v>
      </c>
      <c r="E1029" s="13" t="str">
        <f>+HYPERLINK("http://trademark.i-assist.jp/data/china/image_1910th/80112314.pdf","80112314")</f>
        <v>80112314</v>
      </c>
      <c r="F1029" s="11" t="s">
        <v>19</v>
      </c>
      <c r="G1029" s="9" t="s">
        <v>2978</v>
      </c>
      <c r="H1029" s="9" t="s">
        <v>2979</v>
      </c>
      <c r="I1029" s="10">
        <v>45504</v>
      </c>
    </row>
    <row r="1030" spans="1:9" x14ac:dyDescent="0.15">
      <c r="A1030" s="9">
        <v>1029</v>
      </c>
      <c r="B1030" s="9" t="s">
        <v>9</v>
      </c>
      <c r="C1030" s="9">
        <v>1910</v>
      </c>
      <c r="D1030" s="10">
        <v>45602</v>
      </c>
      <c r="E1030" s="13" t="str">
        <f>+HYPERLINK("http://trademark.i-assist.jp/data/china/image_1910th/80112366.pdf","80112366")</f>
        <v>80112366</v>
      </c>
      <c r="F1030" s="9" t="s">
        <v>2980</v>
      </c>
      <c r="G1030" s="9" t="s">
        <v>2981</v>
      </c>
      <c r="H1030" s="9" t="s">
        <v>2982</v>
      </c>
      <c r="I1030" s="10">
        <v>45504</v>
      </c>
    </row>
    <row r="1031" spans="1:9" x14ac:dyDescent="0.15">
      <c r="A1031" s="9">
        <v>1030</v>
      </c>
      <c r="B1031" s="9" t="s">
        <v>9</v>
      </c>
      <c r="C1031" s="9">
        <v>1910</v>
      </c>
      <c r="D1031" s="10">
        <v>45602</v>
      </c>
      <c r="E1031" s="13" t="str">
        <f>+HYPERLINK("http://trademark.i-assist.jp/data/china/image_1910th/80112670.pdf","80112670")</f>
        <v>80112670</v>
      </c>
      <c r="F1031" s="9" t="s">
        <v>2983</v>
      </c>
      <c r="G1031" s="9" t="s">
        <v>2984</v>
      </c>
      <c r="H1031" s="9" t="s">
        <v>2985</v>
      </c>
      <c r="I1031" s="10">
        <v>45504</v>
      </c>
    </row>
    <row r="1032" spans="1:9" x14ac:dyDescent="0.15">
      <c r="A1032" s="9">
        <v>1031</v>
      </c>
      <c r="B1032" s="9" t="s">
        <v>9</v>
      </c>
      <c r="C1032" s="9">
        <v>1910</v>
      </c>
      <c r="D1032" s="10">
        <v>45602</v>
      </c>
      <c r="E1032" s="13" t="str">
        <f>+HYPERLINK("http://trademark.i-assist.jp/data/china/image_1910th/80113293.pdf","80113293")</f>
        <v>80113293</v>
      </c>
      <c r="F1032" s="11" t="s">
        <v>2986</v>
      </c>
      <c r="G1032" s="11" t="s">
        <v>2606</v>
      </c>
      <c r="H1032" s="9" t="s">
        <v>2987</v>
      </c>
      <c r="I1032" s="10">
        <v>45504</v>
      </c>
    </row>
    <row r="1033" spans="1:9" x14ac:dyDescent="0.15">
      <c r="A1033" s="9">
        <v>1032</v>
      </c>
      <c r="B1033" s="9" t="s">
        <v>9</v>
      </c>
      <c r="C1033" s="9">
        <v>1910</v>
      </c>
      <c r="D1033" s="10">
        <v>45602</v>
      </c>
      <c r="E1033" s="13" t="str">
        <f>+HYPERLINK("http://trademark.i-assist.jp/data/china/image_1910th/80113549.pdf","80113549")</f>
        <v>80113549</v>
      </c>
      <c r="F1033" s="9" t="s">
        <v>2988</v>
      </c>
      <c r="G1033" s="11" t="s">
        <v>2989</v>
      </c>
      <c r="H1033" s="9" t="s">
        <v>2990</v>
      </c>
      <c r="I1033" s="10">
        <v>45504</v>
      </c>
    </row>
    <row r="1034" spans="1:9" x14ac:dyDescent="0.15">
      <c r="A1034" s="9">
        <v>1033</v>
      </c>
      <c r="B1034" s="9" t="s">
        <v>9</v>
      </c>
      <c r="C1034" s="9">
        <v>1910</v>
      </c>
      <c r="D1034" s="10">
        <v>45602</v>
      </c>
      <c r="E1034" s="13" t="str">
        <f>+HYPERLINK("http://trademark.i-assist.jp/data/china/image_1910th/80113599.pdf","80113599")</f>
        <v>80113599</v>
      </c>
      <c r="F1034" s="9" t="s">
        <v>2991</v>
      </c>
      <c r="G1034" s="9" t="s">
        <v>121</v>
      </c>
      <c r="H1034" s="9" t="s">
        <v>2992</v>
      </c>
      <c r="I1034" s="10">
        <v>45504</v>
      </c>
    </row>
    <row r="1035" spans="1:9" x14ac:dyDescent="0.15">
      <c r="A1035" s="9">
        <v>1034</v>
      </c>
      <c r="B1035" s="9" t="s">
        <v>9</v>
      </c>
      <c r="C1035" s="9">
        <v>1910</v>
      </c>
      <c r="D1035" s="10">
        <v>45602</v>
      </c>
      <c r="E1035" s="13" t="str">
        <f>+HYPERLINK("http://trademark.i-assist.jp/data/china/image_1910th/80113775.pdf","80113775")</f>
        <v>80113775</v>
      </c>
      <c r="F1035" s="9" t="s">
        <v>2993</v>
      </c>
      <c r="G1035" s="9" t="s">
        <v>2994</v>
      </c>
      <c r="H1035" s="9" t="s">
        <v>2995</v>
      </c>
      <c r="I1035" s="10">
        <v>45504</v>
      </c>
    </row>
    <row r="1036" spans="1:9" x14ac:dyDescent="0.15">
      <c r="A1036" s="9">
        <v>1035</v>
      </c>
      <c r="B1036" s="9" t="s">
        <v>9</v>
      </c>
      <c r="C1036" s="9">
        <v>1910</v>
      </c>
      <c r="D1036" s="10">
        <v>45602</v>
      </c>
      <c r="E1036" s="13" t="str">
        <f>+HYPERLINK("http://trademark.i-assist.jp/data/china/image_1910th/80114215.pdf","80114215")</f>
        <v>80114215</v>
      </c>
      <c r="F1036" s="11" t="s">
        <v>2996</v>
      </c>
      <c r="G1036" s="9" t="s">
        <v>2997</v>
      </c>
      <c r="H1036" s="9" t="s">
        <v>2998</v>
      </c>
      <c r="I1036" s="10">
        <v>45504</v>
      </c>
    </row>
    <row r="1037" spans="1:9" x14ac:dyDescent="0.15">
      <c r="A1037" s="9">
        <v>1036</v>
      </c>
      <c r="B1037" s="9" t="s">
        <v>9</v>
      </c>
      <c r="C1037" s="9">
        <v>1910</v>
      </c>
      <c r="D1037" s="10">
        <v>45602</v>
      </c>
      <c r="E1037" s="13" t="str">
        <f>+HYPERLINK("http://trademark.i-assist.jp/data/china/image_1910th/80114322.pdf","80114322")</f>
        <v>80114322</v>
      </c>
      <c r="F1037" s="9" t="s">
        <v>2999</v>
      </c>
      <c r="G1037" s="9" t="s">
        <v>3000</v>
      </c>
      <c r="H1037" s="9" t="s">
        <v>3001</v>
      </c>
      <c r="I1037" s="10">
        <v>45504</v>
      </c>
    </row>
    <row r="1038" spans="1:9" x14ac:dyDescent="0.15">
      <c r="A1038" s="9">
        <v>1037</v>
      </c>
      <c r="B1038" s="9" t="s">
        <v>9</v>
      </c>
      <c r="C1038" s="9">
        <v>1910</v>
      </c>
      <c r="D1038" s="10">
        <v>45602</v>
      </c>
      <c r="E1038" s="13" t="str">
        <f>+HYPERLINK("http://trademark.i-assist.jp/data/china/image_1910th/80114347.pdf","80114347")</f>
        <v>80114347</v>
      </c>
      <c r="F1038" s="9" t="s">
        <v>3002</v>
      </c>
      <c r="G1038" s="9" t="s">
        <v>3003</v>
      </c>
      <c r="H1038" s="9" t="s">
        <v>3004</v>
      </c>
      <c r="I1038" s="10">
        <v>45504</v>
      </c>
    </row>
    <row r="1039" spans="1:9" x14ac:dyDescent="0.15">
      <c r="A1039" s="9">
        <v>1038</v>
      </c>
      <c r="B1039" s="9" t="s">
        <v>9</v>
      </c>
      <c r="C1039" s="9">
        <v>1910</v>
      </c>
      <c r="D1039" s="10">
        <v>45602</v>
      </c>
      <c r="E1039" s="13" t="str">
        <f>+HYPERLINK("http://trademark.i-assist.jp/data/china/image_1910th/80114594.pdf","80114594")</f>
        <v>80114594</v>
      </c>
      <c r="F1039" s="9" t="s">
        <v>3005</v>
      </c>
      <c r="G1039" s="9" t="s">
        <v>3006</v>
      </c>
      <c r="H1039" s="9" t="s">
        <v>3007</v>
      </c>
      <c r="I1039" s="10">
        <v>45504</v>
      </c>
    </row>
    <row r="1040" spans="1:9" x14ac:dyDescent="0.15">
      <c r="A1040" s="9">
        <v>1039</v>
      </c>
      <c r="B1040" s="9" t="s">
        <v>9</v>
      </c>
      <c r="C1040" s="9">
        <v>1910</v>
      </c>
      <c r="D1040" s="10">
        <v>45602</v>
      </c>
      <c r="E1040" s="13" t="str">
        <f>+HYPERLINK("http://trademark.i-assist.jp/data/china/image_1910th/80114801.pdf","80114801")</f>
        <v>80114801</v>
      </c>
      <c r="F1040" s="9" t="s">
        <v>3008</v>
      </c>
      <c r="G1040" s="9" t="s">
        <v>3009</v>
      </c>
      <c r="H1040" s="9" t="s">
        <v>3010</v>
      </c>
      <c r="I1040" s="10">
        <v>45504</v>
      </c>
    </row>
    <row r="1041" spans="1:9" x14ac:dyDescent="0.15">
      <c r="A1041" s="9">
        <v>1040</v>
      </c>
      <c r="B1041" s="9" t="s">
        <v>9</v>
      </c>
      <c r="C1041" s="9">
        <v>1910</v>
      </c>
      <c r="D1041" s="10">
        <v>45602</v>
      </c>
      <c r="E1041" s="13" t="str">
        <f>+HYPERLINK("http://trademark.i-assist.jp/data/china/image_1910th/80115385.pdf","80115385")</f>
        <v>80115385</v>
      </c>
      <c r="F1041" s="9" t="s">
        <v>3011</v>
      </c>
      <c r="G1041" s="11" t="s">
        <v>2951</v>
      </c>
      <c r="H1041" s="9" t="s">
        <v>3012</v>
      </c>
      <c r="I1041" s="10">
        <v>45504</v>
      </c>
    </row>
    <row r="1042" spans="1:9" x14ac:dyDescent="0.15">
      <c r="A1042" s="9">
        <v>1041</v>
      </c>
      <c r="B1042" s="9" t="s">
        <v>9</v>
      </c>
      <c r="C1042" s="9">
        <v>1910</v>
      </c>
      <c r="D1042" s="10">
        <v>45602</v>
      </c>
      <c r="E1042" s="13" t="str">
        <f>+HYPERLINK("http://trademark.i-assist.jp/data/china/image_1910th/80115751.pdf","80115751")</f>
        <v>80115751</v>
      </c>
      <c r="F1042" s="11" t="s">
        <v>3013</v>
      </c>
      <c r="G1042" s="11" t="s">
        <v>3014</v>
      </c>
      <c r="H1042" s="9" t="s">
        <v>3015</v>
      </c>
      <c r="I1042" s="10">
        <v>45504</v>
      </c>
    </row>
    <row r="1043" spans="1:9" x14ac:dyDescent="0.15">
      <c r="A1043" s="9">
        <v>1042</v>
      </c>
      <c r="B1043" s="9" t="s">
        <v>9</v>
      </c>
      <c r="C1043" s="9">
        <v>1910</v>
      </c>
      <c r="D1043" s="10">
        <v>45602</v>
      </c>
      <c r="E1043" s="13" t="str">
        <f>+HYPERLINK("http://trademark.i-assist.jp/data/china/image_1910th/80116058.pdf","80116058")</f>
        <v>80116058</v>
      </c>
      <c r="F1043" s="11" t="s">
        <v>3016</v>
      </c>
      <c r="G1043" s="11" t="s">
        <v>2606</v>
      </c>
      <c r="H1043" s="9" t="s">
        <v>3017</v>
      </c>
      <c r="I1043" s="10">
        <v>45504</v>
      </c>
    </row>
    <row r="1044" spans="1:9" x14ac:dyDescent="0.15">
      <c r="A1044" s="9">
        <v>1043</v>
      </c>
      <c r="B1044" s="9" t="s">
        <v>9</v>
      </c>
      <c r="C1044" s="9">
        <v>1910</v>
      </c>
      <c r="D1044" s="10">
        <v>45602</v>
      </c>
      <c r="E1044" s="13" t="str">
        <f>+HYPERLINK("http://trademark.i-assist.jp/data/china/image_1910th/80116144.pdf","80116144")</f>
        <v>80116144</v>
      </c>
      <c r="F1044" s="9" t="s">
        <v>3018</v>
      </c>
      <c r="G1044" s="9" t="s">
        <v>3018</v>
      </c>
      <c r="H1044" s="9" t="s">
        <v>3019</v>
      </c>
      <c r="I1044" s="10">
        <v>45504</v>
      </c>
    </row>
    <row r="1045" spans="1:9" x14ac:dyDescent="0.15">
      <c r="A1045" s="9">
        <v>1044</v>
      </c>
      <c r="B1045" s="9" t="s">
        <v>9</v>
      </c>
      <c r="C1045" s="9">
        <v>1910</v>
      </c>
      <c r="D1045" s="10">
        <v>45602</v>
      </c>
      <c r="E1045" s="13" t="str">
        <f>+HYPERLINK("http://trademark.i-assist.jp/data/china/image_1910th/80116207.pdf","80116207")</f>
        <v>80116207</v>
      </c>
      <c r="F1045" s="9" t="s">
        <v>3020</v>
      </c>
      <c r="G1045" s="9" t="s">
        <v>3021</v>
      </c>
      <c r="H1045" s="9" t="s">
        <v>3022</v>
      </c>
      <c r="I1045" s="10">
        <v>45504</v>
      </c>
    </row>
    <row r="1046" spans="1:9" x14ac:dyDescent="0.15">
      <c r="A1046" s="9">
        <v>1045</v>
      </c>
      <c r="B1046" s="9" t="s">
        <v>9</v>
      </c>
      <c r="C1046" s="9">
        <v>1910</v>
      </c>
      <c r="D1046" s="10">
        <v>45602</v>
      </c>
      <c r="E1046" s="13" t="str">
        <f>+HYPERLINK("http://trademark.i-assist.jp/data/china/image_1910th/80116545.pdf","80116545")</f>
        <v>80116545</v>
      </c>
      <c r="F1046" s="11" t="s">
        <v>3023</v>
      </c>
      <c r="G1046" s="11" t="s">
        <v>3024</v>
      </c>
      <c r="H1046" s="9" t="s">
        <v>3025</v>
      </c>
      <c r="I1046" s="10">
        <v>45504</v>
      </c>
    </row>
    <row r="1047" spans="1:9" x14ac:dyDescent="0.15">
      <c r="A1047" s="9">
        <v>1046</v>
      </c>
      <c r="B1047" s="9" t="s">
        <v>9</v>
      </c>
      <c r="C1047" s="9">
        <v>1910</v>
      </c>
      <c r="D1047" s="10">
        <v>45602</v>
      </c>
      <c r="E1047" s="13" t="str">
        <f>+HYPERLINK("http://trademark.i-assist.jp/data/china/image_1910th/80117081.pdf","80117081")</f>
        <v>80117081</v>
      </c>
      <c r="F1047" s="9" t="s">
        <v>3026</v>
      </c>
      <c r="G1047" s="9" t="s">
        <v>3027</v>
      </c>
      <c r="H1047" s="9" t="s">
        <v>3028</v>
      </c>
      <c r="I1047" s="10">
        <v>45504</v>
      </c>
    </row>
    <row r="1048" spans="1:9" x14ac:dyDescent="0.15">
      <c r="A1048" s="9">
        <v>1047</v>
      </c>
      <c r="B1048" s="9" t="s">
        <v>9</v>
      </c>
      <c r="C1048" s="9">
        <v>1910</v>
      </c>
      <c r="D1048" s="10">
        <v>45602</v>
      </c>
      <c r="E1048" s="13" t="str">
        <f>+HYPERLINK("http://trademark.i-assist.jp/data/china/image_1910th/80117146.pdf","80117146")</f>
        <v>80117146</v>
      </c>
      <c r="F1048" s="9" t="s">
        <v>3029</v>
      </c>
      <c r="G1048" s="9" t="s">
        <v>3030</v>
      </c>
      <c r="H1048" s="9" t="s">
        <v>3031</v>
      </c>
      <c r="I1048" s="10">
        <v>45504</v>
      </c>
    </row>
    <row r="1049" spans="1:9" x14ac:dyDescent="0.15">
      <c r="A1049" s="9">
        <v>1048</v>
      </c>
      <c r="B1049" s="9" t="s">
        <v>9</v>
      </c>
      <c r="C1049" s="9">
        <v>1910</v>
      </c>
      <c r="D1049" s="10">
        <v>45602</v>
      </c>
      <c r="E1049" s="13" t="str">
        <f>+HYPERLINK("http://trademark.i-assist.jp/data/china/image_1910th/80117880.pdf","80117880")</f>
        <v>80117880</v>
      </c>
      <c r="F1049" s="9" t="s">
        <v>3032</v>
      </c>
      <c r="G1049" s="11" t="s">
        <v>3033</v>
      </c>
      <c r="H1049" s="9" t="s">
        <v>3034</v>
      </c>
      <c r="I1049" s="10">
        <v>45504</v>
      </c>
    </row>
    <row r="1050" spans="1:9" x14ac:dyDescent="0.15">
      <c r="A1050" s="9">
        <v>1049</v>
      </c>
      <c r="B1050" s="9" t="s">
        <v>9</v>
      </c>
      <c r="C1050" s="9">
        <v>1910</v>
      </c>
      <c r="D1050" s="10">
        <v>45602</v>
      </c>
      <c r="E1050" s="13" t="str">
        <f>+HYPERLINK("http://trademark.i-assist.jp/data/china/image_1910th/80118039.pdf","80118039")</f>
        <v>80118039</v>
      </c>
      <c r="F1050" s="11" t="s">
        <v>3035</v>
      </c>
      <c r="G1050" s="11" t="s">
        <v>3036</v>
      </c>
      <c r="H1050" s="9" t="s">
        <v>3037</v>
      </c>
      <c r="I1050" s="10">
        <v>45504</v>
      </c>
    </row>
    <row r="1051" spans="1:9" x14ac:dyDescent="0.15">
      <c r="A1051" s="9">
        <v>1050</v>
      </c>
      <c r="B1051" s="9" t="s">
        <v>9</v>
      </c>
      <c r="C1051" s="9">
        <v>1910</v>
      </c>
      <c r="D1051" s="10">
        <v>45602</v>
      </c>
      <c r="E1051" s="13" t="str">
        <f>+HYPERLINK("http://trademark.i-assist.jp/data/china/image_1910th/80118608.pdf","80118608")</f>
        <v>80118608</v>
      </c>
      <c r="F1051" s="11" t="s">
        <v>3038</v>
      </c>
      <c r="G1051" s="9" t="s">
        <v>114</v>
      </c>
      <c r="H1051" s="9" t="s">
        <v>3039</v>
      </c>
      <c r="I1051" s="10">
        <v>45504</v>
      </c>
    </row>
    <row r="1052" spans="1:9" x14ac:dyDescent="0.15">
      <c r="A1052" s="9">
        <v>1051</v>
      </c>
      <c r="B1052" s="9" t="s">
        <v>9</v>
      </c>
      <c r="C1052" s="9">
        <v>1910</v>
      </c>
      <c r="D1052" s="10">
        <v>45602</v>
      </c>
      <c r="E1052" s="13" t="str">
        <f>+HYPERLINK("http://trademark.i-assist.jp/data/china/image_1910th/80118827.pdf","80118827")</f>
        <v>80118827</v>
      </c>
      <c r="F1052" s="11" t="s">
        <v>3040</v>
      </c>
      <c r="G1052" s="9" t="s">
        <v>124</v>
      </c>
      <c r="H1052" s="9" t="s">
        <v>125</v>
      </c>
      <c r="I1052" s="10">
        <v>45504</v>
      </c>
    </row>
    <row r="1053" spans="1:9" x14ac:dyDescent="0.15">
      <c r="A1053" s="9">
        <v>1052</v>
      </c>
      <c r="B1053" s="9" t="s">
        <v>9</v>
      </c>
      <c r="C1053" s="9">
        <v>1910</v>
      </c>
      <c r="D1053" s="10">
        <v>45602</v>
      </c>
      <c r="E1053" s="13" t="str">
        <f>+HYPERLINK("http://trademark.i-assist.jp/data/china/image_1910th/80119239.pdf","80119239")</f>
        <v>80119239</v>
      </c>
      <c r="F1053" s="9" t="s">
        <v>3041</v>
      </c>
      <c r="G1053" s="9" t="s">
        <v>2984</v>
      </c>
      <c r="H1053" s="9" t="s">
        <v>3042</v>
      </c>
      <c r="I1053" s="10">
        <v>45504</v>
      </c>
    </row>
    <row r="1054" spans="1:9" x14ac:dyDescent="0.15">
      <c r="A1054" s="9">
        <v>1053</v>
      </c>
      <c r="B1054" s="9" t="s">
        <v>9</v>
      </c>
      <c r="C1054" s="9">
        <v>1910</v>
      </c>
      <c r="D1054" s="10">
        <v>45602</v>
      </c>
      <c r="E1054" s="13" t="str">
        <f>+HYPERLINK("http://trademark.i-assist.jp/data/china/image_1910th/80119961.pdf","80119961")</f>
        <v>80119961</v>
      </c>
      <c r="F1054" s="11" t="s">
        <v>3043</v>
      </c>
      <c r="G1054" s="9" t="s">
        <v>3044</v>
      </c>
      <c r="H1054" s="9" t="s">
        <v>3045</v>
      </c>
      <c r="I1054" s="10">
        <v>45505</v>
      </c>
    </row>
    <row r="1055" spans="1:9" x14ac:dyDescent="0.15">
      <c r="A1055" s="9">
        <v>1054</v>
      </c>
      <c r="B1055" s="9" t="s">
        <v>9</v>
      </c>
      <c r="C1055" s="9">
        <v>1910</v>
      </c>
      <c r="D1055" s="10">
        <v>45602</v>
      </c>
      <c r="E1055" s="13" t="str">
        <f>+HYPERLINK("http://trademark.i-assist.jp/data/china/image_1910th/80120603.pdf","80120603")</f>
        <v>80120603</v>
      </c>
      <c r="F1055" s="12" t="s">
        <v>3046</v>
      </c>
      <c r="G1055" s="9" t="s">
        <v>3047</v>
      </c>
      <c r="H1055" s="9" t="s">
        <v>3048</v>
      </c>
      <c r="I1055" s="10">
        <v>45505</v>
      </c>
    </row>
    <row r="1056" spans="1:9" x14ac:dyDescent="0.15">
      <c r="A1056" s="9">
        <v>1055</v>
      </c>
      <c r="B1056" s="9" t="s">
        <v>9</v>
      </c>
      <c r="C1056" s="9">
        <v>1910</v>
      </c>
      <c r="D1056" s="10">
        <v>45602</v>
      </c>
      <c r="E1056" s="13" t="str">
        <f>+HYPERLINK("http://trademark.i-assist.jp/data/china/image_1910th/80120625.pdf","80120625")</f>
        <v>80120625</v>
      </c>
      <c r="F1056" s="9" t="s">
        <v>3049</v>
      </c>
      <c r="G1056" s="11" t="s">
        <v>3050</v>
      </c>
      <c r="H1056" s="9" t="s">
        <v>3051</v>
      </c>
      <c r="I1056" s="10">
        <v>45505</v>
      </c>
    </row>
    <row r="1057" spans="1:9" x14ac:dyDescent="0.15">
      <c r="A1057" s="9">
        <v>1056</v>
      </c>
      <c r="B1057" s="9" t="s">
        <v>9</v>
      </c>
      <c r="C1057" s="9">
        <v>1910</v>
      </c>
      <c r="D1057" s="10">
        <v>45602</v>
      </c>
      <c r="E1057" s="13" t="str">
        <f>+HYPERLINK("http://trademark.i-assist.jp/data/china/image_1910th/80120837.pdf","80120837")</f>
        <v>80120837</v>
      </c>
      <c r="F1057" s="11" t="s">
        <v>3052</v>
      </c>
      <c r="G1057" s="9" t="s">
        <v>3053</v>
      </c>
      <c r="H1057" s="11" t="s">
        <v>3054</v>
      </c>
      <c r="I1057" s="10">
        <v>45505</v>
      </c>
    </row>
    <row r="1058" spans="1:9" x14ac:dyDescent="0.15">
      <c r="A1058" s="9">
        <v>1057</v>
      </c>
      <c r="B1058" s="9" t="s">
        <v>9</v>
      </c>
      <c r="C1058" s="9">
        <v>1910</v>
      </c>
      <c r="D1058" s="10">
        <v>45602</v>
      </c>
      <c r="E1058" s="13" t="str">
        <f>+HYPERLINK("http://trademark.i-assist.jp/data/china/image_1910th/80120988.pdf","80120988")</f>
        <v>80120988</v>
      </c>
      <c r="F1058" s="9" t="s">
        <v>3055</v>
      </c>
      <c r="G1058" s="11" t="s">
        <v>3056</v>
      </c>
      <c r="H1058" s="9" t="s">
        <v>3057</v>
      </c>
      <c r="I1058" s="10">
        <v>45505</v>
      </c>
    </row>
    <row r="1059" spans="1:9" x14ac:dyDescent="0.15">
      <c r="A1059" s="9">
        <v>1058</v>
      </c>
      <c r="B1059" s="9" t="s">
        <v>9</v>
      </c>
      <c r="C1059" s="9">
        <v>1910</v>
      </c>
      <c r="D1059" s="10">
        <v>45602</v>
      </c>
      <c r="E1059" s="13" t="str">
        <f>+HYPERLINK("http://trademark.i-assist.jp/data/china/image_1910th/80120997.pdf","80120997")</f>
        <v>80120997</v>
      </c>
      <c r="F1059" s="9" t="s">
        <v>3058</v>
      </c>
      <c r="G1059" s="9" t="s">
        <v>3059</v>
      </c>
      <c r="H1059" s="9" t="s">
        <v>3060</v>
      </c>
      <c r="I1059" s="10">
        <v>45505</v>
      </c>
    </row>
    <row r="1060" spans="1:9" x14ac:dyDescent="0.15">
      <c r="A1060" s="9">
        <v>1059</v>
      </c>
      <c r="B1060" s="9" t="s">
        <v>9</v>
      </c>
      <c r="C1060" s="9">
        <v>1910</v>
      </c>
      <c r="D1060" s="10">
        <v>45602</v>
      </c>
      <c r="E1060" s="13" t="str">
        <f>+HYPERLINK("http://trademark.i-assist.jp/data/china/image_1910th/80121035.pdf","80121035")</f>
        <v>80121035</v>
      </c>
      <c r="F1060" s="9" t="s">
        <v>3061</v>
      </c>
      <c r="G1060" s="11" t="s">
        <v>3062</v>
      </c>
      <c r="H1060" s="11" t="s">
        <v>3063</v>
      </c>
      <c r="I1060" s="10">
        <v>45505</v>
      </c>
    </row>
    <row r="1061" spans="1:9" x14ac:dyDescent="0.15">
      <c r="A1061" s="9">
        <v>1060</v>
      </c>
      <c r="B1061" s="9" t="s">
        <v>9</v>
      </c>
      <c r="C1061" s="9">
        <v>1910</v>
      </c>
      <c r="D1061" s="10">
        <v>45602</v>
      </c>
      <c r="E1061" s="13" t="str">
        <f>+HYPERLINK("http://trademark.i-assist.jp/data/china/image_1910th/80121039.pdf","80121039")</f>
        <v>80121039</v>
      </c>
      <c r="F1061" s="9" t="s">
        <v>3064</v>
      </c>
      <c r="G1061" s="11" t="s">
        <v>3062</v>
      </c>
      <c r="H1061" s="11" t="s">
        <v>3065</v>
      </c>
      <c r="I1061" s="10">
        <v>45505</v>
      </c>
    </row>
    <row r="1062" spans="1:9" x14ac:dyDescent="0.15">
      <c r="A1062" s="9">
        <v>1061</v>
      </c>
      <c r="B1062" s="9" t="s">
        <v>9</v>
      </c>
      <c r="C1062" s="9">
        <v>1910</v>
      </c>
      <c r="D1062" s="10">
        <v>45602</v>
      </c>
      <c r="E1062" s="13" t="str">
        <f>+HYPERLINK("http://trademark.i-assist.jp/data/china/image_1910th/80121164.pdf","80121164")</f>
        <v>80121164</v>
      </c>
      <c r="F1062" s="9" t="s">
        <v>3066</v>
      </c>
      <c r="G1062" s="11" t="s">
        <v>3067</v>
      </c>
      <c r="H1062" s="9" t="s">
        <v>3068</v>
      </c>
      <c r="I1062" s="10">
        <v>45505</v>
      </c>
    </row>
    <row r="1063" spans="1:9" x14ac:dyDescent="0.15">
      <c r="A1063" s="9">
        <v>1062</v>
      </c>
      <c r="B1063" s="9" t="s">
        <v>9</v>
      </c>
      <c r="C1063" s="9">
        <v>1910</v>
      </c>
      <c r="D1063" s="10">
        <v>45602</v>
      </c>
      <c r="E1063" s="13" t="str">
        <f>+HYPERLINK("http://trademark.i-assist.jp/data/china/image_1910th/80121594.pdf","80121594")</f>
        <v>80121594</v>
      </c>
      <c r="F1063" s="9" t="s">
        <v>3069</v>
      </c>
      <c r="G1063" s="9" t="s">
        <v>3070</v>
      </c>
      <c r="H1063" s="9" t="s">
        <v>3071</v>
      </c>
      <c r="I1063" s="10">
        <v>45505</v>
      </c>
    </row>
    <row r="1064" spans="1:9" x14ac:dyDescent="0.15">
      <c r="A1064" s="9">
        <v>1063</v>
      </c>
      <c r="B1064" s="9" t="s">
        <v>9</v>
      </c>
      <c r="C1064" s="9">
        <v>1910</v>
      </c>
      <c r="D1064" s="10">
        <v>45602</v>
      </c>
      <c r="E1064" s="13" t="str">
        <f>+HYPERLINK("http://trademark.i-assist.jp/data/china/image_1910th/80121672.pdf","80121672")</f>
        <v>80121672</v>
      </c>
      <c r="F1064" s="9" t="s">
        <v>3072</v>
      </c>
      <c r="G1064" s="9" t="s">
        <v>3073</v>
      </c>
      <c r="H1064" s="9" t="s">
        <v>3074</v>
      </c>
      <c r="I1064" s="10">
        <v>45505</v>
      </c>
    </row>
    <row r="1065" spans="1:9" x14ac:dyDescent="0.15">
      <c r="A1065" s="9">
        <v>1064</v>
      </c>
      <c r="B1065" s="9" t="s">
        <v>9</v>
      </c>
      <c r="C1065" s="9">
        <v>1910</v>
      </c>
      <c r="D1065" s="10">
        <v>45602</v>
      </c>
      <c r="E1065" s="13" t="str">
        <f>+HYPERLINK("http://trademark.i-assist.jp/data/china/image_1910th/80121761.pdf","80121761")</f>
        <v>80121761</v>
      </c>
      <c r="F1065" s="9" t="s">
        <v>3075</v>
      </c>
      <c r="G1065" s="11" t="s">
        <v>3076</v>
      </c>
      <c r="H1065" s="11" t="s">
        <v>3077</v>
      </c>
      <c r="I1065" s="10">
        <v>45505</v>
      </c>
    </row>
    <row r="1066" spans="1:9" x14ac:dyDescent="0.15">
      <c r="A1066" s="9">
        <v>1065</v>
      </c>
      <c r="B1066" s="9" t="s">
        <v>9</v>
      </c>
      <c r="C1066" s="9">
        <v>1910</v>
      </c>
      <c r="D1066" s="10">
        <v>45602</v>
      </c>
      <c r="E1066" s="13" t="str">
        <f>+HYPERLINK("http://trademark.i-assist.jp/data/china/image_1910th/80122239.pdf","80122239")</f>
        <v>80122239</v>
      </c>
      <c r="F1066" s="9" t="s">
        <v>3078</v>
      </c>
      <c r="G1066" s="11" t="s">
        <v>3079</v>
      </c>
      <c r="H1066" s="9" t="s">
        <v>3080</v>
      </c>
      <c r="I1066" s="10">
        <v>45505</v>
      </c>
    </row>
    <row r="1067" spans="1:9" x14ac:dyDescent="0.15">
      <c r="A1067" s="9">
        <v>1066</v>
      </c>
      <c r="B1067" s="9" t="s">
        <v>9</v>
      </c>
      <c r="C1067" s="9">
        <v>1910</v>
      </c>
      <c r="D1067" s="10">
        <v>45602</v>
      </c>
      <c r="E1067" s="13" t="str">
        <f>+HYPERLINK("http://trademark.i-assist.jp/data/china/image_1910th/80122453.pdf","80122453")</f>
        <v>80122453</v>
      </c>
      <c r="F1067" s="9" t="s">
        <v>3081</v>
      </c>
      <c r="G1067" s="9" t="s">
        <v>3082</v>
      </c>
      <c r="H1067" s="9" t="s">
        <v>3083</v>
      </c>
      <c r="I1067" s="10">
        <v>45505</v>
      </c>
    </row>
    <row r="1068" spans="1:9" x14ac:dyDescent="0.15">
      <c r="A1068" s="9">
        <v>1067</v>
      </c>
      <c r="B1068" s="9" t="s">
        <v>9</v>
      </c>
      <c r="C1068" s="9">
        <v>1910</v>
      </c>
      <c r="D1068" s="10">
        <v>45602</v>
      </c>
      <c r="E1068" s="13" t="str">
        <f>+HYPERLINK("http://trademark.i-assist.jp/data/china/image_1910th/80122582.pdf","80122582")</f>
        <v>80122582</v>
      </c>
      <c r="F1068" s="9" t="s">
        <v>3084</v>
      </c>
      <c r="G1068" s="9" t="s">
        <v>3085</v>
      </c>
      <c r="H1068" s="9" t="s">
        <v>3086</v>
      </c>
      <c r="I1068" s="10">
        <v>45505</v>
      </c>
    </row>
    <row r="1069" spans="1:9" x14ac:dyDescent="0.15">
      <c r="A1069" s="9">
        <v>1068</v>
      </c>
      <c r="B1069" s="9" t="s">
        <v>9</v>
      </c>
      <c r="C1069" s="9">
        <v>1910</v>
      </c>
      <c r="D1069" s="10">
        <v>45602</v>
      </c>
      <c r="E1069" s="13" t="str">
        <f>+HYPERLINK("http://trademark.i-assist.jp/data/china/image_1910th/80123248.pdf","80123248")</f>
        <v>80123248</v>
      </c>
      <c r="F1069" s="9" t="s">
        <v>3087</v>
      </c>
      <c r="G1069" s="9" t="s">
        <v>3088</v>
      </c>
      <c r="H1069" s="9" t="s">
        <v>3089</v>
      </c>
      <c r="I1069" s="10">
        <v>45505</v>
      </c>
    </row>
    <row r="1070" spans="1:9" x14ac:dyDescent="0.15">
      <c r="A1070" s="9">
        <v>1069</v>
      </c>
      <c r="B1070" s="9" t="s">
        <v>9</v>
      </c>
      <c r="C1070" s="9">
        <v>1910</v>
      </c>
      <c r="D1070" s="10">
        <v>45602</v>
      </c>
      <c r="E1070" s="13" t="str">
        <f>+HYPERLINK("http://trademark.i-assist.jp/data/china/image_1910th/80123741.pdf","80123741")</f>
        <v>80123741</v>
      </c>
      <c r="F1070" s="9" t="s">
        <v>3090</v>
      </c>
      <c r="G1070" s="9" t="s">
        <v>3091</v>
      </c>
      <c r="H1070" s="9" t="s">
        <v>3092</v>
      </c>
      <c r="I1070" s="10">
        <v>45505</v>
      </c>
    </row>
    <row r="1071" spans="1:9" x14ac:dyDescent="0.15">
      <c r="A1071" s="9">
        <v>1070</v>
      </c>
      <c r="B1071" s="9" t="s">
        <v>9</v>
      </c>
      <c r="C1071" s="9">
        <v>1910</v>
      </c>
      <c r="D1071" s="10">
        <v>45602</v>
      </c>
      <c r="E1071" s="13" t="str">
        <f>+HYPERLINK("http://trademark.i-assist.jp/data/china/image_1910th/80123771.pdf","80123771")</f>
        <v>80123771</v>
      </c>
      <c r="F1071" s="11" t="s">
        <v>19</v>
      </c>
      <c r="G1071" s="9" t="s">
        <v>3093</v>
      </c>
      <c r="H1071" s="9" t="s">
        <v>3094</v>
      </c>
      <c r="I1071" s="10">
        <v>45505</v>
      </c>
    </row>
    <row r="1072" spans="1:9" x14ac:dyDescent="0.15">
      <c r="A1072" s="9">
        <v>1071</v>
      </c>
      <c r="B1072" s="9" t="s">
        <v>9</v>
      </c>
      <c r="C1072" s="9">
        <v>1910</v>
      </c>
      <c r="D1072" s="10">
        <v>45602</v>
      </c>
      <c r="E1072" s="13" t="str">
        <f>+HYPERLINK("http://trademark.i-assist.jp/data/china/image_1910th/80123865.pdf","80123865")</f>
        <v>80123865</v>
      </c>
      <c r="F1072" s="9" t="s">
        <v>3095</v>
      </c>
      <c r="G1072" s="9" t="s">
        <v>3096</v>
      </c>
      <c r="H1072" s="9" t="s">
        <v>3097</v>
      </c>
      <c r="I1072" s="10">
        <v>45505</v>
      </c>
    </row>
    <row r="1073" spans="1:9" x14ac:dyDescent="0.15">
      <c r="A1073" s="9">
        <v>1072</v>
      </c>
      <c r="B1073" s="9" t="s">
        <v>9</v>
      </c>
      <c r="C1073" s="9">
        <v>1910</v>
      </c>
      <c r="D1073" s="10">
        <v>45602</v>
      </c>
      <c r="E1073" s="13" t="str">
        <f>+HYPERLINK("http://trademark.i-assist.jp/data/china/image_1910th/80124014.pdf","80124014")</f>
        <v>80124014</v>
      </c>
      <c r="F1073" s="9" t="s">
        <v>3098</v>
      </c>
      <c r="G1073" s="11" t="s">
        <v>3067</v>
      </c>
      <c r="H1073" s="9" t="s">
        <v>3099</v>
      </c>
      <c r="I1073" s="10">
        <v>45505</v>
      </c>
    </row>
    <row r="1074" spans="1:9" x14ac:dyDescent="0.15">
      <c r="A1074" s="9">
        <v>1073</v>
      </c>
      <c r="B1074" s="9" t="s">
        <v>9</v>
      </c>
      <c r="C1074" s="9">
        <v>1910</v>
      </c>
      <c r="D1074" s="10">
        <v>45602</v>
      </c>
      <c r="E1074" s="13" t="str">
        <f>+HYPERLINK("http://trademark.i-assist.jp/data/china/image_1910th/80124178.pdf","80124178")</f>
        <v>80124178</v>
      </c>
      <c r="F1074" s="11" t="s">
        <v>3100</v>
      </c>
      <c r="G1074" s="9" t="s">
        <v>3101</v>
      </c>
      <c r="H1074" s="9" t="s">
        <v>3102</v>
      </c>
      <c r="I1074" s="10">
        <v>45505</v>
      </c>
    </row>
    <row r="1075" spans="1:9" x14ac:dyDescent="0.15">
      <c r="A1075" s="9">
        <v>1074</v>
      </c>
      <c r="B1075" s="9" t="s">
        <v>9</v>
      </c>
      <c r="C1075" s="9">
        <v>1910</v>
      </c>
      <c r="D1075" s="10">
        <v>45602</v>
      </c>
      <c r="E1075" s="13" t="str">
        <f>+HYPERLINK("http://trademark.i-assist.jp/data/china/image_1910th/80124679.pdf","80124679")</f>
        <v>80124679</v>
      </c>
      <c r="F1075" s="11" t="s">
        <v>3103</v>
      </c>
      <c r="G1075" s="11" t="s">
        <v>3104</v>
      </c>
      <c r="H1075" s="9" t="s">
        <v>3105</v>
      </c>
      <c r="I1075" s="10">
        <v>45505</v>
      </c>
    </row>
    <row r="1076" spans="1:9" x14ac:dyDescent="0.15">
      <c r="A1076" s="9">
        <v>1075</v>
      </c>
      <c r="B1076" s="9" t="s">
        <v>9</v>
      </c>
      <c r="C1076" s="9">
        <v>1910</v>
      </c>
      <c r="D1076" s="10">
        <v>45602</v>
      </c>
      <c r="E1076" s="13" t="str">
        <f>+HYPERLINK("http://trademark.i-assist.jp/data/china/image_1910th/80124996.pdf","80124996")</f>
        <v>80124996</v>
      </c>
      <c r="F1076" s="9" t="s">
        <v>3106</v>
      </c>
      <c r="G1076" s="11" t="s">
        <v>3067</v>
      </c>
      <c r="H1076" s="11" t="s">
        <v>3107</v>
      </c>
      <c r="I1076" s="10">
        <v>45505</v>
      </c>
    </row>
    <row r="1077" spans="1:9" x14ac:dyDescent="0.15">
      <c r="A1077" s="9">
        <v>1076</v>
      </c>
      <c r="B1077" s="9" t="s">
        <v>9</v>
      </c>
      <c r="C1077" s="9">
        <v>1910</v>
      </c>
      <c r="D1077" s="10">
        <v>45602</v>
      </c>
      <c r="E1077" s="13" t="str">
        <f>+HYPERLINK("http://trademark.i-assist.jp/data/china/image_1910th/80125727.pdf","80125727")</f>
        <v>80125727</v>
      </c>
      <c r="F1077" s="9" t="s">
        <v>3108</v>
      </c>
      <c r="G1077" s="11" t="s">
        <v>3050</v>
      </c>
      <c r="H1077" s="9" t="s">
        <v>3109</v>
      </c>
      <c r="I1077" s="10">
        <v>45505</v>
      </c>
    </row>
    <row r="1078" spans="1:9" x14ac:dyDescent="0.15">
      <c r="A1078" s="9">
        <v>1077</v>
      </c>
      <c r="B1078" s="9" t="s">
        <v>9</v>
      </c>
      <c r="C1078" s="9">
        <v>1910</v>
      </c>
      <c r="D1078" s="10">
        <v>45602</v>
      </c>
      <c r="E1078" s="13" t="str">
        <f>+HYPERLINK("http://trademark.i-assist.jp/data/china/image_1910th/80125732.pdf","80125732")</f>
        <v>80125732</v>
      </c>
      <c r="F1078" s="9" t="s">
        <v>3110</v>
      </c>
      <c r="G1078" s="11" t="s">
        <v>3050</v>
      </c>
      <c r="H1078" s="9" t="s">
        <v>3111</v>
      </c>
      <c r="I1078" s="10">
        <v>45505</v>
      </c>
    </row>
    <row r="1079" spans="1:9" x14ac:dyDescent="0.15">
      <c r="A1079" s="9">
        <v>1078</v>
      </c>
      <c r="B1079" s="9" t="s">
        <v>9</v>
      </c>
      <c r="C1079" s="9">
        <v>1910</v>
      </c>
      <c r="D1079" s="10">
        <v>45602</v>
      </c>
      <c r="E1079" s="13" t="str">
        <f>+HYPERLINK("http://trademark.i-assist.jp/data/china/image_1910th/80125998.pdf","80125998")</f>
        <v>80125998</v>
      </c>
      <c r="F1079" s="9" t="s">
        <v>3112</v>
      </c>
      <c r="G1079" s="9" t="s">
        <v>3113</v>
      </c>
      <c r="H1079" s="11" t="s">
        <v>3114</v>
      </c>
      <c r="I1079" s="10">
        <v>45505</v>
      </c>
    </row>
    <row r="1080" spans="1:9" x14ac:dyDescent="0.15">
      <c r="A1080" s="9">
        <v>1079</v>
      </c>
      <c r="B1080" s="9" t="s">
        <v>9</v>
      </c>
      <c r="C1080" s="9">
        <v>1910</v>
      </c>
      <c r="D1080" s="10">
        <v>45602</v>
      </c>
      <c r="E1080" s="13" t="str">
        <f>+HYPERLINK("http://trademark.i-assist.jp/data/china/image_1910th/80126130.pdf","80126130")</f>
        <v>80126130</v>
      </c>
      <c r="F1080" s="9" t="s">
        <v>3115</v>
      </c>
      <c r="G1080" s="11" t="s">
        <v>3116</v>
      </c>
      <c r="H1080" s="9" t="s">
        <v>3117</v>
      </c>
      <c r="I1080" s="10">
        <v>45505</v>
      </c>
    </row>
    <row r="1081" spans="1:9" x14ac:dyDescent="0.15">
      <c r="A1081" s="9">
        <v>1080</v>
      </c>
      <c r="B1081" s="9" t="s">
        <v>9</v>
      </c>
      <c r="C1081" s="9">
        <v>1910</v>
      </c>
      <c r="D1081" s="10">
        <v>45602</v>
      </c>
      <c r="E1081" s="13" t="str">
        <f>+HYPERLINK("http://trademark.i-assist.jp/data/china/image_1910th/80126148.pdf","80126148")</f>
        <v>80126148</v>
      </c>
      <c r="F1081" s="11" t="s">
        <v>3118</v>
      </c>
      <c r="G1081" s="11" t="s">
        <v>3050</v>
      </c>
      <c r="H1081" s="9" t="s">
        <v>3119</v>
      </c>
      <c r="I1081" s="10">
        <v>45505</v>
      </c>
    </row>
    <row r="1082" spans="1:9" x14ac:dyDescent="0.15">
      <c r="A1082" s="9">
        <v>1081</v>
      </c>
      <c r="B1082" s="9" t="s">
        <v>9</v>
      </c>
      <c r="C1082" s="9">
        <v>1910</v>
      </c>
      <c r="D1082" s="10">
        <v>45602</v>
      </c>
      <c r="E1082" s="13" t="str">
        <f>+HYPERLINK("http://trademark.i-assist.jp/data/china/image_1910th/80126176.pdf","80126176")</f>
        <v>80126176</v>
      </c>
      <c r="F1082" s="12" t="s">
        <v>3120</v>
      </c>
      <c r="G1082" s="11" t="s">
        <v>3116</v>
      </c>
      <c r="H1082" s="9" t="s">
        <v>3121</v>
      </c>
      <c r="I1082" s="10">
        <v>45505</v>
      </c>
    </row>
    <row r="1083" spans="1:9" x14ac:dyDescent="0.15">
      <c r="A1083" s="9">
        <v>1082</v>
      </c>
      <c r="B1083" s="9" t="s">
        <v>9</v>
      </c>
      <c r="C1083" s="9">
        <v>1910</v>
      </c>
      <c r="D1083" s="10">
        <v>45602</v>
      </c>
      <c r="E1083" s="13" t="str">
        <f>+HYPERLINK("http://trademark.i-assist.jp/data/china/image_1910th/80126228.pdf","80126228")</f>
        <v>80126228</v>
      </c>
      <c r="F1083" s="11" t="s">
        <v>3122</v>
      </c>
      <c r="G1083" s="9" t="s">
        <v>3123</v>
      </c>
      <c r="H1083" s="9" t="s">
        <v>3124</v>
      </c>
      <c r="I1083" s="10">
        <v>45505</v>
      </c>
    </row>
    <row r="1084" spans="1:9" x14ac:dyDescent="0.15">
      <c r="A1084" s="9">
        <v>1083</v>
      </c>
      <c r="B1084" s="9" t="s">
        <v>9</v>
      </c>
      <c r="C1084" s="9">
        <v>1910</v>
      </c>
      <c r="D1084" s="10">
        <v>45602</v>
      </c>
      <c r="E1084" s="13" t="str">
        <f>+HYPERLINK("http://trademark.i-assist.jp/data/china/image_1910th/80126235.pdf","80126235")</f>
        <v>80126235</v>
      </c>
      <c r="F1084" s="9" t="s">
        <v>3125</v>
      </c>
      <c r="G1084" s="9" t="s">
        <v>3126</v>
      </c>
      <c r="H1084" s="9" t="s">
        <v>3127</v>
      </c>
      <c r="I1084" s="10">
        <v>45505</v>
      </c>
    </row>
    <row r="1085" spans="1:9" x14ac:dyDescent="0.15">
      <c r="A1085" s="9">
        <v>1084</v>
      </c>
      <c r="B1085" s="9" t="s">
        <v>9</v>
      </c>
      <c r="C1085" s="9">
        <v>1910</v>
      </c>
      <c r="D1085" s="10">
        <v>45602</v>
      </c>
      <c r="E1085" s="13" t="str">
        <f>+HYPERLINK("http://trademark.i-assist.jp/data/china/image_1910th/80126725.pdf","80126725")</f>
        <v>80126725</v>
      </c>
      <c r="F1085" s="11" t="s">
        <v>19</v>
      </c>
      <c r="G1085" s="11" t="s">
        <v>3128</v>
      </c>
      <c r="H1085" s="9" t="s">
        <v>3129</v>
      </c>
      <c r="I1085" s="10">
        <v>45505</v>
      </c>
    </row>
    <row r="1086" spans="1:9" x14ac:dyDescent="0.15">
      <c r="A1086" s="9">
        <v>1085</v>
      </c>
      <c r="B1086" s="9" t="s">
        <v>9</v>
      </c>
      <c r="C1086" s="9">
        <v>1910</v>
      </c>
      <c r="D1086" s="10">
        <v>45602</v>
      </c>
      <c r="E1086" s="13" t="str">
        <f>+HYPERLINK("http://trademark.i-assist.jp/data/china/image_1910th/80126836.pdf","80126836")</f>
        <v>80126836</v>
      </c>
      <c r="F1086" s="9" t="s">
        <v>3130</v>
      </c>
      <c r="G1086" s="9" t="s">
        <v>3131</v>
      </c>
      <c r="H1086" s="9" t="s">
        <v>3132</v>
      </c>
      <c r="I1086" s="10">
        <v>45505</v>
      </c>
    </row>
    <row r="1087" spans="1:9" x14ac:dyDescent="0.15">
      <c r="A1087" s="9">
        <v>1086</v>
      </c>
      <c r="B1087" s="9" t="s">
        <v>9</v>
      </c>
      <c r="C1087" s="9">
        <v>1910</v>
      </c>
      <c r="D1087" s="10">
        <v>45602</v>
      </c>
      <c r="E1087" s="13" t="str">
        <f>+HYPERLINK("http://trademark.i-assist.jp/data/china/image_1910th/80126978.pdf","80126978")</f>
        <v>80126978</v>
      </c>
      <c r="F1087" s="9" t="s">
        <v>3133</v>
      </c>
      <c r="G1087" s="11" t="s">
        <v>3134</v>
      </c>
      <c r="H1087" s="9" t="s">
        <v>3135</v>
      </c>
      <c r="I1087" s="10">
        <v>45505</v>
      </c>
    </row>
    <row r="1088" spans="1:9" x14ac:dyDescent="0.15">
      <c r="A1088" s="9">
        <v>1087</v>
      </c>
      <c r="B1088" s="9" t="s">
        <v>9</v>
      </c>
      <c r="C1088" s="9">
        <v>1910</v>
      </c>
      <c r="D1088" s="10">
        <v>45602</v>
      </c>
      <c r="E1088" s="13" t="str">
        <f>+HYPERLINK("http://trademark.i-assist.jp/data/china/image_1910th/80127246.pdf","80127246")</f>
        <v>80127246</v>
      </c>
      <c r="F1088" s="11" t="s">
        <v>3136</v>
      </c>
      <c r="G1088" s="11" t="s">
        <v>3056</v>
      </c>
      <c r="H1088" s="9" t="s">
        <v>3137</v>
      </c>
      <c r="I1088" s="10">
        <v>45505</v>
      </c>
    </row>
    <row r="1089" spans="1:9" x14ac:dyDescent="0.15">
      <c r="A1089" s="9">
        <v>1088</v>
      </c>
      <c r="B1089" s="9" t="s">
        <v>9</v>
      </c>
      <c r="C1089" s="9">
        <v>1910</v>
      </c>
      <c r="D1089" s="10">
        <v>45602</v>
      </c>
      <c r="E1089" s="13" t="str">
        <f>+HYPERLINK("http://trademark.i-assist.jp/data/china/image_1910th/80127251.pdf","80127251")</f>
        <v>80127251</v>
      </c>
      <c r="F1089" s="11" t="s">
        <v>3138</v>
      </c>
      <c r="G1089" s="11" t="s">
        <v>3139</v>
      </c>
      <c r="H1089" s="9" t="s">
        <v>3140</v>
      </c>
      <c r="I1089" s="10">
        <v>45505</v>
      </c>
    </row>
    <row r="1090" spans="1:9" x14ac:dyDescent="0.15">
      <c r="A1090" s="9">
        <v>1089</v>
      </c>
      <c r="B1090" s="9" t="s">
        <v>9</v>
      </c>
      <c r="C1090" s="9">
        <v>1910</v>
      </c>
      <c r="D1090" s="10">
        <v>45602</v>
      </c>
      <c r="E1090" s="13" t="str">
        <f>+HYPERLINK("http://trademark.i-assist.jp/data/china/image_1910th/80127552.pdf","80127552")</f>
        <v>80127552</v>
      </c>
      <c r="F1090" s="11" t="s">
        <v>3141</v>
      </c>
      <c r="G1090" s="11" t="s">
        <v>3142</v>
      </c>
      <c r="H1090" s="9" t="s">
        <v>3143</v>
      </c>
      <c r="I1090" s="10">
        <v>45505</v>
      </c>
    </row>
    <row r="1091" spans="1:9" x14ac:dyDescent="0.15">
      <c r="A1091" s="9">
        <v>1090</v>
      </c>
      <c r="B1091" s="9" t="s">
        <v>9</v>
      </c>
      <c r="C1091" s="9">
        <v>1910</v>
      </c>
      <c r="D1091" s="10">
        <v>45602</v>
      </c>
      <c r="E1091" s="13" t="str">
        <f>+HYPERLINK("http://trademark.i-assist.jp/data/china/image_1910th/80127587.pdf","80127587")</f>
        <v>80127587</v>
      </c>
      <c r="F1091" s="11" t="s">
        <v>3144</v>
      </c>
      <c r="G1091" s="9" t="s">
        <v>3123</v>
      </c>
      <c r="H1091" s="9" t="s">
        <v>3145</v>
      </c>
      <c r="I1091" s="10">
        <v>45505</v>
      </c>
    </row>
    <row r="1092" spans="1:9" x14ac:dyDescent="0.15">
      <c r="A1092" s="9">
        <v>1091</v>
      </c>
      <c r="B1092" s="9" t="s">
        <v>9</v>
      </c>
      <c r="C1092" s="9">
        <v>1910</v>
      </c>
      <c r="D1092" s="10">
        <v>45602</v>
      </c>
      <c r="E1092" s="13" t="str">
        <f>+HYPERLINK("http://trademark.i-assist.jp/data/china/image_1910th/80127597.pdf","80127597")</f>
        <v>80127597</v>
      </c>
      <c r="F1092" s="11" t="s">
        <v>3146</v>
      </c>
      <c r="G1092" s="9" t="s">
        <v>3044</v>
      </c>
      <c r="H1092" s="9" t="s">
        <v>3147</v>
      </c>
      <c r="I1092" s="10">
        <v>45505</v>
      </c>
    </row>
    <row r="1093" spans="1:9" x14ac:dyDescent="0.15">
      <c r="A1093" s="9">
        <v>1092</v>
      </c>
      <c r="B1093" s="9" t="s">
        <v>9</v>
      </c>
      <c r="C1093" s="9">
        <v>1910</v>
      </c>
      <c r="D1093" s="10">
        <v>45602</v>
      </c>
      <c r="E1093" s="13" t="str">
        <f>+HYPERLINK("http://trademark.i-assist.jp/data/china/image_1910th/80128167.pdf","80128167")</f>
        <v>80128167</v>
      </c>
      <c r="F1093" s="9" t="s">
        <v>3148</v>
      </c>
      <c r="G1093" s="9" t="s">
        <v>195</v>
      </c>
      <c r="H1093" s="9" t="s">
        <v>3149</v>
      </c>
      <c r="I1093" s="10">
        <v>45505</v>
      </c>
    </row>
    <row r="1094" spans="1:9" x14ac:dyDescent="0.15">
      <c r="A1094" s="9">
        <v>1093</v>
      </c>
      <c r="B1094" s="9" t="s">
        <v>9</v>
      </c>
      <c r="C1094" s="9">
        <v>1910</v>
      </c>
      <c r="D1094" s="10">
        <v>45602</v>
      </c>
      <c r="E1094" s="13" t="str">
        <f>+HYPERLINK("http://trademark.i-assist.jp/data/china/image_1910th/80128690.pdf","80128690")</f>
        <v>80128690</v>
      </c>
      <c r="F1094" s="9" t="s">
        <v>3150</v>
      </c>
      <c r="G1094" s="11" t="s">
        <v>3056</v>
      </c>
      <c r="H1094" s="9" t="s">
        <v>3151</v>
      </c>
      <c r="I1094" s="10">
        <v>45505</v>
      </c>
    </row>
    <row r="1095" spans="1:9" x14ac:dyDescent="0.15">
      <c r="A1095" s="9">
        <v>1094</v>
      </c>
      <c r="B1095" s="9" t="s">
        <v>9</v>
      </c>
      <c r="C1095" s="9">
        <v>1910</v>
      </c>
      <c r="D1095" s="10">
        <v>45602</v>
      </c>
      <c r="E1095" s="13" t="str">
        <f>+HYPERLINK("http://trademark.i-assist.jp/data/china/image_1910th/80128711.pdf","80128711")</f>
        <v>80128711</v>
      </c>
      <c r="F1095" s="9" t="s">
        <v>3152</v>
      </c>
      <c r="G1095" s="11" t="s">
        <v>3062</v>
      </c>
      <c r="H1095" s="9" t="s">
        <v>3153</v>
      </c>
      <c r="I1095" s="10">
        <v>45505</v>
      </c>
    </row>
    <row r="1096" spans="1:9" x14ac:dyDescent="0.15">
      <c r="A1096" s="9">
        <v>1095</v>
      </c>
      <c r="B1096" s="9" t="s">
        <v>9</v>
      </c>
      <c r="C1096" s="9">
        <v>1910</v>
      </c>
      <c r="D1096" s="10">
        <v>45602</v>
      </c>
      <c r="E1096" s="13" t="str">
        <f>+HYPERLINK("http://trademark.i-assist.jp/data/china/image_1910th/80128807.pdf","80128807")</f>
        <v>80128807</v>
      </c>
      <c r="F1096" s="9" t="s">
        <v>3154</v>
      </c>
      <c r="G1096" s="9" t="s">
        <v>3155</v>
      </c>
      <c r="H1096" s="11" t="s">
        <v>3156</v>
      </c>
      <c r="I1096" s="10">
        <v>45505</v>
      </c>
    </row>
    <row r="1097" spans="1:9" x14ac:dyDescent="0.15">
      <c r="A1097" s="9">
        <v>1096</v>
      </c>
      <c r="B1097" s="9" t="s">
        <v>9</v>
      </c>
      <c r="C1097" s="9">
        <v>1910</v>
      </c>
      <c r="D1097" s="10">
        <v>45602</v>
      </c>
      <c r="E1097" s="13" t="str">
        <f>+HYPERLINK("http://trademark.i-assist.jp/data/china/image_1910th/80129214.pdf","80129214")</f>
        <v>80129214</v>
      </c>
      <c r="F1097" s="9" t="s">
        <v>3157</v>
      </c>
      <c r="G1097" s="9" t="s">
        <v>840</v>
      </c>
      <c r="H1097" s="11" t="s">
        <v>3158</v>
      </c>
      <c r="I1097" s="10">
        <v>45505</v>
      </c>
    </row>
    <row r="1098" spans="1:9" x14ac:dyDescent="0.15">
      <c r="A1098" s="9">
        <v>1097</v>
      </c>
      <c r="B1098" s="9" t="s">
        <v>9</v>
      </c>
      <c r="C1098" s="9">
        <v>1910</v>
      </c>
      <c r="D1098" s="10">
        <v>45602</v>
      </c>
      <c r="E1098" s="13" t="str">
        <f>+HYPERLINK("http://trademark.i-assist.jp/data/china/image_1910th/80129246.pdf","80129246")</f>
        <v>80129246</v>
      </c>
      <c r="F1098" s="9" t="s">
        <v>3159</v>
      </c>
      <c r="G1098" s="11" t="s">
        <v>56</v>
      </c>
      <c r="H1098" s="9" t="s">
        <v>3160</v>
      </c>
      <c r="I1098" s="10">
        <v>45505</v>
      </c>
    </row>
    <row r="1099" spans="1:9" x14ac:dyDescent="0.15">
      <c r="A1099" s="9">
        <v>1098</v>
      </c>
      <c r="B1099" s="9" t="s">
        <v>9</v>
      </c>
      <c r="C1099" s="9">
        <v>1910</v>
      </c>
      <c r="D1099" s="10">
        <v>45602</v>
      </c>
      <c r="E1099" s="13" t="str">
        <f>+HYPERLINK("http://trademark.i-assist.jp/data/china/image_1910th/80129937.pdf","80129937")</f>
        <v>80129937</v>
      </c>
      <c r="F1099" s="9" t="s">
        <v>3161</v>
      </c>
      <c r="G1099" s="9" t="s">
        <v>3162</v>
      </c>
      <c r="H1099" s="9" t="s">
        <v>3163</v>
      </c>
      <c r="I1099" s="10">
        <v>45505</v>
      </c>
    </row>
    <row r="1100" spans="1:9" x14ac:dyDescent="0.15">
      <c r="A1100" s="9">
        <v>1099</v>
      </c>
      <c r="B1100" s="9" t="s">
        <v>9</v>
      </c>
      <c r="C1100" s="9">
        <v>1910</v>
      </c>
      <c r="D1100" s="10">
        <v>45602</v>
      </c>
      <c r="E1100" s="13" t="str">
        <f>+HYPERLINK("http://trademark.i-assist.jp/data/china/image_1910th/80130290.pdf","80130290")</f>
        <v>80130290</v>
      </c>
      <c r="F1100" s="9" t="s">
        <v>3164</v>
      </c>
      <c r="G1100" s="11" t="s">
        <v>3116</v>
      </c>
      <c r="H1100" s="11" t="s">
        <v>3165</v>
      </c>
      <c r="I1100" s="10">
        <v>45505</v>
      </c>
    </row>
    <row r="1101" spans="1:9" x14ac:dyDescent="0.15">
      <c r="A1101" s="9">
        <v>1100</v>
      </c>
      <c r="B1101" s="9" t="s">
        <v>9</v>
      </c>
      <c r="C1101" s="9">
        <v>1910</v>
      </c>
      <c r="D1101" s="10">
        <v>45602</v>
      </c>
      <c r="E1101" s="13" t="str">
        <f>+HYPERLINK("http://trademark.i-assist.jp/data/china/image_1910th/80130368.pdf","80130368")</f>
        <v>80130368</v>
      </c>
      <c r="F1101" s="9" t="s">
        <v>3166</v>
      </c>
      <c r="G1101" s="9" t="s">
        <v>3167</v>
      </c>
      <c r="H1101" s="9" t="s">
        <v>3168</v>
      </c>
      <c r="I1101" s="10">
        <v>45505</v>
      </c>
    </row>
    <row r="1102" spans="1:9" x14ac:dyDescent="0.15">
      <c r="A1102" s="9">
        <v>1101</v>
      </c>
      <c r="B1102" s="9" t="s">
        <v>9</v>
      </c>
      <c r="C1102" s="9">
        <v>1910</v>
      </c>
      <c r="D1102" s="10">
        <v>45602</v>
      </c>
      <c r="E1102" s="13" t="str">
        <f>+HYPERLINK("http://trademark.i-assist.jp/data/china/image_1910th/80130373.pdf","80130373")</f>
        <v>80130373</v>
      </c>
      <c r="F1102" s="11" t="s">
        <v>3169</v>
      </c>
      <c r="G1102" s="9" t="s">
        <v>3123</v>
      </c>
      <c r="H1102" s="9" t="s">
        <v>3170</v>
      </c>
      <c r="I1102" s="10">
        <v>45505</v>
      </c>
    </row>
    <row r="1103" spans="1:9" x14ac:dyDescent="0.15">
      <c r="A1103" s="9">
        <v>1102</v>
      </c>
      <c r="B1103" s="9" t="s">
        <v>9</v>
      </c>
      <c r="C1103" s="9">
        <v>1910</v>
      </c>
      <c r="D1103" s="10">
        <v>45602</v>
      </c>
      <c r="E1103" s="13" t="str">
        <f>+HYPERLINK("http://trademark.i-assist.jp/data/china/image_1910th/80130720.pdf","80130720")</f>
        <v>80130720</v>
      </c>
      <c r="F1103" s="9" t="s">
        <v>3171</v>
      </c>
      <c r="G1103" s="9" t="s">
        <v>3172</v>
      </c>
      <c r="H1103" s="9" t="s">
        <v>3173</v>
      </c>
      <c r="I1103" s="10">
        <v>45505</v>
      </c>
    </row>
    <row r="1104" spans="1:9" x14ac:dyDescent="0.15">
      <c r="A1104" s="9">
        <v>1103</v>
      </c>
      <c r="B1104" s="9" t="s">
        <v>9</v>
      </c>
      <c r="C1104" s="9">
        <v>1910</v>
      </c>
      <c r="D1104" s="10">
        <v>45602</v>
      </c>
      <c r="E1104" s="13" t="str">
        <f>+HYPERLINK("http://trademark.i-assist.jp/data/china/image_1910th/80130721.pdf","80130721")</f>
        <v>80130721</v>
      </c>
      <c r="F1104" s="9" t="s">
        <v>3174</v>
      </c>
      <c r="G1104" s="11" t="s">
        <v>3067</v>
      </c>
      <c r="H1104" s="9" t="s">
        <v>3175</v>
      </c>
      <c r="I1104" s="10">
        <v>45505</v>
      </c>
    </row>
    <row r="1105" spans="1:9" x14ac:dyDescent="0.15">
      <c r="A1105" s="9">
        <v>1104</v>
      </c>
      <c r="B1105" s="9" t="s">
        <v>9</v>
      </c>
      <c r="C1105" s="9">
        <v>1910</v>
      </c>
      <c r="D1105" s="10">
        <v>45602</v>
      </c>
      <c r="E1105" s="13" t="str">
        <f>+HYPERLINK("http://trademark.i-assist.jp/data/china/image_1910th/80130744.pdf","80130744")</f>
        <v>80130744</v>
      </c>
      <c r="F1105" s="9" t="s">
        <v>3176</v>
      </c>
      <c r="G1105" s="11" t="s">
        <v>3177</v>
      </c>
      <c r="H1105" s="9" t="s">
        <v>3178</v>
      </c>
      <c r="I1105" s="10">
        <v>45505</v>
      </c>
    </row>
    <row r="1106" spans="1:9" x14ac:dyDescent="0.15">
      <c r="A1106" s="9">
        <v>1105</v>
      </c>
      <c r="B1106" s="9" t="s">
        <v>9</v>
      </c>
      <c r="C1106" s="9">
        <v>1910</v>
      </c>
      <c r="D1106" s="10">
        <v>45602</v>
      </c>
      <c r="E1106" s="13" t="str">
        <f>+HYPERLINK("http://trademark.i-assist.jp/data/china/image_1910th/80130841.pdf","80130841")</f>
        <v>80130841</v>
      </c>
      <c r="F1106" s="9" t="s">
        <v>3179</v>
      </c>
      <c r="G1106" s="9" t="s">
        <v>3180</v>
      </c>
      <c r="H1106" s="9" t="s">
        <v>3181</v>
      </c>
      <c r="I1106" s="10">
        <v>45505</v>
      </c>
    </row>
    <row r="1107" spans="1:9" x14ac:dyDescent="0.15">
      <c r="A1107" s="9">
        <v>1106</v>
      </c>
      <c r="B1107" s="9" t="s">
        <v>9</v>
      </c>
      <c r="C1107" s="9">
        <v>1910</v>
      </c>
      <c r="D1107" s="10">
        <v>45602</v>
      </c>
      <c r="E1107" s="13" t="str">
        <f>+HYPERLINK("http://trademark.i-assist.jp/data/china/image_1910th/80131014.pdf","80131014")</f>
        <v>80131014</v>
      </c>
      <c r="F1107" s="9" t="s">
        <v>3182</v>
      </c>
      <c r="G1107" s="11" t="s">
        <v>57</v>
      </c>
      <c r="H1107" s="9" t="s">
        <v>3183</v>
      </c>
      <c r="I1107" s="10">
        <v>45505</v>
      </c>
    </row>
    <row r="1108" spans="1:9" x14ac:dyDescent="0.15">
      <c r="A1108" s="9">
        <v>1107</v>
      </c>
      <c r="B1108" s="9" t="s">
        <v>9</v>
      </c>
      <c r="C1108" s="9">
        <v>1910</v>
      </c>
      <c r="D1108" s="10">
        <v>45602</v>
      </c>
      <c r="E1108" s="13" t="str">
        <f>+HYPERLINK("http://trademark.i-assist.jp/data/china/image_1910th/80131091.pdf","80131091")</f>
        <v>80131091</v>
      </c>
      <c r="F1108" s="9" t="s">
        <v>3184</v>
      </c>
      <c r="G1108" s="11" t="s">
        <v>3185</v>
      </c>
      <c r="H1108" s="9" t="s">
        <v>3186</v>
      </c>
      <c r="I1108" s="10">
        <v>45505</v>
      </c>
    </row>
    <row r="1109" spans="1:9" x14ac:dyDescent="0.15">
      <c r="A1109" s="9">
        <v>1108</v>
      </c>
      <c r="B1109" s="9" t="s">
        <v>9</v>
      </c>
      <c r="C1109" s="9">
        <v>1910</v>
      </c>
      <c r="D1109" s="10">
        <v>45602</v>
      </c>
      <c r="E1109" s="13" t="str">
        <f>+HYPERLINK("http://trademark.i-assist.jp/data/china/image_1910th/80131367.pdf","80131367")</f>
        <v>80131367</v>
      </c>
      <c r="F1109" s="11" t="s">
        <v>3187</v>
      </c>
      <c r="G1109" s="9" t="s">
        <v>3188</v>
      </c>
      <c r="H1109" s="9" t="s">
        <v>3189</v>
      </c>
      <c r="I1109" s="10">
        <v>45505</v>
      </c>
    </row>
    <row r="1110" spans="1:9" x14ac:dyDescent="0.15">
      <c r="A1110" s="9">
        <v>1109</v>
      </c>
      <c r="B1110" s="9" t="s">
        <v>9</v>
      </c>
      <c r="C1110" s="9">
        <v>1910</v>
      </c>
      <c r="D1110" s="10">
        <v>45602</v>
      </c>
      <c r="E1110" s="13" t="str">
        <f>+HYPERLINK("http://trademark.i-assist.jp/data/china/image_1910th/80131380.pdf","80131380")</f>
        <v>80131380</v>
      </c>
      <c r="F1110" s="11" t="s">
        <v>19</v>
      </c>
      <c r="G1110" s="9" t="s">
        <v>3190</v>
      </c>
      <c r="H1110" s="9" t="s">
        <v>3191</v>
      </c>
      <c r="I1110" s="10">
        <v>45505</v>
      </c>
    </row>
    <row r="1111" spans="1:9" x14ac:dyDescent="0.15">
      <c r="A1111" s="9">
        <v>1110</v>
      </c>
      <c r="B1111" s="9" t="s">
        <v>9</v>
      </c>
      <c r="C1111" s="9">
        <v>1910</v>
      </c>
      <c r="D1111" s="10">
        <v>45602</v>
      </c>
      <c r="E1111" s="13" t="str">
        <f>+HYPERLINK("http://trademark.i-assist.jp/data/china/image_1910th/80131484.pdf","80131484")</f>
        <v>80131484</v>
      </c>
      <c r="F1111" s="9" t="s">
        <v>3192</v>
      </c>
      <c r="G1111" s="9" t="s">
        <v>3193</v>
      </c>
      <c r="H1111" s="11" t="s">
        <v>3194</v>
      </c>
      <c r="I1111" s="10">
        <v>45505</v>
      </c>
    </row>
    <row r="1112" spans="1:9" x14ac:dyDescent="0.15">
      <c r="A1112" s="9">
        <v>1111</v>
      </c>
      <c r="B1112" s="9" t="s">
        <v>9</v>
      </c>
      <c r="C1112" s="9">
        <v>1910</v>
      </c>
      <c r="D1112" s="10">
        <v>45602</v>
      </c>
      <c r="E1112" s="13" t="str">
        <f>+HYPERLINK("http://trademark.i-assist.jp/data/china/image_1910th/80131505.pdf","80131505")</f>
        <v>80131505</v>
      </c>
      <c r="F1112" s="9" t="s">
        <v>3195</v>
      </c>
      <c r="G1112" s="9" t="s">
        <v>3196</v>
      </c>
      <c r="H1112" s="9" t="s">
        <v>3197</v>
      </c>
      <c r="I1112" s="10">
        <v>45505</v>
      </c>
    </row>
    <row r="1113" spans="1:9" x14ac:dyDescent="0.15">
      <c r="A1113" s="9">
        <v>1112</v>
      </c>
      <c r="B1113" s="9" t="s">
        <v>9</v>
      </c>
      <c r="C1113" s="9">
        <v>1910</v>
      </c>
      <c r="D1113" s="10">
        <v>45602</v>
      </c>
      <c r="E1113" s="13" t="str">
        <f>+HYPERLINK("http://trademark.i-assist.jp/data/china/image_1910th/80131891.pdf","80131891")</f>
        <v>80131891</v>
      </c>
      <c r="F1113" s="11" t="s">
        <v>19</v>
      </c>
      <c r="G1113" s="9" t="s">
        <v>3198</v>
      </c>
      <c r="H1113" s="9" t="s">
        <v>3199</v>
      </c>
      <c r="I1113" s="10">
        <v>45505</v>
      </c>
    </row>
    <row r="1114" spans="1:9" x14ac:dyDescent="0.15">
      <c r="A1114" s="9">
        <v>1113</v>
      </c>
      <c r="B1114" s="9" t="s">
        <v>9</v>
      </c>
      <c r="C1114" s="9">
        <v>1910</v>
      </c>
      <c r="D1114" s="10">
        <v>45602</v>
      </c>
      <c r="E1114" s="13" t="str">
        <f>+HYPERLINK("http://trademark.i-assist.jp/data/china/image_1910th/80131980.pdf","80131980")</f>
        <v>80131980</v>
      </c>
      <c r="F1114" s="9" t="s">
        <v>3200</v>
      </c>
      <c r="G1114" s="9" t="s">
        <v>3201</v>
      </c>
      <c r="H1114" s="9" t="s">
        <v>3202</v>
      </c>
      <c r="I1114" s="10">
        <v>45505</v>
      </c>
    </row>
    <row r="1115" spans="1:9" x14ac:dyDescent="0.15">
      <c r="A1115" s="9">
        <v>1114</v>
      </c>
      <c r="B1115" s="9" t="s">
        <v>9</v>
      </c>
      <c r="C1115" s="9">
        <v>1910</v>
      </c>
      <c r="D1115" s="10">
        <v>45602</v>
      </c>
      <c r="E1115" s="13" t="str">
        <f>+HYPERLINK("http://trademark.i-assist.jp/data/china/image_1910th/80132006.pdf","80132006")</f>
        <v>80132006</v>
      </c>
      <c r="F1115" s="9" t="s">
        <v>3203</v>
      </c>
      <c r="G1115" s="11" t="s">
        <v>3067</v>
      </c>
      <c r="H1115" s="9" t="s">
        <v>3204</v>
      </c>
      <c r="I1115" s="10">
        <v>45505</v>
      </c>
    </row>
    <row r="1116" spans="1:9" x14ac:dyDescent="0.15">
      <c r="A1116" s="9">
        <v>1115</v>
      </c>
      <c r="B1116" s="9" t="s">
        <v>9</v>
      </c>
      <c r="C1116" s="9">
        <v>1910</v>
      </c>
      <c r="D1116" s="10">
        <v>45602</v>
      </c>
      <c r="E1116" s="13" t="str">
        <f>+HYPERLINK("http://trademark.i-assist.jp/data/china/image_1910th/80132199.pdf","80132199")</f>
        <v>80132199</v>
      </c>
      <c r="F1116" s="9" t="s">
        <v>3205</v>
      </c>
      <c r="G1116" s="11" t="s">
        <v>3056</v>
      </c>
      <c r="H1116" s="9" t="s">
        <v>3206</v>
      </c>
      <c r="I1116" s="10">
        <v>45505</v>
      </c>
    </row>
    <row r="1117" spans="1:9" x14ac:dyDescent="0.15">
      <c r="A1117" s="9">
        <v>1116</v>
      </c>
      <c r="B1117" s="9" t="s">
        <v>9</v>
      </c>
      <c r="C1117" s="9">
        <v>1910</v>
      </c>
      <c r="D1117" s="10">
        <v>45602</v>
      </c>
      <c r="E1117" s="13" t="str">
        <f>+HYPERLINK("http://trademark.i-assist.jp/data/china/image_1910th/80132210.pdf","80132210")</f>
        <v>80132210</v>
      </c>
      <c r="F1117" s="11" t="s">
        <v>3207</v>
      </c>
      <c r="G1117" s="9" t="s">
        <v>3208</v>
      </c>
      <c r="H1117" s="9" t="s">
        <v>3209</v>
      </c>
      <c r="I1117" s="10">
        <v>45505</v>
      </c>
    </row>
    <row r="1118" spans="1:9" x14ac:dyDescent="0.15">
      <c r="A1118" s="9">
        <v>1117</v>
      </c>
      <c r="B1118" s="9" t="s">
        <v>9</v>
      </c>
      <c r="C1118" s="9">
        <v>1910</v>
      </c>
      <c r="D1118" s="10">
        <v>45602</v>
      </c>
      <c r="E1118" s="13" t="str">
        <f>+HYPERLINK("http://trademark.i-assist.jp/data/china/image_1910th/80132250.pdf","80132250")</f>
        <v>80132250</v>
      </c>
      <c r="F1118" s="11" t="s">
        <v>3210</v>
      </c>
      <c r="G1118" s="11" t="s">
        <v>3211</v>
      </c>
      <c r="H1118" s="9" t="s">
        <v>3212</v>
      </c>
      <c r="I1118" s="10">
        <v>45505</v>
      </c>
    </row>
    <row r="1119" spans="1:9" x14ac:dyDescent="0.15">
      <c r="A1119" s="9">
        <v>1118</v>
      </c>
      <c r="B1119" s="9" t="s">
        <v>9</v>
      </c>
      <c r="C1119" s="9">
        <v>1910</v>
      </c>
      <c r="D1119" s="10">
        <v>45602</v>
      </c>
      <c r="E1119" s="13" t="str">
        <f>+HYPERLINK("http://trademark.i-assist.jp/data/china/image_1910th/80132523.pdf","80132523")</f>
        <v>80132523</v>
      </c>
      <c r="F1119" s="9" t="s">
        <v>3213</v>
      </c>
      <c r="G1119" s="11" t="s">
        <v>108</v>
      </c>
      <c r="H1119" s="9" t="s">
        <v>3214</v>
      </c>
      <c r="I1119" s="10">
        <v>45505</v>
      </c>
    </row>
    <row r="1120" spans="1:9" x14ac:dyDescent="0.15">
      <c r="A1120" s="9">
        <v>1119</v>
      </c>
      <c r="B1120" s="9" t="s">
        <v>9</v>
      </c>
      <c r="C1120" s="9">
        <v>1910</v>
      </c>
      <c r="D1120" s="10">
        <v>45602</v>
      </c>
      <c r="E1120" s="13" t="str">
        <f>+HYPERLINK("http://trademark.i-assist.jp/data/china/image_1910th/80132691.pdf","80132691")</f>
        <v>80132691</v>
      </c>
      <c r="F1120" s="9" t="s">
        <v>3215</v>
      </c>
      <c r="G1120" s="9" t="s">
        <v>3198</v>
      </c>
      <c r="H1120" s="9" t="s">
        <v>3216</v>
      </c>
      <c r="I1120" s="10">
        <v>45505</v>
      </c>
    </row>
    <row r="1121" spans="1:9" x14ac:dyDescent="0.15">
      <c r="A1121" s="9">
        <v>1120</v>
      </c>
      <c r="B1121" s="9" t="s">
        <v>9</v>
      </c>
      <c r="C1121" s="9">
        <v>1910</v>
      </c>
      <c r="D1121" s="10">
        <v>45602</v>
      </c>
      <c r="E1121" s="13" t="str">
        <f>+HYPERLINK("http://trademark.i-assist.jp/data/china/image_1910th/80132798.pdf","80132798")</f>
        <v>80132798</v>
      </c>
      <c r="F1121" s="11" t="s">
        <v>3217</v>
      </c>
      <c r="G1121" s="9" t="s">
        <v>3218</v>
      </c>
      <c r="H1121" s="9" t="s">
        <v>3219</v>
      </c>
      <c r="I1121" s="10">
        <v>45505</v>
      </c>
    </row>
    <row r="1122" spans="1:9" x14ac:dyDescent="0.15">
      <c r="A1122" s="9">
        <v>1121</v>
      </c>
      <c r="B1122" s="9" t="s">
        <v>9</v>
      </c>
      <c r="C1122" s="9">
        <v>1910</v>
      </c>
      <c r="D1122" s="10">
        <v>45602</v>
      </c>
      <c r="E1122" s="13" t="str">
        <f>+HYPERLINK("http://trademark.i-assist.jp/data/china/image_1910th/80132859.pdf","80132859")</f>
        <v>80132859</v>
      </c>
      <c r="F1122" s="9" t="s">
        <v>3220</v>
      </c>
      <c r="G1122" s="9" t="s">
        <v>3221</v>
      </c>
      <c r="H1122" s="9" t="s">
        <v>3222</v>
      </c>
      <c r="I1122" s="10">
        <v>45505</v>
      </c>
    </row>
    <row r="1123" spans="1:9" x14ac:dyDescent="0.15">
      <c r="A1123" s="9">
        <v>1122</v>
      </c>
      <c r="B1123" s="9" t="s">
        <v>9</v>
      </c>
      <c r="C1123" s="9">
        <v>1910</v>
      </c>
      <c r="D1123" s="10">
        <v>45602</v>
      </c>
      <c r="E1123" s="13" t="str">
        <f>+HYPERLINK("http://trademark.i-assist.jp/data/china/image_1910th/80132883.pdf","80132883")</f>
        <v>80132883</v>
      </c>
      <c r="F1123" s="9" t="s">
        <v>3223</v>
      </c>
      <c r="G1123" s="9" t="s">
        <v>3224</v>
      </c>
      <c r="H1123" s="9" t="s">
        <v>3225</v>
      </c>
      <c r="I1123" s="10">
        <v>45505</v>
      </c>
    </row>
    <row r="1124" spans="1:9" x14ac:dyDescent="0.15">
      <c r="A1124" s="9">
        <v>1123</v>
      </c>
      <c r="B1124" s="9" t="s">
        <v>9</v>
      </c>
      <c r="C1124" s="9">
        <v>1910</v>
      </c>
      <c r="D1124" s="10">
        <v>45602</v>
      </c>
      <c r="E1124" s="13" t="str">
        <f>+HYPERLINK("http://trademark.i-assist.jp/data/china/image_1910th/80133109.pdf","80133109")</f>
        <v>80133109</v>
      </c>
      <c r="F1124" s="9" t="s">
        <v>3226</v>
      </c>
      <c r="G1124" s="11" t="s">
        <v>3067</v>
      </c>
      <c r="H1124" s="9" t="s">
        <v>3227</v>
      </c>
      <c r="I1124" s="10">
        <v>45505</v>
      </c>
    </row>
    <row r="1125" spans="1:9" x14ac:dyDescent="0.15">
      <c r="A1125" s="9">
        <v>1124</v>
      </c>
      <c r="B1125" s="9" t="s">
        <v>9</v>
      </c>
      <c r="C1125" s="9">
        <v>1910</v>
      </c>
      <c r="D1125" s="10">
        <v>45602</v>
      </c>
      <c r="E1125" s="13" t="str">
        <f>+HYPERLINK("http://trademark.i-assist.jp/data/china/image_1910th/80133129.pdf","80133129")</f>
        <v>80133129</v>
      </c>
      <c r="F1125" s="9" t="s">
        <v>3228</v>
      </c>
      <c r="G1125" s="11" t="s">
        <v>3067</v>
      </c>
      <c r="H1125" s="9" t="s">
        <v>3229</v>
      </c>
      <c r="I1125" s="10">
        <v>45505</v>
      </c>
    </row>
    <row r="1126" spans="1:9" x14ac:dyDescent="0.15">
      <c r="A1126" s="9">
        <v>1125</v>
      </c>
      <c r="B1126" s="9" t="s">
        <v>9</v>
      </c>
      <c r="C1126" s="9">
        <v>1910</v>
      </c>
      <c r="D1126" s="10">
        <v>45602</v>
      </c>
      <c r="E1126" s="13" t="str">
        <f>+HYPERLINK("http://trademark.i-assist.jp/data/china/image_1910th/80133260.pdf","80133260")</f>
        <v>80133260</v>
      </c>
      <c r="F1126" s="9" t="s">
        <v>3230</v>
      </c>
      <c r="G1126" s="9" t="s">
        <v>3231</v>
      </c>
      <c r="H1126" s="9" t="s">
        <v>3232</v>
      </c>
      <c r="I1126" s="10">
        <v>45505</v>
      </c>
    </row>
    <row r="1127" spans="1:9" x14ac:dyDescent="0.15">
      <c r="A1127" s="9">
        <v>1126</v>
      </c>
      <c r="B1127" s="9" t="s">
        <v>9</v>
      </c>
      <c r="C1127" s="9">
        <v>1910</v>
      </c>
      <c r="D1127" s="10">
        <v>45602</v>
      </c>
      <c r="E1127" s="13" t="str">
        <f>+HYPERLINK("http://trademark.i-assist.jp/data/china/image_1910th/80133715.pdf","80133715")</f>
        <v>80133715</v>
      </c>
      <c r="F1127" s="9" t="s">
        <v>3233</v>
      </c>
      <c r="G1127" s="9" t="s">
        <v>3044</v>
      </c>
      <c r="H1127" s="9" t="s">
        <v>3234</v>
      </c>
      <c r="I1127" s="10">
        <v>45505</v>
      </c>
    </row>
    <row r="1128" spans="1:9" x14ac:dyDescent="0.15">
      <c r="A1128" s="9">
        <v>1127</v>
      </c>
      <c r="B1128" s="9" t="s">
        <v>9</v>
      </c>
      <c r="C1128" s="9">
        <v>1910</v>
      </c>
      <c r="D1128" s="10">
        <v>45602</v>
      </c>
      <c r="E1128" s="13" t="str">
        <f>+HYPERLINK("http://trademark.i-assist.jp/data/china/image_1910th/80134043.pdf","80134043")</f>
        <v>80134043</v>
      </c>
      <c r="F1128" s="12" t="s">
        <v>3235</v>
      </c>
      <c r="G1128" s="11" t="s">
        <v>3211</v>
      </c>
      <c r="H1128" s="9" t="s">
        <v>3236</v>
      </c>
      <c r="I1128" s="10">
        <v>45505</v>
      </c>
    </row>
    <row r="1129" spans="1:9" x14ac:dyDescent="0.15">
      <c r="A1129" s="9">
        <v>1128</v>
      </c>
      <c r="B1129" s="9" t="s">
        <v>9</v>
      </c>
      <c r="C1129" s="9">
        <v>1910</v>
      </c>
      <c r="D1129" s="10">
        <v>45602</v>
      </c>
      <c r="E1129" s="13" t="str">
        <f>+HYPERLINK("http://trademark.i-assist.jp/data/china/image_1910th/80134052.pdf","80134052")</f>
        <v>80134052</v>
      </c>
      <c r="F1129" s="9" t="s">
        <v>3237</v>
      </c>
      <c r="G1129" s="9" t="s">
        <v>3238</v>
      </c>
      <c r="H1129" s="9" t="s">
        <v>3239</v>
      </c>
      <c r="I1129" s="10">
        <v>45505</v>
      </c>
    </row>
    <row r="1130" spans="1:9" x14ac:dyDescent="0.15">
      <c r="A1130" s="9">
        <v>1129</v>
      </c>
      <c r="B1130" s="9" t="s">
        <v>9</v>
      </c>
      <c r="C1130" s="9">
        <v>1910</v>
      </c>
      <c r="D1130" s="10">
        <v>45602</v>
      </c>
      <c r="E1130" s="13" t="str">
        <f>+HYPERLINK("http://trademark.i-assist.jp/data/china/image_1910th/80134260.pdf","80134260")</f>
        <v>80134260</v>
      </c>
      <c r="F1130" s="9" t="s">
        <v>3240</v>
      </c>
      <c r="G1130" s="11" t="s">
        <v>3067</v>
      </c>
      <c r="H1130" s="9" t="s">
        <v>3241</v>
      </c>
      <c r="I1130" s="10">
        <v>45505</v>
      </c>
    </row>
    <row r="1131" spans="1:9" x14ac:dyDescent="0.15">
      <c r="A1131" s="9">
        <v>1130</v>
      </c>
      <c r="B1131" s="9" t="s">
        <v>9</v>
      </c>
      <c r="C1131" s="9">
        <v>1910</v>
      </c>
      <c r="D1131" s="10">
        <v>45602</v>
      </c>
      <c r="E1131" s="13" t="str">
        <f>+HYPERLINK("http://trademark.i-assist.jp/data/china/image_1910th/80134398.pdf","80134398")</f>
        <v>80134398</v>
      </c>
      <c r="F1131" s="9" t="s">
        <v>3242</v>
      </c>
      <c r="G1131" s="9" t="s">
        <v>3243</v>
      </c>
      <c r="H1131" s="11" t="s">
        <v>3244</v>
      </c>
      <c r="I1131" s="10">
        <v>45505</v>
      </c>
    </row>
    <row r="1132" spans="1:9" x14ac:dyDescent="0.15">
      <c r="A1132" s="9">
        <v>1131</v>
      </c>
      <c r="B1132" s="9" t="s">
        <v>9</v>
      </c>
      <c r="C1132" s="9">
        <v>1910</v>
      </c>
      <c r="D1132" s="10">
        <v>45602</v>
      </c>
      <c r="E1132" s="13" t="str">
        <f>+HYPERLINK("http://trademark.i-assist.jp/data/china/image_1910th/80134453.pdf","80134453")</f>
        <v>80134453</v>
      </c>
      <c r="F1132" s="9" t="s">
        <v>3245</v>
      </c>
      <c r="G1132" s="9" t="s">
        <v>3246</v>
      </c>
      <c r="H1132" s="9" t="s">
        <v>3247</v>
      </c>
      <c r="I1132" s="10">
        <v>45505</v>
      </c>
    </row>
    <row r="1133" spans="1:9" x14ac:dyDescent="0.15">
      <c r="A1133" s="9">
        <v>1132</v>
      </c>
      <c r="B1133" s="9" t="s">
        <v>9</v>
      </c>
      <c r="C1133" s="9">
        <v>1910</v>
      </c>
      <c r="D1133" s="10">
        <v>45602</v>
      </c>
      <c r="E1133" s="13" t="str">
        <f>+HYPERLINK("http://trademark.i-assist.jp/data/china/image_1910th/80134609.pdf","80134609")</f>
        <v>80134609</v>
      </c>
      <c r="F1133" s="11" t="s">
        <v>19</v>
      </c>
      <c r="G1133" s="11" t="s">
        <v>3177</v>
      </c>
      <c r="H1133" s="9" t="s">
        <v>3248</v>
      </c>
      <c r="I1133" s="10">
        <v>45505</v>
      </c>
    </row>
    <row r="1134" spans="1:9" x14ac:dyDescent="0.15">
      <c r="A1134" s="9">
        <v>1133</v>
      </c>
      <c r="B1134" s="9" t="s">
        <v>9</v>
      </c>
      <c r="C1134" s="9">
        <v>1910</v>
      </c>
      <c r="D1134" s="10">
        <v>45602</v>
      </c>
      <c r="E1134" s="13" t="str">
        <f>+HYPERLINK("http://trademark.i-assist.jp/data/china/image_1910th/80134805.pdf","80134805")</f>
        <v>80134805</v>
      </c>
      <c r="F1134" s="9" t="s">
        <v>3249</v>
      </c>
      <c r="G1134" s="9" t="s">
        <v>3250</v>
      </c>
      <c r="H1134" s="9" t="s">
        <v>3251</v>
      </c>
      <c r="I1134" s="10">
        <v>45505</v>
      </c>
    </row>
    <row r="1135" spans="1:9" x14ac:dyDescent="0.15">
      <c r="A1135" s="9">
        <v>1134</v>
      </c>
      <c r="B1135" s="9" t="s">
        <v>9</v>
      </c>
      <c r="C1135" s="9">
        <v>1910</v>
      </c>
      <c r="D1135" s="10">
        <v>45602</v>
      </c>
      <c r="E1135" s="13" t="str">
        <f>+HYPERLINK("http://trademark.i-assist.jp/data/china/image_1910th/80135305.pdf","80135305")</f>
        <v>80135305</v>
      </c>
      <c r="F1135" s="9" t="s">
        <v>3252</v>
      </c>
      <c r="G1135" s="9" t="s">
        <v>3253</v>
      </c>
      <c r="H1135" s="9" t="s">
        <v>3254</v>
      </c>
      <c r="I1135" s="10">
        <v>45505</v>
      </c>
    </row>
    <row r="1136" spans="1:9" x14ac:dyDescent="0.15">
      <c r="A1136" s="9">
        <v>1135</v>
      </c>
      <c r="B1136" s="9" t="s">
        <v>9</v>
      </c>
      <c r="C1136" s="9">
        <v>1910</v>
      </c>
      <c r="D1136" s="10">
        <v>45602</v>
      </c>
      <c r="E1136" s="13" t="str">
        <f>+HYPERLINK("http://trademark.i-assist.jp/data/china/image_1910th/80135377.pdf","80135377")</f>
        <v>80135377</v>
      </c>
      <c r="F1136" s="9" t="s">
        <v>3255</v>
      </c>
      <c r="G1136" s="9" t="s">
        <v>3167</v>
      </c>
      <c r="H1136" s="9" t="s">
        <v>3256</v>
      </c>
      <c r="I1136" s="10">
        <v>45505</v>
      </c>
    </row>
    <row r="1137" spans="1:9" x14ac:dyDescent="0.15">
      <c r="A1137" s="9">
        <v>1136</v>
      </c>
      <c r="B1137" s="9" t="s">
        <v>9</v>
      </c>
      <c r="C1137" s="9">
        <v>1910</v>
      </c>
      <c r="D1137" s="10">
        <v>45602</v>
      </c>
      <c r="E1137" s="13" t="str">
        <f>+HYPERLINK("http://trademark.i-assist.jp/data/china/image_1910th/80135415.pdf","80135415")</f>
        <v>80135415</v>
      </c>
      <c r="F1137" s="11" t="s">
        <v>3257</v>
      </c>
      <c r="G1137" s="11" t="s">
        <v>3258</v>
      </c>
      <c r="H1137" s="9" t="s">
        <v>3259</v>
      </c>
      <c r="I1137" s="10">
        <v>45505</v>
      </c>
    </row>
    <row r="1138" spans="1:9" x14ac:dyDescent="0.15">
      <c r="A1138" s="9">
        <v>1137</v>
      </c>
      <c r="B1138" s="9" t="s">
        <v>9</v>
      </c>
      <c r="C1138" s="9">
        <v>1910</v>
      </c>
      <c r="D1138" s="10">
        <v>45602</v>
      </c>
      <c r="E1138" s="13" t="str">
        <f>+HYPERLINK("http://trademark.i-assist.jp/data/china/image_1910th/80135496.pdf","80135496")</f>
        <v>80135496</v>
      </c>
      <c r="F1138" s="9" t="s">
        <v>3260</v>
      </c>
      <c r="G1138" s="9" t="s">
        <v>3261</v>
      </c>
      <c r="H1138" s="9" t="s">
        <v>3262</v>
      </c>
      <c r="I1138" s="10">
        <v>45505</v>
      </c>
    </row>
    <row r="1139" spans="1:9" x14ac:dyDescent="0.15">
      <c r="A1139" s="9">
        <v>1138</v>
      </c>
      <c r="B1139" s="9" t="s">
        <v>9</v>
      </c>
      <c r="C1139" s="9">
        <v>1910</v>
      </c>
      <c r="D1139" s="10">
        <v>45602</v>
      </c>
      <c r="E1139" s="13" t="str">
        <f>+HYPERLINK("http://trademark.i-assist.jp/data/china/image_1910th/80135606.pdf","80135606")</f>
        <v>80135606</v>
      </c>
      <c r="F1139" s="9" t="s">
        <v>3263</v>
      </c>
      <c r="G1139" s="9" t="s">
        <v>3264</v>
      </c>
      <c r="H1139" s="9" t="s">
        <v>3265</v>
      </c>
      <c r="I1139" s="10">
        <v>45505</v>
      </c>
    </row>
    <row r="1140" spans="1:9" x14ac:dyDescent="0.15">
      <c r="A1140" s="9">
        <v>1139</v>
      </c>
      <c r="B1140" s="9" t="s">
        <v>9</v>
      </c>
      <c r="C1140" s="9">
        <v>1910</v>
      </c>
      <c r="D1140" s="10">
        <v>45602</v>
      </c>
      <c r="E1140" s="13" t="str">
        <f>+HYPERLINK("http://trademark.i-assist.jp/data/china/image_1910th/80135697.pdf","80135697")</f>
        <v>80135697</v>
      </c>
      <c r="F1140" s="9" t="s">
        <v>3266</v>
      </c>
      <c r="G1140" s="11" t="s">
        <v>1874</v>
      </c>
      <c r="H1140" s="9" t="s">
        <v>3267</v>
      </c>
      <c r="I1140" s="10">
        <v>45505</v>
      </c>
    </row>
    <row r="1141" spans="1:9" x14ac:dyDescent="0.15">
      <c r="A1141" s="9">
        <v>1140</v>
      </c>
      <c r="B1141" s="9" t="s">
        <v>9</v>
      </c>
      <c r="C1141" s="9">
        <v>1910</v>
      </c>
      <c r="D1141" s="10">
        <v>45602</v>
      </c>
      <c r="E1141" s="13" t="str">
        <f>+HYPERLINK("http://trademark.i-assist.jp/data/china/image_1910th/80136548.pdf","80136548")</f>
        <v>80136548</v>
      </c>
      <c r="F1141" s="9" t="s">
        <v>3268</v>
      </c>
      <c r="G1141" s="9" t="s">
        <v>3070</v>
      </c>
      <c r="H1141" s="9" t="s">
        <v>3269</v>
      </c>
      <c r="I1141" s="10">
        <v>45505</v>
      </c>
    </row>
    <row r="1142" spans="1:9" x14ac:dyDescent="0.15">
      <c r="A1142" s="9">
        <v>1141</v>
      </c>
      <c r="B1142" s="9" t="s">
        <v>9</v>
      </c>
      <c r="C1142" s="9">
        <v>1910</v>
      </c>
      <c r="D1142" s="10">
        <v>45602</v>
      </c>
      <c r="E1142" s="13" t="str">
        <f>+HYPERLINK("http://trademark.i-assist.jp/data/china/image_1910th/80136633.pdf","80136633")</f>
        <v>80136633</v>
      </c>
      <c r="F1142" s="9" t="s">
        <v>3270</v>
      </c>
      <c r="G1142" s="9" t="s">
        <v>3271</v>
      </c>
      <c r="H1142" s="9" t="s">
        <v>3272</v>
      </c>
      <c r="I1142" s="10">
        <v>45505</v>
      </c>
    </row>
    <row r="1143" spans="1:9" x14ac:dyDescent="0.15">
      <c r="A1143" s="9">
        <v>1142</v>
      </c>
      <c r="B1143" s="9" t="s">
        <v>9</v>
      </c>
      <c r="C1143" s="9">
        <v>1910</v>
      </c>
      <c r="D1143" s="10">
        <v>45602</v>
      </c>
      <c r="E1143" s="13" t="str">
        <f>+HYPERLINK("http://trademark.i-assist.jp/data/china/image_1910th/80136638.pdf","80136638")</f>
        <v>80136638</v>
      </c>
      <c r="F1143" s="9" t="s">
        <v>3273</v>
      </c>
      <c r="G1143" s="9" t="s">
        <v>3271</v>
      </c>
      <c r="H1143" s="9" t="s">
        <v>3274</v>
      </c>
      <c r="I1143" s="10">
        <v>45505</v>
      </c>
    </row>
    <row r="1144" spans="1:9" x14ac:dyDescent="0.15">
      <c r="A1144" s="9">
        <v>1143</v>
      </c>
      <c r="B1144" s="9" t="s">
        <v>9</v>
      </c>
      <c r="C1144" s="9">
        <v>1910</v>
      </c>
      <c r="D1144" s="10">
        <v>45602</v>
      </c>
      <c r="E1144" s="13" t="str">
        <f>+HYPERLINK("http://trademark.i-assist.jp/data/china/image_1910th/80136752.pdf","80136752")</f>
        <v>80136752</v>
      </c>
      <c r="F1144" s="9" t="s">
        <v>3275</v>
      </c>
      <c r="G1144" s="9" t="s">
        <v>3276</v>
      </c>
      <c r="H1144" s="9" t="s">
        <v>3277</v>
      </c>
      <c r="I1144" s="10">
        <v>45505</v>
      </c>
    </row>
    <row r="1145" spans="1:9" x14ac:dyDescent="0.15">
      <c r="A1145" s="9">
        <v>1144</v>
      </c>
      <c r="B1145" s="9" t="s">
        <v>9</v>
      </c>
      <c r="C1145" s="9">
        <v>1910</v>
      </c>
      <c r="D1145" s="10">
        <v>45602</v>
      </c>
      <c r="E1145" s="13" t="str">
        <f>+HYPERLINK("http://trademark.i-assist.jp/data/china/image_1910th/80136814.pdf","80136814")</f>
        <v>80136814</v>
      </c>
      <c r="F1145" s="11" t="s">
        <v>3278</v>
      </c>
      <c r="G1145" s="11" t="s">
        <v>3050</v>
      </c>
      <c r="H1145" s="9" t="s">
        <v>3279</v>
      </c>
      <c r="I1145" s="10">
        <v>45505</v>
      </c>
    </row>
    <row r="1146" spans="1:9" x14ac:dyDescent="0.15">
      <c r="A1146" s="9">
        <v>1145</v>
      </c>
      <c r="B1146" s="9" t="s">
        <v>9</v>
      </c>
      <c r="C1146" s="9">
        <v>1910</v>
      </c>
      <c r="D1146" s="10">
        <v>45602</v>
      </c>
      <c r="E1146" s="13" t="str">
        <f>+HYPERLINK("http://trademark.i-assist.jp/data/china/image_1910th/80137086.pdf","80137086")</f>
        <v>80137086</v>
      </c>
      <c r="F1146" s="9" t="s">
        <v>3280</v>
      </c>
      <c r="G1146" s="11" t="s">
        <v>3067</v>
      </c>
      <c r="H1146" s="9" t="s">
        <v>3281</v>
      </c>
      <c r="I1146" s="10">
        <v>45505</v>
      </c>
    </row>
    <row r="1147" spans="1:9" x14ac:dyDescent="0.15">
      <c r="A1147" s="9">
        <v>1146</v>
      </c>
      <c r="B1147" s="9" t="s">
        <v>9</v>
      </c>
      <c r="C1147" s="9">
        <v>1910</v>
      </c>
      <c r="D1147" s="10">
        <v>45602</v>
      </c>
      <c r="E1147" s="13" t="str">
        <f>+HYPERLINK("http://trademark.i-assist.jp/data/china/image_1910th/80137133.pdf","80137133")</f>
        <v>80137133</v>
      </c>
      <c r="F1147" s="9" t="s">
        <v>3282</v>
      </c>
      <c r="G1147" s="9" t="s">
        <v>3283</v>
      </c>
      <c r="H1147" s="9" t="s">
        <v>3284</v>
      </c>
      <c r="I1147" s="10">
        <v>45505</v>
      </c>
    </row>
    <row r="1148" spans="1:9" x14ac:dyDescent="0.15">
      <c r="A1148" s="9">
        <v>1147</v>
      </c>
      <c r="B1148" s="9" t="s">
        <v>9</v>
      </c>
      <c r="C1148" s="9">
        <v>1910</v>
      </c>
      <c r="D1148" s="10">
        <v>45602</v>
      </c>
      <c r="E1148" s="13" t="str">
        <f>+HYPERLINK("http://trademark.i-assist.jp/data/china/image_1910th/80137288.pdf","80137288")</f>
        <v>80137288</v>
      </c>
      <c r="F1148" s="9" t="s">
        <v>3285</v>
      </c>
      <c r="G1148" s="9" t="s">
        <v>3286</v>
      </c>
      <c r="H1148" s="9" t="s">
        <v>3287</v>
      </c>
      <c r="I1148" s="10">
        <v>45505</v>
      </c>
    </row>
    <row r="1149" spans="1:9" x14ac:dyDescent="0.15">
      <c r="A1149" s="9">
        <v>1148</v>
      </c>
      <c r="B1149" s="9" t="s">
        <v>9</v>
      </c>
      <c r="C1149" s="9">
        <v>1910</v>
      </c>
      <c r="D1149" s="10">
        <v>45602</v>
      </c>
      <c r="E1149" s="13" t="str">
        <f>+HYPERLINK("http://trademark.i-assist.jp/data/china/image_1910th/80137479.pdf","80137479")</f>
        <v>80137479</v>
      </c>
      <c r="F1149" s="9" t="s">
        <v>3288</v>
      </c>
      <c r="G1149" s="11" t="s">
        <v>3289</v>
      </c>
      <c r="H1149" s="9" t="s">
        <v>3290</v>
      </c>
      <c r="I1149" s="10">
        <v>45505</v>
      </c>
    </row>
    <row r="1150" spans="1:9" x14ac:dyDescent="0.15">
      <c r="A1150" s="9">
        <v>1149</v>
      </c>
      <c r="B1150" s="9" t="s">
        <v>9</v>
      </c>
      <c r="C1150" s="9">
        <v>1910</v>
      </c>
      <c r="D1150" s="10">
        <v>45602</v>
      </c>
      <c r="E1150" s="13" t="str">
        <f>+HYPERLINK("http://trademark.i-assist.jp/data/china/image_1910th/80137484.pdf","80137484")</f>
        <v>80137484</v>
      </c>
      <c r="F1150" s="9" t="s">
        <v>3291</v>
      </c>
      <c r="G1150" s="9" t="s">
        <v>3059</v>
      </c>
      <c r="H1150" s="9" t="s">
        <v>3292</v>
      </c>
      <c r="I1150" s="10">
        <v>45505</v>
      </c>
    </row>
    <row r="1151" spans="1:9" x14ac:dyDescent="0.15">
      <c r="A1151" s="9">
        <v>1150</v>
      </c>
      <c r="B1151" s="9" t="s">
        <v>9</v>
      </c>
      <c r="C1151" s="9">
        <v>1910</v>
      </c>
      <c r="D1151" s="10">
        <v>45602</v>
      </c>
      <c r="E1151" s="13" t="str">
        <f>+HYPERLINK("http://trademark.i-assist.jp/data/china/image_1910th/80137485.pdf","80137485")</f>
        <v>80137485</v>
      </c>
      <c r="F1151" s="9" t="s">
        <v>3293</v>
      </c>
      <c r="G1151" s="9" t="s">
        <v>3059</v>
      </c>
      <c r="H1151" s="11" t="s">
        <v>3294</v>
      </c>
      <c r="I1151" s="10">
        <v>45505</v>
      </c>
    </row>
    <row r="1152" spans="1:9" x14ac:dyDescent="0.15">
      <c r="A1152" s="9">
        <v>1151</v>
      </c>
      <c r="B1152" s="9" t="s">
        <v>9</v>
      </c>
      <c r="C1152" s="9">
        <v>1910</v>
      </c>
      <c r="D1152" s="10">
        <v>45602</v>
      </c>
      <c r="E1152" s="13" t="str">
        <f>+HYPERLINK("http://trademark.i-assist.jp/data/china/image_1910th/80137516.pdf","80137516")</f>
        <v>80137516</v>
      </c>
      <c r="F1152" s="11" t="s">
        <v>3295</v>
      </c>
      <c r="G1152" s="11" t="s">
        <v>137</v>
      </c>
      <c r="H1152" s="9" t="s">
        <v>3296</v>
      </c>
      <c r="I1152" s="10">
        <v>45505</v>
      </c>
    </row>
    <row r="1153" spans="1:9" x14ac:dyDescent="0.15">
      <c r="A1153" s="9">
        <v>1152</v>
      </c>
      <c r="B1153" s="9" t="s">
        <v>9</v>
      </c>
      <c r="C1153" s="9">
        <v>1910</v>
      </c>
      <c r="D1153" s="10">
        <v>45602</v>
      </c>
      <c r="E1153" s="13" t="str">
        <f>+HYPERLINK("http://trademark.i-assist.jp/data/china/image_1910th/80137699.pdf","80137699")</f>
        <v>80137699</v>
      </c>
      <c r="F1153" s="9" t="s">
        <v>3297</v>
      </c>
      <c r="G1153" s="9" t="s">
        <v>3298</v>
      </c>
      <c r="H1153" s="9" t="s">
        <v>3299</v>
      </c>
      <c r="I1153" s="10">
        <v>45505</v>
      </c>
    </row>
    <row r="1154" spans="1:9" x14ac:dyDescent="0.15">
      <c r="A1154" s="9">
        <v>1153</v>
      </c>
      <c r="B1154" s="9" t="s">
        <v>9</v>
      </c>
      <c r="C1154" s="9">
        <v>1910</v>
      </c>
      <c r="D1154" s="10">
        <v>45602</v>
      </c>
      <c r="E1154" s="13" t="str">
        <f>+HYPERLINK("http://trademark.i-assist.jp/data/china/image_1910th/80137851.pdf","80137851")</f>
        <v>80137851</v>
      </c>
      <c r="F1154" s="9" t="s">
        <v>3300</v>
      </c>
      <c r="G1154" s="11" t="s">
        <v>3067</v>
      </c>
      <c r="H1154" s="9" t="s">
        <v>3301</v>
      </c>
      <c r="I1154" s="10">
        <v>45505</v>
      </c>
    </row>
    <row r="1155" spans="1:9" x14ac:dyDescent="0.15">
      <c r="A1155" s="9">
        <v>1154</v>
      </c>
      <c r="B1155" s="9" t="s">
        <v>9</v>
      </c>
      <c r="C1155" s="9">
        <v>1910</v>
      </c>
      <c r="D1155" s="10">
        <v>45602</v>
      </c>
      <c r="E1155" s="13" t="str">
        <f>+HYPERLINK("http://trademark.i-assist.jp/data/china/image_1910th/80137866.pdf","80137866")</f>
        <v>80137866</v>
      </c>
      <c r="F1155" s="9" t="s">
        <v>3302</v>
      </c>
      <c r="G1155" s="11" t="s">
        <v>3067</v>
      </c>
      <c r="H1155" s="9" t="s">
        <v>3303</v>
      </c>
      <c r="I1155" s="10">
        <v>45505</v>
      </c>
    </row>
    <row r="1156" spans="1:9" x14ac:dyDescent="0.15">
      <c r="A1156" s="9">
        <v>1155</v>
      </c>
      <c r="B1156" s="9" t="s">
        <v>9</v>
      </c>
      <c r="C1156" s="9">
        <v>1910</v>
      </c>
      <c r="D1156" s="10">
        <v>45602</v>
      </c>
      <c r="E1156" s="13" t="str">
        <f>+HYPERLINK("http://trademark.i-assist.jp/data/china/image_1910th/80138023.pdf","80138023")</f>
        <v>80138023</v>
      </c>
      <c r="F1156" s="9" t="s">
        <v>3304</v>
      </c>
      <c r="G1156" s="9" t="s">
        <v>178</v>
      </c>
      <c r="H1156" s="11" t="s">
        <v>3305</v>
      </c>
      <c r="I1156" s="10">
        <v>45505</v>
      </c>
    </row>
    <row r="1157" spans="1:9" x14ac:dyDescent="0.15">
      <c r="A1157" s="9">
        <v>1156</v>
      </c>
      <c r="B1157" s="9" t="s">
        <v>9</v>
      </c>
      <c r="C1157" s="9">
        <v>1910</v>
      </c>
      <c r="D1157" s="10">
        <v>45602</v>
      </c>
      <c r="E1157" s="13" t="str">
        <f>+HYPERLINK("http://trademark.i-assist.jp/data/china/image_1910th/80138310.pdf","80138310")</f>
        <v>80138310</v>
      </c>
      <c r="F1157" s="9" t="s">
        <v>3306</v>
      </c>
      <c r="G1157" s="11" t="s">
        <v>3067</v>
      </c>
      <c r="H1157" s="9" t="s">
        <v>3307</v>
      </c>
      <c r="I1157" s="10">
        <v>45505</v>
      </c>
    </row>
    <row r="1158" spans="1:9" x14ac:dyDescent="0.15">
      <c r="A1158" s="9">
        <v>1157</v>
      </c>
      <c r="B1158" s="9" t="s">
        <v>9</v>
      </c>
      <c r="C1158" s="9">
        <v>1910</v>
      </c>
      <c r="D1158" s="10">
        <v>45602</v>
      </c>
      <c r="E1158" s="13" t="str">
        <f>+HYPERLINK("http://trademark.i-assist.jp/data/china/image_1910th/80138339.pdf","80138339")</f>
        <v>80138339</v>
      </c>
      <c r="F1158" s="9" t="s">
        <v>3308</v>
      </c>
      <c r="G1158" s="11" t="s">
        <v>3067</v>
      </c>
      <c r="H1158" s="9" t="s">
        <v>3309</v>
      </c>
      <c r="I1158" s="10">
        <v>45505</v>
      </c>
    </row>
    <row r="1159" spans="1:9" x14ac:dyDescent="0.15">
      <c r="A1159" s="9">
        <v>1158</v>
      </c>
      <c r="B1159" s="9" t="s">
        <v>9</v>
      </c>
      <c r="C1159" s="9">
        <v>1910</v>
      </c>
      <c r="D1159" s="10">
        <v>45602</v>
      </c>
      <c r="E1159" s="13" t="str">
        <f>+HYPERLINK("http://trademark.i-assist.jp/data/china/image_1910th/80138514.pdf","80138514")</f>
        <v>80138514</v>
      </c>
      <c r="F1159" s="9" t="s">
        <v>3310</v>
      </c>
      <c r="G1159" s="9" t="s">
        <v>3311</v>
      </c>
      <c r="H1159" s="9" t="s">
        <v>3312</v>
      </c>
      <c r="I1159" s="10">
        <v>45505</v>
      </c>
    </row>
    <row r="1160" spans="1:9" x14ac:dyDescent="0.15">
      <c r="A1160" s="9">
        <v>1159</v>
      </c>
      <c r="B1160" s="9" t="s">
        <v>9</v>
      </c>
      <c r="C1160" s="9">
        <v>1910</v>
      </c>
      <c r="D1160" s="10">
        <v>45602</v>
      </c>
      <c r="E1160" s="13" t="str">
        <f>+HYPERLINK("http://trademark.i-assist.jp/data/china/image_1910th/80138755.pdf","80138755")</f>
        <v>80138755</v>
      </c>
      <c r="F1160" s="9" t="s">
        <v>3313</v>
      </c>
      <c r="G1160" s="9" t="s">
        <v>3314</v>
      </c>
      <c r="H1160" s="11" t="s">
        <v>3315</v>
      </c>
      <c r="I1160" s="10">
        <v>45505</v>
      </c>
    </row>
    <row r="1161" spans="1:9" x14ac:dyDescent="0.15">
      <c r="A1161" s="9">
        <v>1160</v>
      </c>
      <c r="B1161" s="9" t="s">
        <v>9</v>
      </c>
      <c r="C1161" s="9">
        <v>1910</v>
      </c>
      <c r="D1161" s="10">
        <v>45602</v>
      </c>
      <c r="E1161" s="13" t="str">
        <f>+HYPERLINK("http://trademark.i-assist.jp/data/china/image_1910th/80138842.pdf","80138842")</f>
        <v>80138842</v>
      </c>
      <c r="F1161" s="9" t="s">
        <v>3316</v>
      </c>
      <c r="G1161" s="11" t="s">
        <v>3317</v>
      </c>
      <c r="H1161" s="9" t="s">
        <v>3318</v>
      </c>
      <c r="I1161" s="10">
        <v>45505</v>
      </c>
    </row>
    <row r="1162" spans="1:9" x14ac:dyDescent="0.15">
      <c r="A1162" s="9">
        <v>1161</v>
      </c>
      <c r="B1162" s="9" t="s">
        <v>9</v>
      </c>
      <c r="C1162" s="9">
        <v>1910</v>
      </c>
      <c r="D1162" s="10">
        <v>45602</v>
      </c>
      <c r="E1162" s="13" t="str">
        <f>+HYPERLINK("http://trademark.i-assist.jp/data/china/image_1910th/80138853.pdf","80138853")</f>
        <v>80138853</v>
      </c>
      <c r="F1162" s="9" t="s">
        <v>3319</v>
      </c>
      <c r="G1162" s="9" t="s">
        <v>195</v>
      </c>
      <c r="H1162" s="9" t="s">
        <v>3320</v>
      </c>
      <c r="I1162" s="10">
        <v>45505</v>
      </c>
    </row>
    <row r="1163" spans="1:9" x14ac:dyDescent="0.15">
      <c r="A1163" s="9">
        <v>1162</v>
      </c>
      <c r="B1163" s="9" t="s">
        <v>9</v>
      </c>
      <c r="C1163" s="9">
        <v>1910</v>
      </c>
      <c r="D1163" s="10">
        <v>45602</v>
      </c>
      <c r="E1163" s="13" t="str">
        <f>+HYPERLINK("http://trademark.i-assist.jp/data/china/image_1910th/80139282.pdf","80139282")</f>
        <v>80139282</v>
      </c>
      <c r="F1163" s="9" t="s">
        <v>3321</v>
      </c>
      <c r="G1163" s="11" t="s">
        <v>56</v>
      </c>
      <c r="H1163" s="9" t="s">
        <v>3322</v>
      </c>
      <c r="I1163" s="10">
        <v>45505</v>
      </c>
    </row>
    <row r="1164" spans="1:9" x14ac:dyDescent="0.15">
      <c r="A1164" s="9">
        <v>1163</v>
      </c>
      <c r="B1164" s="9" t="s">
        <v>9</v>
      </c>
      <c r="C1164" s="9">
        <v>1910</v>
      </c>
      <c r="D1164" s="10">
        <v>45602</v>
      </c>
      <c r="E1164" s="13" t="str">
        <f>+HYPERLINK("http://trademark.i-assist.jp/data/china/image_1910th/80139397.pdf","80139397")</f>
        <v>80139397</v>
      </c>
      <c r="F1164" s="9" t="s">
        <v>3323</v>
      </c>
      <c r="G1164" s="9" t="s">
        <v>3324</v>
      </c>
      <c r="H1164" s="9" t="s">
        <v>3325</v>
      </c>
      <c r="I1164" s="10">
        <v>45505</v>
      </c>
    </row>
    <row r="1165" spans="1:9" x14ac:dyDescent="0.15">
      <c r="A1165" s="9">
        <v>1164</v>
      </c>
      <c r="B1165" s="9" t="s">
        <v>9</v>
      </c>
      <c r="C1165" s="9">
        <v>1910</v>
      </c>
      <c r="D1165" s="10">
        <v>45602</v>
      </c>
      <c r="E1165" s="13" t="str">
        <f>+HYPERLINK("http://trademark.i-assist.jp/data/china/image_1910th/80139710.pdf","80139710")</f>
        <v>80139710</v>
      </c>
      <c r="F1165" s="9" t="s">
        <v>3326</v>
      </c>
      <c r="G1165" s="11" t="s">
        <v>3056</v>
      </c>
      <c r="H1165" s="9" t="s">
        <v>3327</v>
      </c>
      <c r="I1165" s="10">
        <v>45505</v>
      </c>
    </row>
    <row r="1166" spans="1:9" x14ac:dyDescent="0.15">
      <c r="A1166" s="9">
        <v>1165</v>
      </c>
      <c r="B1166" s="9" t="s">
        <v>9</v>
      </c>
      <c r="C1166" s="9">
        <v>1910</v>
      </c>
      <c r="D1166" s="10">
        <v>45602</v>
      </c>
      <c r="E1166" s="13" t="str">
        <f>+HYPERLINK("http://trademark.i-assist.jp/data/china/image_1910th/80139874.pdf","80139874")</f>
        <v>80139874</v>
      </c>
      <c r="F1166" s="9" t="s">
        <v>3328</v>
      </c>
      <c r="G1166" s="9" t="s">
        <v>3329</v>
      </c>
      <c r="H1166" s="9" t="s">
        <v>3330</v>
      </c>
      <c r="I1166" s="10">
        <v>45505</v>
      </c>
    </row>
    <row r="1167" spans="1:9" x14ac:dyDescent="0.15">
      <c r="A1167" s="9">
        <v>1166</v>
      </c>
      <c r="B1167" s="9" t="s">
        <v>9</v>
      </c>
      <c r="C1167" s="9">
        <v>1910</v>
      </c>
      <c r="D1167" s="10">
        <v>45602</v>
      </c>
      <c r="E1167" s="13" t="str">
        <f>+HYPERLINK("http://trademark.i-assist.jp/data/china/image_1910th/80139883.pdf","80139883")</f>
        <v>80139883</v>
      </c>
      <c r="F1167" s="11" t="s">
        <v>3331</v>
      </c>
      <c r="G1167" s="9" t="s">
        <v>3188</v>
      </c>
      <c r="H1167" s="9" t="s">
        <v>3332</v>
      </c>
      <c r="I1167" s="10">
        <v>45505</v>
      </c>
    </row>
    <row r="1168" spans="1:9" x14ac:dyDescent="0.15">
      <c r="A1168" s="9">
        <v>1167</v>
      </c>
      <c r="B1168" s="9" t="s">
        <v>9</v>
      </c>
      <c r="C1168" s="9">
        <v>1910</v>
      </c>
      <c r="D1168" s="10">
        <v>45602</v>
      </c>
      <c r="E1168" s="13" t="str">
        <f>+HYPERLINK("http://trademark.i-assist.jp/data/china/image_1910th/80140419.pdf","80140419")</f>
        <v>80140419</v>
      </c>
      <c r="F1168" s="9" t="s">
        <v>3333</v>
      </c>
      <c r="G1168" s="11" t="s">
        <v>3067</v>
      </c>
      <c r="H1168" s="11" t="s">
        <v>3334</v>
      </c>
      <c r="I1168" s="10">
        <v>45505</v>
      </c>
    </row>
    <row r="1169" spans="1:9" x14ac:dyDescent="0.15">
      <c r="A1169" s="9">
        <v>1168</v>
      </c>
      <c r="B1169" s="9" t="s">
        <v>9</v>
      </c>
      <c r="C1169" s="9">
        <v>1910</v>
      </c>
      <c r="D1169" s="10">
        <v>45602</v>
      </c>
      <c r="E1169" s="13" t="str">
        <f>+HYPERLINK("http://trademark.i-assist.jp/data/china/image_1910th/80140722.pdf","80140722")</f>
        <v>80140722</v>
      </c>
      <c r="F1169" s="9" t="s">
        <v>3335</v>
      </c>
      <c r="G1169" s="9" t="s">
        <v>134</v>
      </c>
      <c r="H1169" s="9" t="s">
        <v>3336</v>
      </c>
      <c r="I1169" s="10">
        <v>45505</v>
      </c>
    </row>
    <row r="1170" spans="1:9" x14ac:dyDescent="0.15">
      <c r="A1170" s="9">
        <v>1169</v>
      </c>
      <c r="B1170" s="9" t="s">
        <v>9</v>
      </c>
      <c r="C1170" s="9">
        <v>1910</v>
      </c>
      <c r="D1170" s="10">
        <v>45602</v>
      </c>
      <c r="E1170" s="13" t="str">
        <f>+HYPERLINK("http://trademark.i-assist.jp/data/china/image_1910th/80140955.pdf","80140955")</f>
        <v>80140955</v>
      </c>
      <c r="F1170" s="9" t="s">
        <v>3337</v>
      </c>
      <c r="G1170" s="11" t="s">
        <v>3067</v>
      </c>
      <c r="H1170" s="9" t="s">
        <v>3338</v>
      </c>
      <c r="I1170" s="10">
        <v>45505</v>
      </c>
    </row>
    <row r="1171" spans="1:9" x14ac:dyDescent="0.15">
      <c r="A1171" s="9">
        <v>1170</v>
      </c>
      <c r="B1171" s="9" t="s">
        <v>9</v>
      </c>
      <c r="C1171" s="9">
        <v>1910</v>
      </c>
      <c r="D1171" s="10">
        <v>45602</v>
      </c>
      <c r="E1171" s="13" t="str">
        <f>+HYPERLINK("http://trademark.i-assist.jp/data/china/image_1910th/80141249.pdf","80141249")</f>
        <v>80141249</v>
      </c>
      <c r="F1171" s="11" t="s">
        <v>3339</v>
      </c>
      <c r="G1171" s="11" t="s">
        <v>139</v>
      </c>
      <c r="H1171" s="9" t="s">
        <v>3340</v>
      </c>
      <c r="I1171" s="10">
        <v>45505</v>
      </c>
    </row>
    <row r="1172" spans="1:9" x14ac:dyDescent="0.15">
      <c r="A1172" s="9">
        <v>1171</v>
      </c>
      <c r="B1172" s="9" t="s">
        <v>9</v>
      </c>
      <c r="C1172" s="9">
        <v>1910</v>
      </c>
      <c r="D1172" s="10">
        <v>45602</v>
      </c>
      <c r="E1172" s="13" t="str">
        <f>+HYPERLINK("http://trademark.i-assist.jp/data/china/image_1910th/80141263.pdf","80141263")</f>
        <v>80141263</v>
      </c>
      <c r="F1172" s="9" t="s">
        <v>3095</v>
      </c>
      <c r="G1172" s="9" t="s">
        <v>3096</v>
      </c>
      <c r="H1172" s="9" t="s">
        <v>3341</v>
      </c>
      <c r="I1172" s="10">
        <v>45505</v>
      </c>
    </row>
    <row r="1173" spans="1:9" x14ac:dyDescent="0.15">
      <c r="A1173" s="9">
        <v>1172</v>
      </c>
      <c r="B1173" s="9" t="s">
        <v>9</v>
      </c>
      <c r="C1173" s="9">
        <v>1910</v>
      </c>
      <c r="D1173" s="10">
        <v>45602</v>
      </c>
      <c r="E1173" s="13" t="str">
        <f>+HYPERLINK("http://trademark.i-assist.jp/data/china/image_1910th/80141640.pdf","80141640")</f>
        <v>80141640</v>
      </c>
      <c r="F1173" s="9" t="s">
        <v>3342</v>
      </c>
      <c r="G1173" s="9" t="s">
        <v>3343</v>
      </c>
      <c r="H1173" s="9" t="s">
        <v>3344</v>
      </c>
      <c r="I1173" s="10">
        <v>45506</v>
      </c>
    </row>
    <row r="1174" spans="1:9" x14ac:dyDescent="0.15">
      <c r="A1174" s="9">
        <v>1173</v>
      </c>
      <c r="B1174" s="9" t="s">
        <v>9</v>
      </c>
      <c r="C1174" s="9">
        <v>1910</v>
      </c>
      <c r="D1174" s="10">
        <v>45602</v>
      </c>
      <c r="E1174" s="13" t="str">
        <f>+HYPERLINK("http://trademark.i-assist.jp/data/china/image_1910th/80141693.pdf","80141693")</f>
        <v>80141693</v>
      </c>
      <c r="F1174" s="9" t="s">
        <v>3345</v>
      </c>
      <c r="G1174" s="9" t="s">
        <v>3346</v>
      </c>
      <c r="H1174" s="9" t="s">
        <v>3347</v>
      </c>
      <c r="I1174" s="10">
        <v>45506</v>
      </c>
    </row>
    <row r="1175" spans="1:9" x14ac:dyDescent="0.15">
      <c r="A1175" s="9">
        <v>1174</v>
      </c>
      <c r="B1175" s="9" t="s">
        <v>9</v>
      </c>
      <c r="C1175" s="9">
        <v>1910</v>
      </c>
      <c r="D1175" s="10">
        <v>45602</v>
      </c>
      <c r="E1175" s="13" t="str">
        <f>+HYPERLINK("http://trademark.i-assist.jp/data/china/image_1910th/80141973.pdf","80141973")</f>
        <v>80141973</v>
      </c>
      <c r="F1175" s="9" t="s">
        <v>3348</v>
      </c>
      <c r="G1175" s="9" t="s">
        <v>3349</v>
      </c>
      <c r="H1175" s="9" t="s">
        <v>3350</v>
      </c>
      <c r="I1175" s="10">
        <v>45506</v>
      </c>
    </row>
    <row r="1176" spans="1:9" x14ac:dyDescent="0.15">
      <c r="A1176" s="9">
        <v>1175</v>
      </c>
      <c r="B1176" s="9" t="s">
        <v>9</v>
      </c>
      <c r="C1176" s="9">
        <v>1910</v>
      </c>
      <c r="D1176" s="10">
        <v>45602</v>
      </c>
      <c r="E1176" s="13" t="str">
        <f>+HYPERLINK("http://trademark.i-assist.jp/data/china/image_1910th/80142133.pdf","80142133")</f>
        <v>80142133</v>
      </c>
      <c r="F1176" s="9" t="s">
        <v>3351</v>
      </c>
      <c r="G1176" s="9" t="s">
        <v>3352</v>
      </c>
      <c r="H1176" s="9" t="s">
        <v>3353</v>
      </c>
      <c r="I1176" s="10">
        <v>45506</v>
      </c>
    </row>
    <row r="1177" spans="1:9" x14ac:dyDescent="0.15">
      <c r="A1177" s="9">
        <v>1176</v>
      </c>
      <c r="B1177" s="9" t="s">
        <v>9</v>
      </c>
      <c r="C1177" s="9">
        <v>1910</v>
      </c>
      <c r="D1177" s="10">
        <v>45602</v>
      </c>
      <c r="E1177" s="13" t="str">
        <f>+HYPERLINK("http://trademark.i-assist.jp/data/china/image_1910th/80142169.pdf","80142169")</f>
        <v>80142169</v>
      </c>
      <c r="F1177" s="9" t="s">
        <v>3354</v>
      </c>
      <c r="G1177" s="11" t="s">
        <v>3355</v>
      </c>
      <c r="H1177" s="9" t="s">
        <v>3356</v>
      </c>
      <c r="I1177" s="10">
        <v>45506</v>
      </c>
    </row>
    <row r="1178" spans="1:9" x14ac:dyDescent="0.15">
      <c r="A1178" s="9">
        <v>1177</v>
      </c>
      <c r="B1178" s="9" t="s">
        <v>9</v>
      </c>
      <c r="C1178" s="9">
        <v>1910</v>
      </c>
      <c r="D1178" s="10">
        <v>45602</v>
      </c>
      <c r="E1178" s="13" t="str">
        <f>+HYPERLINK("http://trademark.i-assist.jp/data/china/image_1910th/80142358.pdf","80142358")</f>
        <v>80142358</v>
      </c>
      <c r="F1178" s="9" t="s">
        <v>3357</v>
      </c>
      <c r="G1178" s="9" t="s">
        <v>3358</v>
      </c>
      <c r="H1178" s="9" t="s">
        <v>3359</v>
      </c>
      <c r="I1178" s="10">
        <v>45506</v>
      </c>
    </row>
    <row r="1179" spans="1:9" x14ac:dyDescent="0.15">
      <c r="A1179" s="9">
        <v>1178</v>
      </c>
      <c r="B1179" s="9" t="s">
        <v>9</v>
      </c>
      <c r="C1179" s="9">
        <v>1910</v>
      </c>
      <c r="D1179" s="10">
        <v>45602</v>
      </c>
      <c r="E1179" s="13" t="str">
        <f>+HYPERLINK("http://trademark.i-assist.jp/data/china/image_1910th/80142377.pdf","80142377")</f>
        <v>80142377</v>
      </c>
      <c r="F1179" s="9" t="s">
        <v>3360</v>
      </c>
      <c r="G1179" s="11" t="s">
        <v>3361</v>
      </c>
      <c r="H1179" s="9" t="s">
        <v>3362</v>
      </c>
      <c r="I1179" s="10">
        <v>45506</v>
      </c>
    </row>
    <row r="1180" spans="1:9" x14ac:dyDescent="0.15">
      <c r="A1180" s="9">
        <v>1179</v>
      </c>
      <c r="B1180" s="9" t="s">
        <v>9</v>
      </c>
      <c r="C1180" s="9">
        <v>1910</v>
      </c>
      <c r="D1180" s="10">
        <v>45602</v>
      </c>
      <c r="E1180" s="13" t="str">
        <f>+HYPERLINK("http://trademark.i-assist.jp/data/china/image_1910th/80142405.pdf","80142405")</f>
        <v>80142405</v>
      </c>
      <c r="F1180" s="11" t="s">
        <v>3363</v>
      </c>
      <c r="G1180" s="11" t="s">
        <v>3364</v>
      </c>
      <c r="H1180" s="9" t="s">
        <v>3365</v>
      </c>
      <c r="I1180" s="10">
        <v>45506</v>
      </c>
    </row>
    <row r="1181" spans="1:9" x14ac:dyDescent="0.15">
      <c r="A1181" s="9">
        <v>1180</v>
      </c>
      <c r="B1181" s="9" t="s">
        <v>9</v>
      </c>
      <c r="C1181" s="9">
        <v>1910</v>
      </c>
      <c r="D1181" s="10">
        <v>45602</v>
      </c>
      <c r="E1181" s="13" t="str">
        <f>+HYPERLINK("http://trademark.i-assist.jp/data/china/image_1910th/80142406.pdf","80142406")</f>
        <v>80142406</v>
      </c>
      <c r="F1181" s="9" t="s">
        <v>3366</v>
      </c>
      <c r="G1181" s="9" t="s">
        <v>3367</v>
      </c>
      <c r="H1181" s="9" t="s">
        <v>3368</v>
      </c>
      <c r="I1181" s="10">
        <v>45506</v>
      </c>
    </row>
    <row r="1182" spans="1:9" x14ac:dyDescent="0.15">
      <c r="A1182" s="9">
        <v>1181</v>
      </c>
      <c r="B1182" s="9" t="s">
        <v>9</v>
      </c>
      <c r="C1182" s="9">
        <v>1910</v>
      </c>
      <c r="D1182" s="10">
        <v>45602</v>
      </c>
      <c r="E1182" s="13" t="str">
        <f>+HYPERLINK("http://trademark.i-assist.jp/data/china/image_1910th/80142486.pdf","80142486")</f>
        <v>80142486</v>
      </c>
      <c r="F1182" s="9" t="s">
        <v>3369</v>
      </c>
      <c r="G1182" s="9" t="s">
        <v>3370</v>
      </c>
      <c r="H1182" s="9" t="s">
        <v>3371</v>
      </c>
      <c r="I1182" s="10">
        <v>45506</v>
      </c>
    </row>
    <row r="1183" spans="1:9" x14ac:dyDescent="0.15">
      <c r="A1183" s="9">
        <v>1182</v>
      </c>
      <c r="B1183" s="9" t="s">
        <v>9</v>
      </c>
      <c r="C1183" s="9">
        <v>1910</v>
      </c>
      <c r="D1183" s="10">
        <v>45602</v>
      </c>
      <c r="E1183" s="13" t="str">
        <f>+HYPERLINK("http://trademark.i-assist.jp/data/china/image_1910th/80142580.pdf","80142580")</f>
        <v>80142580</v>
      </c>
      <c r="F1183" s="9" t="s">
        <v>3372</v>
      </c>
      <c r="G1183" s="9" t="s">
        <v>3373</v>
      </c>
      <c r="H1183" s="9" t="s">
        <v>3374</v>
      </c>
      <c r="I1183" s="10">
        <v>45506</v>
      </c>
    </row>
    <row r="1184" spans="1:9" x14ac:dyDescent="0.15">
      <c r="A1184" s="9">
        <v>1183</v>
      </c>
      <c r="B1184" s="9" t="s">
        <v>9</v>
      </c>
      <c r="C1184" s="9">
        <v>1910</v>
      </c>
      <c r="D1184" s="10">
        <v>45602</v>
      </c>
      <c r="E1184" s="13" t="str">
        <f>+HYPERLINK("http://trademark.i-assist.jp/data/china/image_1910th/80142617.pdf","80142617")</f>
        <v>80142617</v>
      </c>
      <c r="F1184" s="9" t="s">
        <v>3375</v>
      </c>
      <c r="G1184" s="9" t="s">
        <v>3376</v>
      </c>
      <c r="H1184" s="9" t="s">
        <v>3377</v>
      </c>
      <c r="I1184" s="10">
        <v>45506</v>
      </c>
    </row>
    <row r="1185" spans="1:9" x14ac:dyDescent="0.15">
      <c r="A1185" s="9">
        <v>1184</v>
      </c>
      <c r="B1185" s="9" t="s">
        <v>9</v>
      </c>
      <c r="C1185" s="9">
        <v>1910</v>
      </c>
      <c r="D1185" s="10">
        <v>45602</v>
      </c>
      <c r="E1185" s="13" t="str">
        <f>+HYPERLINK("http://trademark.i-assist.jp/data/china/image_1910th/80142625.pdf","80142625")</f>
        <v>80142625</v>
      </c>
      <c r="F1185" s="9" t="s">
        <v>3378</v>
      </c>
      <c r="G1185" s="9" t="s">
        <v>3376</v>
      </c>
      <c r="H1185" s="9" t="s">
        <v>3379</v>
      </c>
      <c r="I1185" s="10">
        <v>45506</v>
      </c>
    </row>
    <row r="1186" spans="1:9" x14ac:dyDescent="0.15">
      <c r="A1186" s="9">
        <v>1185</v>
      </c>
      <c r="B1186" s="9" t="s">
        <v>9</v>
      </c>
      <c r="C1186" s="9">
        <v>1910</v>
      </c>
      <c r="D1186" s="10">
        <v>45602</v>
      </c>
      <c r="E1186" s="13" t="str">
        <f>+HYPERLINK("http://trademark.i-assist.jp/data/china/image_1910th/80142799.pdf","80142799")</f>
        <v>80142799</v>
      </c>
      <c r="F1186" s="11" t="s">
        <v>3380</v>
      </c>
      <c r="G1186" s="11" t="s">
        <v>144</v>
      </c>
      <c r="H1186" s="9" t="s">
        <v>16</v>
      </c>
      <c r="I1186" s="10">
        <v>45506</v>
      </c>
    </row>
    <row r="1187" spans="1:9" x14ac:dyDescent="0.15">
      <c r="A1187" s="9">
        <v>1186</v>
      </c>
      <c r="B1187" s="9" t="s">
        <v>9</v>
      </c>
      <c r="C1187" s="9">
        <v>1910</v>
      </c>
      <c r="D1187" s="10">
        <v>45602</v>
      </c>
      <c r="E1187" s="13" t="str">
        <f>+HYPERLINK("http://trademark.i-assist.jp/data/china/image_1910th/80143198.pdf","80143198")</f>
        <v>80143198</v>
      </c>
      <c r="F1187" s="9" t="s">
        <v>3381</v>
      </c>
      <c r="G1187" s="11" t="s">
        <v>150</v>
      </c>
      <c r="H1187" s="9" t="s">
        <v>3382</v>
      </c>
      <c r="I1187" s="10">
        <v>45506</v>
      </c>
    </row>
    <row r="1188" spans="1:9" x14ac:dyDescent="0.15">
      <c r="A1188" s="9">
        <v>1187</v>
      </c>
      <c r="B1188" s="9" t="s">
        <v>9</v>
      </c>
      <c r="C1188" s="9">
        <v>1910</v>
      </c>
      <c r="D1188" s="10">
        <v>45602</v>
      </c>
      <c r="E1188" s="13" t="str">
        <f>+HYPERLINK("http://trademark.i-assist.jp/data/china/image_1910th/80143222.pdf","80143222")</f>
        <v>80143222</v>
      </c>
      <c r="F1188" s="11" t="s">
        <v>3383</v>
      </c>
      <c r="G1188" s="11" t="s">
        <v>3384</v>
      </c>
      <c r="H1188" s="9" t="s">
        <v>3385</v>
      </c>
      <c r="I1188" s="10">
        <v>45506</v>
      </c>
    </row>
    <row r="1189" spans="1:9" x14ac:dyDescent="0.15">
      <c r="A1189" s="9">
        <v>1188</v>
      </c>
      <c r="B1189" s="9" t="s">
        <v>9</v>
      </c>
      <c r="C1189" s="9">
        <v>1910</v>
      </c>
      <c r="D1189" s="10">
        <v>45602</v>
      </c>
      <c r="E1189" s="13" t="str">
        <f>+HYPERLINK("http://trademark.i-assist.jp/data/china/image_1910th/80143290.pdf","80143290")</f>
        <v>80143290</v>
      </c>
      <c r="F1189" s="11" t="s">
        <v>19</v>
      </c>
      <c r="G1189" s="9" t="s">
        <v>3386</v>
      </c>
      <c r="H1189" s="9" t="s">
        <v>3387</v>
      </c>
      <c r="I1189" s="10">
        <v>45506</v>
      </c>
    </row>
    <row r="1190" spans="1:9" x14ac:dyDescent="0.15">
      <c r="A1190" s="9">
        <v>1189</v>
      </c>
      <c r="B1190" s="9" t="s">
        <v>9</v>
      </c>
      <c r="C1190" s="9">
        <v>1910</v>
      </c>
      <c r="D1190" s="10">
        <v>45602</v>
      </c>
      <c r="E1190" s="13" t="str">
        <f>+HYPERLINK("http://trademark.i-assist.jp/data/china/image_1910th/80143649.pdf","80143649")</f>
        <v>80143649</v>
      </c>
      <c r="F1190" s="9" t="s">
        <v>3388</v>
      </c>
      <c r="G1190" s="9" t="s">
        <v>3389</v>
      </c>
      <c r="H1190" s="9" t="s">
        <v>3390</v>
      </c>
      <c r="I1190" s="10">
        <v>45506</v>
      </c>
    </row>
    <row r="1191" spans="1:9" x14ac:dyDescent="0.15">
      <c r="A1191" s="9">
        <v>1190</v>
      </c>
      <c r="B1191" s="9" t="s">
        <v>9</v>
      </c>
      <c r="C1191" s="9">
        <v>1910</v>
      </c>
      <c r="D1191" s="10">
        <v>45602</v>
      </c>
      <c r="E1191" s="13" t="str">
        <f>+HYPERLINK("http://trademark.i-assist.jp/data/china/image_1910th/80143808.pdf","80143808")</f>
        <v>80143808</v>
      </c>
      <c r="F1191" s="9" t="s">
        <v>3391</v>
      </c>
      <c r="G1191" s="9" t="s">
        <v>3392</v>
      </c>
      <c r="H1191" s="9" t="s">
        <v>3393</v>
      </c>
      <c r="I1191" s="10">
        <v>45506</v>
      </c>
    </row>
    <row r="1192" spans="1:9" x14ac:dyDescent="0.15">
      <c r="A1192" s="9">
        <v>1191</v>
      </c>
      <c r="B1192" s="9" t="s">
        <v>9</v>
      </c>
      <c r="C1192" s="9">
        <v>1910</v>
      </c>
      <c r="D1192" s="10">
        <v>45602</v>
      </c>
      <c r="E1192" s="13" t="str">
        <f>+HYPERLINK("http://trademark.i-assist.jp/data/china/image_1910th/80144030.pdf","80144030")</f>
        <v>80144030</v>
      </c>
      <c r="F1192" s="11" t="s">
        <v>3394</v>
      </c>
      <c r="G1192" s="9" t="s">
        <v>3395</v>
      </c>
      <c r="H1192" s="9" t="s">
        <v>3396</v>
      </c>
      <c r="I1192" s="10">
        <v>45506</v>
      </c>
    </row>
    <row r="1193" spans="1:9" x14ac:dyDescent="0.15">
      <c r="A1193" s="9">
        <v>1192</v>
      </c>
      <c r="B1193" s="9" t="s">
        <v>9</v>
      </c>
      <c r="C1193" s="9">
        <v>1910</v>
      </c>
      <c r="D1193" s="10">
        <v>45602</v>
      </c>
      <c r="E1193" s="13" t="str">
        <f>+HYPERLINK("http://trademark.i-assist.jp/data/china/image_1910th/80144094.pdf","80144094")</f>
        <v>80144094</v>
      </c>
      <c r="F1193" s="9" t="s">
        <v>3397</v>
      </c>
      <c r="G1193" s="9" t="s">
        <v>3398</v>
      </c>
      <c r="H1193" s="9" t="s">
        <v>3399</v>
      </c>
      <c r="I1193" s="10">
        <v>45506</v>
      </c>
    </row>
    <row r="1194" spans="1:9" x14ac:dyDescent="0.15">
      <c r="A1194" s="9">
        <v>1193</v>
      </c>
      <c r="B1194" s="9" t="s">
        <v>9</v>
      </c>
      <c r="C1194" s="9">
        <v>1910</v>
      </c>
      <c r="D1194" s="10">
        <v>45602</v>
      </c>
      <c r="E1194" s="13" t="str">
        <f>+HYPERLINK("http://trademark.i-assist.jp/data/china/image_1910th/80144357.pdf","80144357")</f>
        <v>80144357</v>
      </c>
      <c r="F1194" s="9" t="s">
        <v>3400</v>
      </c>
      <c r="G1194" s="9" t="s">
        <v>3401</v>
      </c>
      <c r="H1194" s="9" t="s">
        <v>3402</v>
      </c>
      <c r="I1194" s="10">
        <v>45506</v>
      </c>
    </row>
    <row r="1195" spans="1:9" x14ac:dyDescent="0.15">
      <c r="A1195" s="9">
        <v>1194</v>
      </c>
      <c r="B1195" s="9" t="s">
        <v>9</v>
      </c>
      <c r="C1195" s="9">
        <v>1910</v>
      </c>
      <c r="D1195" s="10">
        <v>45602</v>
      </c>
      <c r="E1195" s="13" t="str">
        <f>+HYPERLINK("http://trademark.i-assist.jp/data/china/image_1910th/80144392.pdf","80144392")</f>
        <v>80144392</v>
      </c>
      <c r="F1195" s="9" t="s">
        <v>3403</v>
      </c>
      <c r="G1195" s="9" t="s">
        <v>142</v>
      </c>
      <c r="H1195" s="9" t="s">
        <v>3404</v>
      </c>
      <c r="I1195" s="10">
        <v>45506</v>
      </c>
    </row>
    <row r="1196" spans="1:9" x14ac:dyDescent="0.15">
      <c r="A1196" s="9">
        <v>1195</v>
      </c>
      <c r="B1196" s="9" t="s">
        <v>9</v>
      </c>
      <c r="C1196" s="9">
        <v>1910</v>
      </c>
      <c r="D1196" s="10">
        <v>45602</v>
      </c>
      <c r="E1196" s="13" t="str">
        <f>+HYPERLINK("http://trademark.i-assist.jp/data/china/image_1910th/80144851.pdf","80144851")</f>
        <v>80144851</v>
      </c>
      <c r="F1196" s="9" t="s">
        <v>3405</v>
      </c>
      <c r="G1196" s="9" t="s">
        <v>3406</v>
      </c>
      <c r="H1196" s="9" t="s">
        <v>3407</v>
      </c>
      <c r="I1196" s="10">
        <v>45506</v>
      </c>
    </row>
    <row r="1197" spans="1:9" x14ac:dyDescent="0.15">
      <c r="A1197" s="9">
        <v>1196</v>
      </c>
      <c r="B1197" s="9" t="s">
        <v>9</v>
      </c>
      <c r="C1197" s="9">
        <v>1910</v>
      </c>
      <c r="D1197" s="10">
        <v>45602</v>
      </c>
      <c r="E1197" s="13" t="str">
        <f>+HYPERLINK("http://trademark.i-assist.jp/data/china/image_1910th/80144905.pdf","80144905")</f>
        <v>80144905</v>
      </c>
      <c r="F1197" s="9" t="s">
        <v>3408</v>
      </c>
      <c r="G1197" s="11" t="s">
        <v>3409</v>
      </c>
      <c r="H1197" s="9" t="s">
        <v>3410</v>
      </c>
      <c r="I1197" s="10">
        <v>45506</v>
      </c>
    </row>
    <row r="1198" spans="1:9" x14ac:dyDescent="0.15">
      <c r="A1198" s="9">
        <v>1197</v>
      </c>
      <c r="B1198" s="9" t="s">
        <v>9</v>
      </c>
      <c r="C1198" s="9">
        <v>1910</v>
      </c>
      <c r="D1198" s="10">
        <v>45602</v>
      </c>
      <c r="E1198" s="13" t="str">
        <f>+HYPERLINK("http://trademark.i-assist.jp/data/china/image_1910th/80144955.pdf","80144955")</f>
        <v>80144955</v>
      </c>
      <c r="F1198" s="9" t="s">
        <v>3411</v>
      </c>
      <c r="G1198" s="9" t="s">
        <v>3412</v>
      </c>
      <c r="H1198" s="9" t="s">
        <v>3413</v>
      </c>
      <c r="I1198" s="10">
        <v>45506</v>
      </c>
    </row>
    <row r="1199" spans="1:9" x14ac:dyDescent="0.15">
      <c r="A1199" s="9">
        <v>1198</v>
      </c>
      <c r="B1199" s="9" t="s">
        <v>9</v>
      </c>
      <c r="C1199" s="9">
        <v>1910</v>
      </c>
      <c r="D1199" s="10">
        <v>45602</v>
      </c>
      <c r="E1199" s="13" t="str">
        <f>+HYPERLINK("http://trademark.i-assist.jp/data/china/image_1910th/80145455.pdf","80145455")</f>
        <v>80145455</v>
      </c>
      <c r="F1199" s="11" t="s">
        <v>3414</v>
      </c>
      <c r="G1199" s="9" t="s">
        <v>3415</v>
      </c>
      <c r="H1199" s="9" t="s">
        <v>3416</v>
      </c>
      <c r="I1199" s="10">
        <v>45506</v>
      </c>
    </row>
    <row r="1200" spans="1:9" x14ac:dyDescent="0.15">
      <c r="A1200" s="9">
        <v>1199</v>
      </c>
      <c r="B1200" s="9" t="s">
        <v>9</v>
      </c>
      <c r="C1200" s="9">
        <v>1910</v>
      </c>
      <c r="D1200" s="10">
        <v>45602</v>
      </c>
      <c r="E1200" s="13" t="str">
        <f>+HYPERLINK("http://trademark.i-assist.jp/data/china/image_1910th/80145635.pdf","80145635")</f>
        <v>80145635</v>
      </c>
      <c r="F1200" s="11" t="s">
        <v>3417</v>
      </c>
      <c r="G1200" s="9" t="s">
        <v>3418</v>
      </c>
      <c r="H1200" s="9" t="s">
        <v>3419</v>
      </c>
      <c r="I1200" s="10">
        <v>45506</v>
      </c>
    </row>
    <row r="1201" spans="1:9" x14ac:dyDescent="0.15">
      <c r="A1201" s="9">
        <v>1200</v>
      </c>
      <c r="B1201" s="9" t="s">
        <v>9</v>
      </c>
      <c r="C1201" s="9">
        <v>1910</v>
      </c>
      <c r="D1201" s="10">
        <v>45602</v>
      </c>
      <c r="E1201" s="13" t="str">
        <f>+HYPERLINK("http://trademark.i-assist.jp/data/china/image_1910th/80145672.pdf","80145672")</f>
        <v>80145672</v>
      </c>
      <c r="F1201" s="11" t="s">
        <v>3420</v>
      </c>
      <c r="G1201" s="11" t="s">
        <v>3421</v>
      </c>
      <c r="H1201" s="9" t="s">
        <v>3422</v>
      </c>
      <c r="I1201" s="10">
        <v>45506</v>
      </c>
    </row>
    <row r="1202" spans="1:9" x14ac:dyDescent="0.15">
      <c r="A1202" s="9">
        <v>1201</v>
      </c>
      <c r="B1202" s="9" t="s">
        <v>9</v>
      </c>
      <c r="C1202" s="9">
        <v>1910</v>
      </c>
      <c r="D1202" s="10">
        <v>45602</v>
      </c>
      <c r="E1202" s="13" t="str">
        <f>+HYPERLINK("http://trademark.i-assist.jp/data/china/image_1910th/80145676.pdf","80145676")</f>
        <v>80145676</v>
      </c>
      <c r="F1202" s="9" t="s">
        <v>3423</v>
      </c>
      <c r="G1202" s="9" t="s">
        <v>3424</v>
      </c>
      <c r="H1202" s="9" t="s">
        <v>3425</v>
      </c>
      <c r="I1202" s="10">
        <v>45506</v>
      </c>
    </row>
    <row r="1203" spans="1:9" x14ac:dyDescent="0.15">
      <c r="A1203" s="9">
        <v>1202</v>
      </c>
      <c r="B1203" s="9" t="s">
        <v>9</v>
      </c>
      <c r="C1203" s="9">
        <v>1910</v>
      </c>
      <c r="D1203" s="10">
        <v>45602</v>
      </c>
      <c r="E1203" s="13" t="str">
        <f>+HYPERLINK("http://trademark.i-assist.jp/data/china/image_1910th/80145776.pdf","80145776")</f>
        <v>80145776</v>
      </c>
      <c r="F1203" s="9" t="s">
        <v>3426</v>
      </c>
      <c r="G1203" s="9" t="s">
        <v>3427</v>
      </c>
      <c r="H1203" s="9" t="s">
        <v>3428</v>
      </c>
      <c r="I1203" s="10">
        <v>45506</v>
      </c>
    </row>
    <row r="1204" spans="1:9" x14ac:dyDescent="0.15">
      <c r="A1204" s="9">
        <v>1203</v>
      </c>
      <c r="B1204" s="9" t="s">
        <v>9</v>
      </c>
      <c r="C1204" s="9">
        <v>1910</v>
      </c>
      <c r="D1204" s="10">
        <v>45602</v>
      </c>
      <c r="E1204" s="13" t="str">
        <f>+HYPERLINK("http://trademark.i-assist.jp/data/china/image_1910th/80145919.pdf","80145919")</f>
        <v>80145919</v>
      </c>
      <c r="F1204" s="9" t="s">
        <v>3429</v>
      </c>
      <c r="G1204" s="9" t="s">
        <v>3430</v>
      </c>
      <c r="H1204" s="9" t="s">
        <v>3431</v>
      </c>
      <c r="I1204" s="10">
        <v>45506</v>
      </c>
    </row>
    <row r="1205" spans="1:9" x14ac:dyDescent="0.15">
      <c r="A1205" s="9">
        <v>1204</v>
      </c>
      <c r="B1205" s="9" t="s">
        <v>9</v>
      </c>
      <c r="C1205" s="9">
        <v>1910</v>
      </c>
      <c r="D1205" s="10">
        <v>45602</v>
      </c>
      <c r="E1205" s="13" t="str">
        <f>+HYPERLINK("http://trademark.i-assist.jp/data/china/image_1910th/80146068.pdf","80146068")</f>
        <v>80146068</v>
      </c>
      <c r="F1205" s="9" t="s">
        <v>3432</v>
      </c>
      <c r="G1205" s="9" t="s">
        <v>3433</v>
      </c>
      <c r="H1205" s="9" t="s">
        <v>3434</v>
      </c>
      <c r="I1205" s="10">
        <v>45506</v>
      </c>
    </row>
    <row r="1206" spans="1:9" x14ac:dyDescent="0.15">
      <c r="A1206" s="9">
        <v>1205</v>
      </c>
      <c r="B1206" s="9" t="s">
        <v>9</v>
      </c>
      <c r="C1206" s="9">
        <v>1910</v>
      </c>
      <c r="D1206" s="10">
        <v>45602</v>
      </c>
      <c r="E1206" s="13" t="str">
        <f>+HYPERLINK("http://trademark.i-assist.jp/data/china/image_1910th/80146188.pdf","80146188")</f>
        <v>80146188</v>
      </c>
      <c r="F1206" s="9" t="s">
        <v>3435</v>
      </c>
      <c r="G1206" s="11" t="s">
        <v>3436</v>
      </c>
      <c r="H1206" s="9" t="s">
        <v>3437</v>
      </c>
      <c r="I1206" s="10">
        <v>45506</v>
      </c>
    </row>
    <row r="1207" spans="1:9" x14ac:dyDescent="0.15">
      <c r="A1207" s="9">
        <v>1206</v>
      </c>
      <c r="B1207" s="9" t="s">
        <v>9</v>
      </c>
      <c r="C1207" s="9">
        <v>1910</v>
      </c>
      <c r="D1207" s="10">
        <v>45602</v>
      </c>
      <c r="E1207" s="13" t="str">
        <f>+HYPERLINK("http://trademark.i-assist.jp/data/china/image_1910th/80146322.pdf","80146322")</f>
        <v>80146322</v>
      </c>
      <c r="F1207" s="9" t="s">
        <v>3438</v>
      </c>
      <c r="G1207" s="11" t="s">
        <v>3439</v>
      </c>
      <c r="H1207" s="9" t="s">
        <v>3440</v>
      </c>
      <c r="I1207" s="10">
        <v>45506</v>
      </c>
    </row>
    <row r="1208" spans="1:9" x14ac:dyDescent="0.15">
      <c r="A1208" s="9">
        <v>1207</v>
      </c>
      <c r="B1208" s="9" t="s">
        <v>9</v>
      </c>
      <c r="C1208" s="9">
        <v>1910</v>
      </c>
      <c r="D1208" s="10">
        <v>45602</v>
      </c>
      <c r="E1208" s="13" t="str">
        <f>+HYPERLINK("http://trademark.i-assist.jp/data/china/image_1910th/80146354.pdf","80146354")</f>
        <v>80146354</v>
      </c>
      <c r="F1208" s="9" t="s">
        <v>3441</v>
      </c>
      <c r="G1208" s="9" t="s">
        <v>3442</v>
      </c>
      <c r="H1208" s="9" t="s">
        <v>3443</v>
      </c>
      <c r="I1208" s="10">
        <v>45506</v>
      </c>
    </row>
    <row r="1209" spans="1:9" x14ac:dyDescent="0.15">
      <c r="A1209" s="9">
        <v>1208</v>
      </c>
      <c r="B1209" s="9" t="s">
        <v>9</v>
      </c>
      <c r="C1209" s="9">
        <v>1910</v>
      </c>
      <c r="D1209" s="10">
        <v>45602</v>
      </c>
      <c r="E1209" s="13" t="str">
        <f>+HYPERLINK("http://trademark.i-assist.jp/data/china/image_1910th/80146375.pdf","80146375")</f>
        <v>80146375</v>
      </c>
      <c r="F1209" s="11" t="s">
        <v>19</v>
      </c>
      <c r="G1209" s="11" t="s">
        <v>144</v>
      </c>
      <c r="H1209" s="9" t="s">
        <v>145</v>
      </c>
      <c r="I1209" s="10">
        <v>45506</v>
      </c>
    </row>
    <row r="1210" spans="1:9" x14ac:dyDescent="0.15">
      <c r="A1210" s="9">
        <v>1209</v>
      </c>
      <c r="B1210" s="9" t="s">
        <v>9</v>
      </c>
      <c r="C1210" s="9">
        <v>1910</v>
      </c>
      <c r="D1210" s="10">
        <v>45602</v>
      </c>
      <c r="E1210" s="13" t="str">
        <f>+HYPERLINK("http://trademark.i-assist.jp/data/china/image_1910th/80146481.pdf","80146481")</f>
        <v>80146481</v>
      </c>
      <c r="F1210" s="9" t="s">
        <v>3444</v>
      </c>
      <c r="G1210" s="9" t="s">
        <v>3445</v>
      </c>
      <c r="H1210" s="9" t="s">
        <v>3446</v>
      </c>
      <c r="I1210" s="10">
        <v>45506</v>
      </c>
    </row>
    <row r="1211" spans="1:9" x14ac:dyDescent="0.15">
      <c r="A1211" s="9">
        <v>1210</v>
      </c>
      <c r="B1211" s="9" t="s">
        <v>9</v>
      </c>
      <c r="C1211" s="9">
        <v>1910</v>
      </c>
      <c r="D1211" s="10">
        <v>45602</v>
      </c>
      <c r="E1211" s="13" t="str">
        <f>+HYPERLINK("http://trademark.i-assist.jp/data/china/image_1910th/80146631.pdf","80146631")</f>
        <v>80146631</v>
      </c>
      <c r="F1211" s="9" t="s">
        <v>3447</v>
      </c>
      <c r="G1211" s="9" t="s">
        <v>3448</v>
      </c>
      <c r="H1211" s="9" t="s">
        <v>3449</v>
      </c>
      <c r="I1211" s="10">
        <v>45506</v>
      </c>
    </row>
    <row r="1212" spans="1:9" x14ac:dyDescent="0.15">
      <c r="A1212" s="9">
        <v>1211</v>
      </c>
      <c r="B1212" s="9" t="s">
        <v>9</v>
      </c>
      <c r="C1212" s="9">
        <v>1910</v>
      </c>
      <c r="D1212" s="10">
        <v>45602</v>
      </c>
      <c r="E1212" s="13" t="str">
        <f>+HYPERLINK("http://trademark.i-assist.jp/data/china/image_1910th/80146783.pdf","80146783")</f>
        <v>80146783</v>
      </c>
      <c r="F1212" s="9" t="s">
        <v>3450</v>
      </c>
      <c r="G1212" s="9" t="s">
        <v>3451</v>
      </c>
      <c r="H1212" s="9" t="s">
        <v>3452</v>
      </c>
      <c r="I1212" s="10">
        <v>45506</v>
      </c>
    </row>
    <row r="1213" spans="1:9" x14ac:dyDescent="0.15">
      <c r="A1213" s="9">
        <v>1212</v>
      </c>
      <c r="B1213" s="9" t="s">
        <v>9</v>
      </c>
      <c r="C1213" s="9">
        <v>1910</v>
      </c>
      <c r="D1213" s="10">
        <v>45602</v>
      </c>
      <c r="E1213" s="13" t="str">
        <f>+HYPERLINK("http://trademark.i-assist.jp/data/china/image_1910th/80146911.pdf","80146911")</f>
        <v>80146911</v>
      </c>
      <c r="F1213" s="9" t="s">
        <v>3453</v>
      </c>
      <c r="G1213" s="9" t="s">
        <v>3454</v>
      </c>
      <c r="H1213" s="11" t="s">
        <v>3455</v>
      </c>
      <c r="I1213" s="10">
        <v>45506</v>
      </c>
    </row>
    <row r="1214" spans="1:9" x14ac:dyDescent="0.15">
      <c r="A1214" s="9">
        <v>1213</v>
      </c>
      <c r="B1214" s="9" t="s">
        <v>9</v>
      </c>
      <c r="C1214" s="9">
        <v>1910</v>
      </c>
      <c r="D1214" s="10">
        <v>45602</v>
      </c>
      <c r="E1214" s="13" t="str">
        <f>+HYPERLINK("http://trademark.i-assist.jp/data/china/image_1910th/80146957.pdf","80146957")</f>
        <v>80146957</v>
      </c>
      <c r="F1214" s="9" t="s">
        <v>3456</v>
      </c>
      <c r="G1214" s="9" t="s">
        <v>3457</v>
      </c>
      <c r="H1214" s="9" t="s">
        <v>3458</v>
      </c>
      <c r="I1214" s="10">
        <v>45506</v>
      </c>
    </row>
    <row r="1215" spans="1:9" x14ac:dyDescent="0.15">
      <c r="A1215" s="9">
        <v>1214</v>
      </c>
      <c r="B1215" s="9" t="s">
        <v>9</v>
      </c>
      <c r="C1215" s="9">
        <v>1910</v>
      </c>
      <c r="D1215" s="10">
        <v>45602</v>
      </c>
      <c r="E1215" s="13" t="str">
        <f>+HYPERLINK("http://trademark.i-assist.jp/data/china/image_1910th/80147075.pdf","80147075")</f>
        <v>80147075</v>
      </c>
      <c r="F1215" s="9" t="s">
        <v>3459</v>
      </c>
      <c r="G1215" s="9" t="s">
        <v>3460</v>
      </c>
      <c r="H1215" s="9" t="s">
        <v>3461</v>
      </c>
      <c r="I1215" s="10">
        <v>45506</v>
      </c>
    </row>
    <row r="1216" spans="1:9" x14ac:dyDescent="0.15">
      <c r="A1216" s="9">
        <v>1215</v>
      </c>
      <c r="B1216" s="9" t="s">
        <v>9</v>
      </c>
      <c r="C1216" s="9">
        <v>1910</v>
      </c>
      <c r="D1216" s="10">
        <v>45602</v>
      </c>
      <c r="E1216" s="13" t="str">
        <f>+HYPERLINK("http://trademark.i-assist.jp/data/china/image_1910th/80147128.pdf","80147128")</f>
        <v>80147128</v>
      </c>
      <c r="F1216" s="9" t="s">
        <v>3462</v>
      </c>
      <c r="G1216" s="9" t="s">
        <v>3463</v>
      </c>
      <c r="H1216" s="9" t="s">
        <v>3464</v>
      </c>
      <c r="I1216" s="10">
        <v>45506</v>
      </c>
    </row>
    <row r="1217" spans="1:9" x14ac:dyDescent="0.15">
      <c r="A1217" s="9">
        <v>1216</v>
      </c>
      <c r="B1217" s="9" t="s">
        <v>9</v>
      </c>
      <c r="C1217" s="9">
        <v>1910</v>
      </c>
      <c r="D1217" s="10">
        <v>45602</v>
      </c>
      <c r="E1217" s="13" t="str">
        <f>+HYPERLINK("http://trademark.i-assist.jp/data/china/image_1910th/80147308.pdf","80147308")</f>
        <v>80147308</v>
      </c>
      <c r="F1217" s="11" t="s">
        <v>3465</v>
      </c>
      <c r="G1217" s="9" t="s">
        <v>3466</v>
      </c>
      <c r="H1217" s="9" t="s">
        <v>3467</v>
      </c>
      <c r="I1217" s="10">
        <v>45506</v>
      </c>
    </row>
    <row r="1218" spans="1:9" x14ac:dyDescent="0.15">
      <c r="A1218" s="9">
        <v>1217</v>
      </c>
      <c r="B1218" s="9" t="s">
        <v>9</v>
      </c>
      <c r="C1218" s="9">
        <v>1910</v>
      </c>
      <c r="D1218" s="10">
        <v>45602</v>
      </c>
      <c r="E1218" s="13" t="str">
        <f>+HYPERLINK("http://trademark.i-assist.jp/data/china/image_1910th/80147391.pdf","80147391")</f>
        <v>80147391</v>
      </c>
      <c r="F1218" s="11" t="s">
        <v>3468</v>
      </c>
      <c r="G1218" s="9" t="s">
        <v>3469</v>
      </c>
      <c r="H1218" s="9" t="s">
        <v>3470</v>
      </c>
      <c r="I1218" s="10">
        <v>45506</v>
      </c>
    </row>
    <row r="1219" spans="1:9" x14ac:dyDescent="0.15">
      <c r="A1219" s="9">
        <v>1218</v>
      </c>
      <c r="B1219" s="9" t="s">
        <v>9</v>
      </c>
      <c r="C1219" s="9">
        <v>1910</v>
      </c>
      <c r="D1219" s="10">
        <v>45602</v>
      </c>
      <c r="E1219" s="13" t="str">
        <f>+HYPERLINK("http://trademark.i-assist.jp/data/china/image_1910th/80147443.pdf","80147443")</f>
        <v>80147443</v>
      </c>
      <c r="F1219" s="9" t="s">
        <v>3471</v>
      </c>
      <c r="G1219" s="9" t="s">
        <v>3472</v>
      </c>
      <c r="H1219" s="9" t="s">
        <v>3473</v>
      </c>
      <c r="I1219" s="10">
        <v>45506</v>
      </c>
    </row>
    <row r="1220" spans="1:9" x14ac:dyDescent="0.15">
      <c r="A1220" s="9">
        <v>1219</v>
      </c>
      <c r="B1220" s="9" t="s">
        <v>9</v>
      </c>
      <c r="C1220" s="9">
        <v>1910</v>
      </c>
      <c r="D1220" s="10">
        <v>45602</v>
      </c>
      <c r="E1220" s="13" t="str">
        <f>+HYPERLINK("http://trademark.i-assist.jp/data/china/image_1910th/80147465.pdf","80147465")</f>
        <v>80147465</v>
      </c>
      <c r="F1220" s="11" t="s">
        <v>3474</v>
      </c>
      <c r="G1220" s="9" t="s">
        <v>3475</v>
      </c>
      <c r="H1220" s="9" t="s">
        <v>3476</v>
      </c>
      <c r="I1220" s="10">
        <v>45506</v>
      </c>
    </row>
    <row r="1221" spans="1:9" x14ac:dyDescent="0.15">
      <c r="A1221" s="9">
        <v>1220</v>
      </c>
      <c r="B1221" s="9" t="s">
        <v>9</v>
      </c>
      <c r="C1221" s="9">
        <v>1910</v>
      </c>
      <c r="D1221" s="10">
        <v>45602</v>
      </c>
      <c r="E1221" s="13" t="str">
        <f>+HYPERLINK("http://trademark.i-assist.jp/data/china/image_1910th/80148309.pdf","80148309")</f>
        <v>80148309</v>
      </c>
      <c r="F1221" s="9" t="s">
        <v>3477</v>
      </c>
      <c r="G1221" s="9" t="s">
        <v>3478</v>
      </c>
      <c r="H1221" s="11" t="s">
        <v>3479</v>
      </c>
      <c r="I1221" s="10">
        <v>45506</v>
      </c>
    </row>
    <row r="1222" spans="1:9" x14ac:dyDescent="0.15">
      <c r="A1222" s="9">
        <v>1221</v>
      </c>
      <c r="B1222" s="9" t="s">
        <v>9</v>
      </c>
      <c r="C1222" s="9">
        <v>1910</v>
      </c>
      <c r="D1222" s="10">
        <v>45602</v>
      </c>
      <c r="E1222" s="13" t="str">
        <f>+HYPERLINK("http://trademark.i-assist.jp/data/china/image_1910th/80148445.pdf","80148445")</f>
        <v>80148445</v>
      </c>
      <c r="F1222" s="11" t="s">
        <v>3480</v>
      </c>
      <c r="G1222" s="9" t="s">
        <v>134</v>
      </c>
      <c r="H1222" s="9" t="s">
        <v>3481</v>
      </c>
      <c r="I1222" s="10">
        <v>45506</v>
      </c>
    </row>
    <row r="1223" spans="1:9" x14ac:dyDescent="0.15">
      <c r="A1223" s="9">
        <v>1222</v>
      </c>
      <c r="B1223" s="9" t="s">
        <v>9</v>
      </c>
      <c r="C1223" s="9">
        <v>1910</v>
      </c>
      <c r="D1223" s="10">
        <v>45602</v>
      </c>
      <c r="E1223" s="13" t="str">
        <f>+HYPERLINK("http://trademark.i-assist.jp/data/china/image_1910th/80148694.pdf","80148694")</f>
        <v>80148694</v>
      </c>
      <c r="F1223" s="9" t="s">
        <v>3482</v>
      </c>
      <c r="G1223" s="9" t="s">
        <v>3483</v>
      </c>
      <c r="H1223" s="9" t="s">
        <v>3484</v>
      </c>
      <c r="I1223" s="10">
        <v>45506</v>
      </c>
    </row>
    <row r="1224" spans="1:9" x14ac:dyDescent="0.15">
      <c r="A1224" s="9">
        <v>1223</v>
      </c>
      <c r="B1224" s="9" t="s">
        <v>9</v>
      </c>
      <c r="C1224" s="9">
        <v>1910</v>
      </c>
      <c r="D1224" s="10">
        <v>45602</v>
      </c>
      <c r="E1224" s="13" t="str">
        <f>+HYPERLINK("http://trademark.i-assist.jp/data/china/image_1910th/80148715.pdf","80148715")</f>
        <v>80148715</v>
      </c>
      <c r="F1224" s="9" t="s">
        <v>3485</v>
      </c>
      <c r="G1224" s="11" t="s">
        <v>3486</v>
      </c>
      <c r="H1224" s="9" t="s">
        <v>3487</v>
      </c>
      <c r="I1224" s="10">
        <v>45506</v>
      </c>
    </row>
    <row r="1225" spans="1:9" x14ac:dyDescent="0.15">
      <c r="A1225" s="9">
        <v>1224</v>
      </c>
      <c r="B1225" s="9" t="s">
        <v>9</v>
      </c>
      <c r="C1225" s="9">
        <v>1910</v>
      </c>
      <c r="D1225" s="10">
        <v>45602</v>
      </c>
      <c r="E1225" s="13" t="str">
        <f>+HYPERLINK("http://trademark.i-assist.jp/data/china/image_1910th/80149017.pdf","80149017")</f>
        <v>80149017</v>
      </c>
      <c r="F1225" s="9" t="s">
        <v>3488</v>
      </c>
      <c r="G1225" s="9" t="s">
        <v>3489</v>
      </c>
      <c r="H1225" s="9" t="s">
        <v>3490</v>
      </c>
      <c r="I1225" s="10">
        <v>45506</v>
      </c>
    </row>
    <row r="1226" spans="1:9" x14ac:dyDescent="0.15">
      <c r="A1226" s="9">
        <v>1225</v>
      </c>
      <c r="B1226" s="9" t="s">
        <v>9</v>
      </c>
      <c r="C1226" s="9">
        <v>1910</v>
      </c>
      <c r="D1226" s="10">
        <v>45602</v>
      </c>
      <c r="E1226" s="13" t="str">
        <f>+HYPERLINK("http://trademark.i-assist.jp/data/china/image_1910th/80149024.pdf","80149024")</f>
        <v>80149024</v>
      </c>
      <c r="F1226" s="11" t="s">
        <v>3491</v>
      </c>
      <c r="G1226" s="9" t="s">
        <v>3492</v>
      </c>
      <c r="H1226" s="9" t="s">
        <v>3493</v>
      </c>
      <c r="I1226" s="10">
        <v>45506</v>
      </c>
    </row>
    <row r="1227" spans="1:9" x14ac:dyDescent="0.15">
      <c r="A1227" s="9">
        <v>1226</v>
      </c>
      <c r="B1227" s="9" t="s">
        <v>9</v>
      </c>
      <c r="C1227" s="9">
        <v>1910</v>
      </c>
      <c r="D1227" s="10">
        <v>45602</v>
      </c>
      <c r="E1227" s="13" t="str">
        <f>+HYPERLINK("http://trademark.i-assist.jp/data/china/image_1910th/80149221.pdf","80149221")</f>
        <v>80149221</v>
      </c>
      <c r="F1227" s="9" t="s">
        <v>3494</v>
      </c>
      <c r="G1227" s="9" t="s">
        <v>3495</v>
      </c>
      <c r="H1227" s="9" t="s">
        <v>3496</v>
      </c>
      <c r="I1227" s="10">
        <v>45506</v>
      </c>
    </row>
    <row r="1228" spans="1:9" x14ac:dyDescent="0.15">
      <c r="A1228" s="9">
        <v>1227</v>
      </c>
      <c r="B1228" s="9" t="s">
        <v>9</v>
      </c>
      <c r="C1228" s="9">
        <v>1910</v>
      </c>
      <c r="D1228" s="10">
        <v>45602</v>
      </c>
      <c r="E1228" s="13" t="str">
        <f>+HYPERLINK("http://trademark.i-assist.jp/data/china/image_1910th/80149336.pdf","80149336")</f>
        <v>80149336</v>
      </c>
      <c r="F1228" s="9" t="s">
        <v>3497</v>
      </c>
      <c r="G1228" s="9" t="s">
        <v>3498</v>
      </c>
      <c r="H1228" s="9" t="s">
        <v>3499</v>
      </c>
      <c r="I1228" s="10">
        <v>45506</v>
      </c>
    </row>
    <row r="1229" spans="1:9" x14ac:dyDescent="0.15">
      <c r="A1229" s="9">
        <v>1228</v>
      </c>
      <c r="B1229" s="9" t="s">
        <v>9</v>
      </c>
      <c r="C1229" s="9">
        <v>1910</v>
      </c>
      <c r="D1229" s="10">
        <v>45602</v>
      </c>
      <c r="E1229" s="13" t="str">
        <f>+HYPERLINK("http://trademark.i-assist.jp/data/china/image_1910th/80149512.pdf","80149512")</f>
        <v>80149512</v>
      </c>
      <c r="F1229" s="11" t="s">
        <v>3500</v>
      </c>
      <c r="G1229" s="9" t="s">
        <v>3501</v>
      </c>
      <c r="H1229" s="9" t="s">
        <v>3502</v>
      </c>
      <c r="I1229" s="10">
        <v>45506</v>
      </c>
    </row>
    <row r="1230" spans="1:9" x14ac:dyDescent="0.15">
      <c r="A1230" s="9">
        <v>1229</v>
      </c>
      <c r="B1230" s="9" t="s">
        <v>9</v>
      </c>
      <c r="C1230" s="9">
        <v>1910</v>
      </c>
      <c r="D1230" s="10">
        <v>45602</v>
      </c>
      <c r="E1230" s="13" t="str">
        <f>+HYPERLINK("http://trademark.i-assist.jp/data/china/image_1910th/80149605.pdf","80149605")</f>
        <v>80149605</v>
      </c>
      <c r="F1230" s="11" t="s">
        <v>19</v>
      </c>
      <c r="G1230" s="9" t="s">
        <v>3503</v>
      </c>
      <c r="H1230" s="9" t="s">
        <v>3504</v>
      </c>
      <c r="I1230" s="10">
        <v>45506</v>
      </c>
    </row>
    <row r="1231" spans="1:9" x14ac:dyDescent="0.15">
      <c r="A1231" s="9">
        <v>1230</v>
      </c>
      <c r="B1231" s="9" t="s">
        <v>9</v>
      </c>
      <c r="C1231" s="9">
        <v>1910</v>
      </c>
      <c r="D1231" s="10">
        <v>45602</v>
      </c>
      <c r="E1231" s="13" t="str">
        <f>+HYPERLINK("http://trademark.i-assist.jp/data/china/image_1910th/80149781.pdf","80149781")</f>
        <v>80149781</v>
      </c>
      <c r="F1231" s="11" t="s">
        <v>3505</v>
      </c>
      <c r="G1231" s="9" t="s">
        <v>3506</v>
      </c>
      <c r="H1231" s="9" t="s">
        <v>3507</v>
      </c>
      <c r="I1231" s="10">
        <v>45506</v>
      </c>
    </row>
    <row r="1232" spans="1:9" x14ac:dyDescent="0.15">
      <c r="A1232" s="9">
        <v>1231</v>
      </c>
      <c r="B1232" s="9" t="s">
        <v>9</v>
      </c>
      <c r="C1232" s="9">
        <v>1910</v>
      </c>
      <c r="D1232" s="10">
        <v>45602</v>
      </c>
      <c r="E1232" s="13" t="str">
        <f>+HYPERLINK("http://trademark.i-assist.jp/data/china/image_1910th/80149908.pdf","80149908")</f>
        <v>80149908</v>
      </c>
      <c r="F1232" s="9" t="s">
        <v>3508</v>
      </c>
      <c r="G1232" s="9" t="s">
        <v>3509</v>
      </c>
      <c r="H1232" s="11" t="s">
        <v>3510</v>
      </c>
      <c r="I1232" s="10">
        <v>45506</v>
      </c>
    </row>
    <row r="1233" spans="1:9" x14ac:dyDescent="0.15">
      <c r="A1233" s="9">
        <v>1232</v>
      </c>
      <c r="B1233" s="9" t="s">
        <v>9</v>
      </c>
      <c r="C1233" s="9">
        <v>1910</v>
      </c>
      <c r="D1233" s="10">
        <v>45602</v>
      </c>
      <c r="E1233" s="13" t="str">
        <f>+HYPERLINK("http://trademark.i-assist.jp/data/china/image_1910th/80149917.pdf","80149917")</f>
        <v>80149917</v>
      </c>
      <c r="F1233" s="11" t="s">
        <v>19</v>
      </c>
      <c r="G1233" s="11" t="s">
        <v>3511</v>
      </c>
      <c r="H1233" s="9" t="s">
        <v>3512</v>
      </c>
      <c r="I1233" s="10">
        <v>45506</v>
      </c>
    </row>
    <row r="1234" spans="1:9" x14ac:dyDescent="0.15">
      <c r="A1234" s="9">
        <v>1233</v>
      </c>
      <c r="B1234" s="9" t="s">
        <v>9</v>
      </c>
      <c r="C1234" s="9">
        <v>1910</v>
      </c>
      <c r="D1234" s="10">
        <v>45602</v>
      </c>
      <c r="E1234" s="13" t="str">
        <f>+HYPERLINK("http://trademark.i-assist.jp/data/china/image_1910th/80150218.pdf","80150218")</f>
        <v>80150218</v>
      </c>
      <c r="F1234" s="11" t="s">
        <v>3513</v>
      </c>
      <c r="G1234" s="9" t="s">
        <v>99</v>
      </c>
      <c r="H1234" s="9" t="s">
        <v>3514</v>
      </c>
      <c r="I1234" s="10">
        <v>45506</v>
      </c>
    </row>
    <row r="1235" spans="1:9" x14ac:dyDescent="0.15">
      <c r="A1235" s="9">
        <v>1234</v>
      </c>
      <c r="B1235" s="9" t="s">
        <v>9</v>
      </c>
      <c r="C1235" s="9">
        <v>1910</v>
      </c>
      <c r="D1235" s="10">
        <v>45602</v>
      </c>
      <c r="E1235" s="13" t="str">
        <f>+HYPERLINK("http://trademark.i-assist.jp/data/china/image_1910th/80150288.pdf","80150288")</f>
        <v>80150288</v>
      </c>
      <c r="F1235" s="9" t="s">
        <v>3515</v>
      </c>
      <c r="G1235" s="11" t="s">
        <v>3516</v>
      </c>
      <c r="H1235" s="11" t="s">
        <v>3517</v>
      </c>
      <c r="I1235" s="10">
        <v>45506</v>
      </c>
    </row>
    <row r="1236" spans="1:9" x14ac:dyDescent="0.15">
      <c r="A1236" s="9">
        <v>1235</v>
      </c>
      <c r="B1236" s="9" t="s">
        <v>9</v>
      </c>
      <c r="C1236" s="9">
        <v>1910</v>
      </c>
      <c r="D1236" s="10">
        <v>45602</v>
      </c>
      <c r="E1236" s="13" t="str">
        <f>+HYPERLINK("http://trademark.i-assist.jp/data/china/image_1910th/80150618.pdf","80150618")</f>
        <v>80150618</v>
      </c>
      <c r="F1236" s="9" t="s">
        <v>148</v>
      </c>
      <c r="G1236" s="9" t="s">
        <v>149</v>
      </c>
      <c r="H1236" s="9" t="s">
        <v>3518</v>
      </c>
      <c r="I1236" s="10">
        <v>45506</v>
      </c>
    </row>
    <row r="1237" spans="1:9" x14ac:dyDescent="0.15">
      <c r="A1237" s="9">
        <v>1236</v>
      </c>
      <c r="B1237" s="9" t="s">
        <v>9</v>
      </c>
      <c r="C1237" s="9">
        <v>1910</v>
      </c>
      <c r="D1237" s="10">
        <v>45602</v>
      </c>
      <c r="E1237" s="13" t="str">
        <f>+HYPERLINK("http://trademark.i-assist.jp/data/china/image_1910th/80150943.pdf","80150943")</f>
        <v>80150943</v>
      </c>
      <c r="F1237" s="9" t="s">
        <v>3519</v>
      </c>
      <c r="G1237" s="9" t="s">
        <v>3520</v>
      </c>
      <c r="H1237" s="9" t="s">
        <v>3521</v>
      </c>
      <c r="I1237" s="10">
        <v>45506</v>
      </c>
    </row>
    <row r="1238" spans="1:9" x14ac:dyDescent="0.15">
      <c r="A1238" s="9">
        <v>1237</v>
      </c>
      <c r="B1238" s="9" t="s">
        <v>9</v>
      </c>
      <c r="C1238" s="9">
        <v>1910</v>
      </c>
      <c r="D1238" s="10">
        <v>45602</v>
      </c>
      <c r="E1238" s="13" t="str">
        <f>+HYPERLINK("http://trademark.i-assist.jp/data/china/image_1910th/80151084.pdf","80151084")</f>
        <v>80151084</v>
      </c>
      <c r="F1238" s="9" t="s">
        <v>3522</v>
      </c>
      <c r="G1238" s="9" t="s">
        <v>3523</v>
      </c>
      <c r="H1238" s="9" t="s">
        <v>3524</v>
      </c>
      <c r="I1238" s="10">
        <v>45506</v>
      </c>
    </row>
    <row r="1239" spans="1:9" x14ac:dyDescent="0.15">
      <c r="A1239" s="9">
        <v>1238</v>
      </c>
      <c r="B1239" s="9" t="s">
        <v>9</v>
      </c>
      <c r="C1239" s="9">
        <v>1910</v>
      </c>
      <c r="D1239" s="10">
        <v>45602</v>
      </c>
      <c r="E1239" s="13" t="str">
        <f>+HYPERLINK("http://trademark.i-assist.jp/data/china/image_1910th/80151122.pdf","80151122")</f>
        <v>80151122</v>
      </c>
      <c r="F1239" s="9" t="s">
        <v>3525</v>
      </c>
      <c r="G1239" s="11" t="s">
        <v>3526</v>
      </c>
      <c r="H1239" s="9" t="s">
        <v>3527</v>
      </c>
      <c r="I1239" s="10">
        <v>45506</v>
      </c>
    </row>
    <row r="1240" spans="1:9" x14ac:dyDescent="0.15">
      <c r="A1240" s="9">
        <v>1239</v>
      </c>
      <c r="B1240" s="9" t="s">
        <v>9</v>
      </c>
      <c r="C1240" s="9">
        <v>1910</v>
      </c>
      <c r="D1240" s="10">
        <v>45602</v>
      </c>
      <c r="E1240" s="13" t="str">
        <f>+HYPERLINK("http://trademark.i-assist.jp/data/china/image_1910th/80151215.pdf","80151215")</f>
        <v>80151215</v>
      </c>
      <c r="F1240" s="9" t="s">
        <v>3528</v>
      </c>
      <c r="G1240" s="9" t="s">
        <v>123</v>
      </c>
      <c r="H1240" s="9" t="s">
        <v>3529</v>
      </c>
      <c r="I1240" s="10">
        <v>45506</v>
      </c>
    </row>
    <row r="1241" spans="1:9" x14ac:dyDescent="0.15">
      <c r="A1241" s="9">
        <v>1240</v>
      </c>
      <c r="B1241" s="9" t="s">
        <v>9</v>
      </c>
      <c r="C1241" s="9">
        <v>1910</v>
      </c>
      <c r="D1241" s="10">
        <v>45602</v>
      </c>
      <c r="E1241" s="13" t="str">
        <f>+HYPERLINK("http://trademark.i-assist.jp/data/china/image_1910th/80151638.pdf","80151638")</f>
        <v>80151638</v>
      </c>
      <c r="F1241" s="11" t="s">
        <v>3530</v>
      </c>
      <c r="G1241" s="9" t="s">
        <v>3531</v>
      </c>
      <c r="H1241" s="9" t="s">
        <v>3532</v>
      </c>
      <c r="I1241" s="10">
        <v>45506</v>
      </c>
    </row>
    <row r="1242" spans="1:9" x14ac:dyDescent="0.15">
      <c r="A1242" s="9">
        <v>1241</v>
      </c>
      <c r="B1242" s="9" t="s">
        <v>9</v>
      </c>
      <c r="C1242" s="9">
        <v>1910</v>
      </c>
      <c r="D1242" s="10">
        <v>45602</v>
      </c>
      <c r="E1242" s="13" t="str">
        <f>+HYPERLINK("http://trademark.i-assist.jp/data/china/image_1910th/80151705.pdf","80151705")</f>
        <v>80151705</v>
      </c>
      <c r="F1242" s="9" t="s">
        <v>3533</v>
      </c>
      <c r="G1242" s="11" t="s">
        <v>3534</v>
      </c>
      <c r="H1242" s="9" t="s">
        <v>3535</v>
      </c>
      <c r="I1242" s="10">
        <v>45506</v>
      </c>
    </row>
    <row r="1243" spans="1:9" x14ac:dyDescent="0.15">
      <c r="A1243" s="9">
        <v>1242</v>
      </c>
      <c r="B1243" s="9" t="s">
        <v>9</v>
      </c>
      <c r="C1243" s="9">
        <v>1910</v>
      </c>
      <c r="D1243" s="10">
        <v>45602</v>
      </c>
      <c r="E1243" s="13" t="str">
        <f>+HYPERLINK("http://trademark.i-assist.jp/data/china/image_1910th/80151720.pdf","80151720")</f>
        <v>80151720</v>
      </c>
      <c r="F1243" s="9" t="s">
        <v>3536</v>
      </c>
      <c r="G1243" s="11" t="s">
        <v>3537</v>
      </c>
      <c r="H1243" s="9" t="s">
        <v>3538</v>
      </c>
      <c r="I1243" s="10">
        <v>45506</v>
      </c>
    </row>
    <row r="1244" spans="1:9" x14ac:dyDescent="0.15">
      <c r="A1244" s="9">
        <v>1243</v>
      </c>
      <c r="B1244" s="9" t="s">
        <v>9</v>
      </c>
      <c r="C1244" s="9">
        <v>1910</v>
      </c>
      <c r="D1244" s="10">
        <v>45602</v>
      </c>
      <c r="E1244" s="13" t="str">
        <f>+HYPERLINK("http://trademark.i-assist.jp/data/china/image_1910th/80152204.pdf","80152204")</f>
        <v>80152204</v>
      </c>
      <c r="F1244" s="9" t="s">
        <v>3539</v>
      </c>
      <c r="G1244" s="9" t="s">
        <v>3540</v>
      </c>
      <c r="H1244" s="9" t="s">
        <v>3541</v>
      </c>
      <c r="I1244" s="10">
        <v>45506</v>
      </c>
    </row>
    <row r="1245" spans="1:9" x14ac:dyDescent="0.15">
      <c r="A1245" s="9">
        <v>1244</v>
      </c>
      <c r="B1245" s="9" t="s">
        <v>9</v>
      </c>
      <c r="C1245" s="9">
        <v>1910</v>
      </c>
      <c r="D1245" s="10">
        <v>45602</v>
      </c>
      <c r="E1245" s="13" t="str">
        <f>+HYPERLINK("http://trademark.i-assist.jp/data/china/image_1910th/80152243.pdf","80152243")</f>
        <v>80152243</v>
      </c>
      <c r="F1245" s="9" t="s">
        <v>3542</v>
      </c>
      <c r="G1245" s="9" t="s">
        <v>3543</v>
      </c>
      <c r="H1245" s="9" t="s">
        <v>3544</v>
      </c>
      <c r="I1245" s="10">
        <v>45506</v>
      </c>
    </row>
    <row r="1246" spans="1:9" x14ac:dyDescent="0.15">
      <c r="A1246" s="9">
        <v>1245</v>
      </c>
      <c r="B1246" s="9" t="s">
        <v>9</v>
      </c>
      <c r="C1246" s="9">
        <v>1910</v>
      </c>
      <c r="D1246" s="10">
        <v>45602</v>
      </c>
      <c r="E1246" s="13" t="str">
        <f>+HYPERLINK("http://trademark.i-assist.jp/data/china/image_1910th/80152418.pdf","80152418")</f>
        <v>80152418</v>
      </c>
      <c r="F1246" s="11" t="s">
        <v>3545</v>
      </c>
      <c r="G1246" s="9" t="s">
        <v>3546</v>
      </c>
      <c r="H1246" s="9" t="s">
        <v>3547</v>
      </c>
      <c r="I1246" s="10">
        <v>45506</v>
      </c>
    </row>
    <row r="1247" spans="1:9" x14ac:dyDescent="0.15">
      <c r="A1247" s="9">
        <v>1246</v>
      </c>
      <c r="B1247" s="9" t="s">
        <v>9</v>
      </c>
      <c r="C1247" s="9">
        <v>1910</v>
      </c>
      <c r="D1247" s="10">
        <v>45602</v>
      </c>
      <c r="E1247" s="13" t="str">
        <f>+HYPERLINK("http://trademark.i-assist.jp/data/china/image_1910th/80152526.pdf","80152526")</f>
        <v>80152526</v>
      </c>
      <c r="F1247" s="11" t="s">
        <v>3548</v>
      </c>
      <c r="G1247" s="11" t="s">
        <v>3549</v>
      </c>
      <c r="H1247" s="9" t="s">
        <v>3550</v>
      </c>
      <c r="I1247" s="10">
        <v>45506</v>
      </c>
    </row>
    <row r="1248" spans="1:9" x14ac:dyDescent="0.15">
      <c r="A1248" s="9">
        <v>1247</v>
      </c>
      <c r="B1248" s="9" t="s">
        <v>9</v>
      </c>
      <c r="C1248" s="9">
        <v>1910</v>
      </c>
      <c r="D1248" s="10">
        <v>45602</v>
      </c>
      <c r="E1248" s="13" t="str">
        <f>+HYPERLINK("http://trademark.i-assist.jp/data/china/image_1910th/80152598.pdf","80152598")</f>
        <v>80152598</v>
      </c>
      <c r="F1248" s="9" t="s">
        <v>3551</v>
      </c>
      <c r="G1248" s="9" t="s">
        <v>3445</v>
      </c>
      <c r="H1248" s="9" t="s">
        <v>3552</v>
      </c>
      <c r="I1248" s="10">
        <v>45506</v>
      </c>
    </row>
    <row r="1249" spans="1:9" x14ac:dyDescent="0.15">
      <c r="A1249" s="9">
        <v>1248</v>
      </c>
      <c r="B1249" s="9" t="s">
        <v>9</v>
      </c>
      <c r="C1249" s="9">
        <v>1910</v>
      </c>
      <c r="D1249" s="10">
        <v>45602</v>
      </c>
      <c r="E1249" s="13" t="str">
        <f>+HYPERLINK("http://trademark.i-assist.jp/data/china/image_1910th/80152774.pdf","80152774")</f>
        <v>80152774</v>
      </c>
      <c r="F1249" s="9" t="s">
        <v>3553</v>
      </c>
      <c r="G1249" s="9" t="s">
        <v>3554</v>
      </c>
      <c r="H1249" s="9" t="s">
        <v>3555</v>
      </c>
      <c r="I1249" s="10">
        <v>45506</v>
      </c>
    </row>
    <row r="1250" spans="1:9" x14ac:dyDescent="0.15">
      <c r="A1250" s="9">
        <v>1249</v>
      </c>
      <c r="B1250" s="9" t="s">
        <v>9</v>
      </c>
      <c r="C1250" s="9">
        <v>1910</v>
      </c>
      <c r="D1250" s="10">
        <v>45602</v>
      </c>
      <c r="E1250" s="13" t="str">
        <f>+HYPERLINK("http://trademark.i-assist.jp/data/china/image_1910th/80152904.pdf","80152904")</f>
        <v>80152904</v>
      </c>
      <c r="F1250" s="9" t="s">
        <v>3556</v>
      </c>
      <c r="G1250" s="9" t="s">
        <v>105</v>
      </c>
      <c r="H1250" s="11" t="s">
        <v>3557</v>
      </c>
      <c r="I1250" s="10">
        <v>45506</v>
      </c>
    </row>
    <row r="1251" spans="1:9" x14ac:dyDescent="0.15">
      <c r="A1251" s="9">
        <v>1250</v>
      </c>
      <c r="B1251" s="9" t="s">
        <v>9</v>
      </c>
      <c r="C1251" s="9">
        <v>1910</v>
      </c>
      <c r="D1251" s="10">
        <v>45602</v>
      </c>
      <c r="E1251" s="13" t="str">
        <f>+HYPERLINK("http://trademark.i-assist.jp/data/china/image_1910th/80153038.pdf","80153038")</f>
        <v>80153038</v>
      </c>
      <c r="F1251" s="9" t="s">
        <v>3558</v>
      </c>
      <c r="G1251" s="9" t="s">
        <v>3559</v>
      </c>
      <c r="H1251" s="9" t="s">
        <v>3560</v>
      </c>
      <c r="I1251" s="10">
        <v>45506</v>
      </c>
    </row>
    <row r="1252" spans="1:9" x14ac:dyDescent="0.15">
      <c r="A1252" s="9">
        <v>1251</v>
      </c>
      <c r="B1252" s="9" t="s">
        <v>9</v>
      </c>
      <c r="C1252" s="9">
        <v>1910</v>
      </c>
      <c r="D1252" s="10">
        <v>45602</v>
      </c>
      <c r="E1252" s="13" t="str">
        <f>+HYPERLINK("http://trademark.i-assist.jp/data/china/image_1910th/80153048.pdf","80153048")</f>
        <v>80153048</v>
      </c>
      <c r="F1252" s="9" t="s">
        <v>3561</v>
      </c>
      <c r="G1252" s="9" t="s">
        <v>3358</v>
      </c>
      <c r="H1252" s="9" t="s">
        <v>3562</v>
      </c>
      <c r="I1252" s="10">
        <v>45506</v>
      </c>
    </row>
    <row r="1253" spans="1:9" x14ac:dyDescent="0.15">
      <c r="A1253" s="9">
        <v>1252</v>
      </c>
      <c r="B1253" s="9" t="s">
        <v>9</v>
      </c>
      <c r="C1253" s="9">
        <v>1910</v>
      </c>
      <c r="D1253" s="10">
        <v>45602</v>
      </c>
      <c r="E1253" s="13" t="str">
        <f>+HYPERLINK("http://trademark.i-assist.jp/data/china/image_1910th/80153166.pdf","80153166")</f>
        <v>80153166</v>
      </c>
      <c r="F1253" s="9" t="s">
        <v>143</v>
      </c>
      <c r="G1253" s="11" t="s">
        <v>144</v>
      </c>
      <c r="H1253" s="9" t="s">
        <v>145</v>
      </c>
      <c r="I1253" s="10">
        <v>45506</v>
      </c>
    </row>
    <row r="1254" spans="1:9" x14ac:dyDescent="0.15">
      <c r="A1254" s="9">
        <v>1253</v>
      </c>
      <c r="B1254" s="9" t="s">
        <v>9</v>
      </c>
      <c r="C1254" s="9">
        <v>1910</v>
      </c>
      <c r="D1254" s="10">
        <v>45602</v>
      </c>
      <c r="E1254" s="13" t="str">
        <f>+HYPERLINK("http://trademark.i-assist.jp/data/china/image_1910th/80153414.pdf","80153414")</f>
        <v>80153414</v>
      </c>
      <c r="F1254" s="11" t="s">
        <v>3563</v>
      </c>
      <c r="G1254" s="9" t="s">
        <v>3564</v>
      </c>
      <c r="H1254" s="9" t="s">
        <v>3565</v>
      </c>
      <c r="I1254" s="10">
        <v>45506</v>
      </c>
    </row>
    <row r="1255" spans="1:9" x14ac:dyDescent="0.15">
      <c r="A1255" s="9">
        <v>1254</v>
      </c>
      <c r="B1255" s="9" t="s">
        <v>9</v>
      </c>
      <c r="C1255" s="9">
        <v>1910</v>
      </c>
      <c r="D1255" s="10">
        <v>45602</v>
      </c>
      <c r="E1255" s="13" t="str">
        <f>+HYPERLINK("http://trademark.i-assist.jp/data/china/image_1910th/80153635.pdf","80153635")</f>
        <v>80153635</v>
      </c>
      <c r="F1255" s="9" t="s">
        <v>3566</v>
      </c>
      <c r="G1255" s="9" t="s">
        <v>3567</v>
      </c>
      <c r="H1255" s="9" t="s">
        <v>3568</v>
      </c>
      <c r="I1255" s="10">
        <v>45506</v>
      </c>
    </row>
    <row r="1256" spans="1:9" x14ac:dyDescent="0.15">
      <c r="A1256" s="9">
        <v>1255</v>
      </c>
      <c r="B1256" s="9" t="s">
        <v>9</v>
      </c>
      <c r="C1256" s="9">
        <v>1910</v>
      </c>
      <c r="D1256" s="10">
        <v>45602</v>
      </c>
      <c r="E1256" s="13" t="str">
        <f>+HYPERLINK("http://trademark.i-assist.jp/data/china/image_1910th/80153644.pdf","80153644")</f>
        <v>80153644</v>
      </c>
      <c r="F1256" s="9" t="s">
        <v>3569</v>
      </c>
      <c r="G1256" s="11" t="s">
        <v>3570</v>
      </c>
      <c r="H1256" s="9" t="s">
        <v>3571</v>
      </c>
      <c r="I1256" s="10">
        <v>45506</v>
      </c>
    </row>
    <row r="1257" spans="1:9" x14ac:dyDescent="0.15">
      <c r="A1257" s="9">
        <v>1256</v>
      </c>
      <c r="B1257" s="9" t="s">
        <v>9</v>
      </c>
      <c r="C1257" s="9">
        <v>1910</v>
      </c>
      <c r="D1257" s="10">
        <v>45602</v>
      </c>
      <c r="E1257" s="13" t="str">
        <f>+HYPERLINK("http://trademark.i-assist.jp/data/china/image_1910th/80153664.pdf","80153664")</f>
        <v>80153664</v>
      </c>
      <c r="F1257" s="9" t="s">
        <v>3572</v>
      </c>
      <c r="G1257" s="9" t="s">
        <v>3573</v>
      </c>
      <c r="H1257" s="9" t="s">
        <v>3574</v>
      </c>
      <c r="I1257" s="10">
        <v>45506</v>
      </c>
    </row>
    <row r="1258" spans="1:9" x14ac:dyDescent="0.15">
      <c r="A1258" s="9">
        <v>1257</v>
      </c>
      <c r="B1258" s="9" t="s">
        <v>9</v>
      </c>
      <c r="C1258" s="9">
        <v>1910</v>
      </c>
      <c r="D1258" s="10">
        <v>45602</v>
      </c>
      <c r="E1258" s="13" t="str">
        <f>+HYPERLINK("http://trademark.i-assist.jp/data/china/image_1910th/80153706.pdf","80153706")</f>
        <v>80153706</v>
      </c>
      <c r="F1258" s="9" t="s">
        <v>3575</v>
      </c>
      <c r="G1258" s="11" t="s">
        <v>46</v>
      </c>
      <c r="H1258" s="9" t="s">
        <v>3576</v>
      </c>
      <c r="I1258" s="10">
        <v>45506</v>
      </c>
    </row>
    <row r="1259" spans="1:9" x14ac:dyDescent="0.15">
      <c r="A1259" s="9">
        <v>1258</v>
      </c>
      <c r="B1259" s="9" t="s">
        <v>9</v>
      </c>
      <c r="C1259" s="9">
        <v>1910</v>
      </c>
      <c r="D1259" s="10">
        <v>45602</v>
      </c>
      <c r="E1259" s="13" t="str">
        <f>+HYPERLINK("http://trademark.i-assist.jp/data/china/image_1910th/80153830.pdf","80153830")</f>
        <v>80153830</v>
      </c>
      <c r="F1259" s="9" t="s">
        <v>3577</v>
      </c>
      <c r="G1259" s="9" t="s">
        <v>3578</v>
      </c>
      <c r="H1259" s="9" t="s">
        <v>3579</v>
      </c>
      <c r="I1259" s="10">
        <v>45506</v>
      </c>
    </row>
    <row r="1260" spans="1:9" x14ac:dyDescent="0.15">
      <c r="A1260" s="9">
        <v>1259</v>
      </c>
      <c r="B1260" s="9" t="s">
        <v>9</v>
      </c>
      <c r="C1260" s="9">
        <v>1910</v>
      </c>
      <c r="D1260" s="10">
        <v>45602</v>
      </c>
      <c r="E1260" s="13" t="str">
        <f>+HYPERLINK("http://trademark.i-assist.jp/data/china/image_1910th/80153909.pdf","80153909")</f>
        <v>80153909</v>
      </c>
      <c r="F1260" s="11" t="s">
        <v>19</v>
      </c>
      <c r="G1260" s="9" t="s">
        <v>3580</v>
      </c>
      <c r="H1260" s="9" t="s">
        <v>3581</v>
      </c>
      <c r="I1260" s="10">
        <v>45506</v>
      </c>
    </row>
    <row r="1261" spans="1:9" x14ac:dyDescent="0.15">
      <c r="A1261" s="9">
        <v>1260</v>
      </c>
      <c r="B1261" s="9" t="s">
        <v>9</v>
      </c>
      <c r="C1261" s="9">
        <v>1910</v>
      </c>
      <c r="D1261" s="10">
        <v>45602</v>
      </c>
      <c r="E1261" s="13" t="str">
        <f>+HYPERLINK("http://trademark.i-assist.jp/data/china/image_1910th/80154120.pdf","80154120")</f>
        <v>80154120</v>
      </c>
      <c r="F1261" s="11" t="s">
        <v>3582</v>
      </c>
      <c r="G1261" s="9" t="s">
        <v>38</v>
      </c>
      <c r="H1261" s="11" t="s">
        <v>3583</v>
      </c>
      <c r="I1261" s="10">
        <v>45506</v>
      </c>
    </row>
    <row r="1262" spans="1:9" x14ac:dyDescent="0.15">
      <c r="A1262" s="9">
        <v>1261</v>
      </c>
      <c r="B1262" s="9" t="s">
        <v>9</v>
      </c>
      <c r="C1262" s="9">
        <v>1910</v>
      </c>
      <c r="D1262" s="10">
        <v>45602</v>
      </c>
      <c r="E1262" s="13" t="str">
        <f>+HYPERLINK("http://trademark.i-assist.jp/data/china/image_1910th/80154242.pdf","80154242")</f>
        <v>80154242</v>
      </c>
      <c r="F1262" s="9" t="s">
        <v>3584</v>
      </c>
      <c r="G1262" s="9" t="s">
        <v>3585</v>
      </c>
      <c r="H1262" s="9" t="s">
        <v>3586</v>
      </c>
      <c r="I1262" s="10">
        <v>45506</v>
      </c>
    </row>
    <row r="1263" spans="1:9" x14ac:dyDescent="0.15">
      <c r="A1263" s="9">
        <v>1262</v>
      </c>
      <c r="B1263" s="9" t="s">
        <v>9</v>
      </c>
      <c r="C1263" s="9">
        <v>1910</v>
      </c>
      <c r="D1263" s="10">
        <v>45602</v>
      </c>
      <c r="E1263" s="13" t="str">
        <f>+HYPERLINK("http://trademark.i-assist.jp/data/china/image_1910th/80154362.pdf","80154362")</f>
        <v>80154362</v>
      </c>
      <c r="F1263" s="9" t="s">
        <v>3587</v>
      </c>
      <c r="G1263" s="9" t="s">
        <v>3588</v>
      </c>
      <c r="H1263" s="9" t="s">
        <v>3589</v>
      </c>
      <c r="I1263" s="10">
        <v>45506</v>
      </c>
    </row>
    <row r="1264" spans="1:9" x14ac:dyDescent="0.15">
      <c r="A1264" s="9">
        <v>1263</v>
      </c>
      <c r="B1264" s="9" t="s">
        <v>9</v>
      </c>
      <c r="C1264" s="9">
        <v>1910</v>
      </c>
      <c r="D1264" s="10">
        <v>45602</v>
      </c>
      <c r="E1264" s="13" t="str">
        <f>+HYPERLINK("http://trademark.i-assist.jp/data/china/image_1910th/80154519.pdf","80154519")</f>
        <v>80154519</v>
      </c>
      <c r="F1264" s="9" t="s">
        <v>3444</v>
      </c>
      <c r="G1264" s="9" t="s">
        <v>3445</v>
      </c>
      <c r="H1264" s="9" t="s">
        <v>3590</v>
      </c>
      <c r="I1264" s="10">
        <v>45506</v>
      </c>
    </row>
    <row r="1265" spans="1:9" x14ac:dyDescent="0.15">
      <c r="A1265" s="9">
        <v>1264</v>
      </c>
      <c r="B1265" s="9" t="s">
        <v>9</v>
      </c>
      <c r="C1265" s="9">
        <v>1910</v>
      </c>
      <c r="D1265" s="10">
        <v>45602</v>
      </c>
      <c r="E1265" s="13" t="str">
        <f>+HYPERLINK("http://trademark.i-assist.jp/data/china/image_1910th/80154548.pdf","80154548")</f>
        <v>80154548</v>
      </c>
      <c r="F1265" s="9" t="s">
        <v>3591</v>
      </c>
      <c r="G1265" s="9" t="s">
        <v>3592</v>
      </c>
      <c r="H1265" s="9" t="s">
        <v>3593</v>
      </c>
      <c r="I1265" s="10">
        <v>45506</v>
      </c>
    </row>
    <row r="1266" spans="1:9" x14ac:dyDescent="0.15">
      <c r="A1266" s="9">
        <v>1265</v>
      </c>
      <c r="B1266" s="9" t="s">
        <v>9</v>
      </c>
      <c r="C1266" s="9">
        <v>1910</v>
      </c>
      <c r="D1266" s="10">
        <v>45602</v>
      </c>
      <c r="E1266" s="13" t="str">
        <f>+HYPERLINK("http://trademark.i-assist.jp/data/china/image_1910th/80154707.pdf","80154707")</f>
        <v>80154707</v>
      </c>
      <c r="F1266" s="9" t="s">
        <v>3594</v>
      </c>
      <c r="G1266" s="9" t="s">
        <v>3595</v>
      </c>
      <c r="H1266" s="9" t="s">
        <v>3596</v>
      </c>
      <c r="I1266" s="10">
        <v>45506</v>
      </c>
    </row>
    <row r="1267" spans="1:9" x14ac:dyDescent="0.15">
      <c r="A1267" s="9">
        <v>1266</v>
      </c>
      <c r="B1267" s="9" t="s">
        <v>9</v>
      </c>
      <c r="C1267" s="9">
        <v>1910</v>
      </c>
      <c r="D1267" s="10">
        <v>45602</v>
      </c>
      <c r="E1267" s="13" t="str">
        <f>+HYPERLINK("http://trademark.i-assist.jp/data/china/image_1910th/80154742.pdf","80154742")</f>
        <v>80154742</v>
      </c>
      <c r="F1267" s="9" t="s">
        <v>3597</v>
      </c>
      <c r="G1267" s="11" t="s">
        <v>3598</v>
      </c>
      <c r="H1267" s="9" t="s">
        <v>3599</v>
      </c>
      <c r="I1267" s="10">
        <v>45506</v>
      </c>
    </row>
    <row r="1268" spans="1:9" x14ac:dyDescent="0.15">
      <c r="A1268" s="9">
        <v>1267</v>
      </c>
      <c r="B1268" s="9" t="s">
        <v>9</v>
      </c>
      <c r="C1268" s="9">
        <v>1910</v>
      </c>
      <c r="D1268" s="10">
        <v>45602</v>
      </c>
      <c r="E1268" s="13" t="str">
        <f>+HYPERLINK("http://trademark.i-assist.jp/data/china/image_1910th/80154968.pdf","80154968")</f>
        <v>80154968</v>
      </c>
      <c r="F1268" s="9" t="s">
        <v>3600</v>
      </c>
      <c r="G1268" s="11" t="s">
        <v>3601</v>
      </c>
      <c r="H1268" s="9" t="s">
        <v>3602</v>
      </c>
      <c r="I1268" s="10">
        <v>45506</v>
      </c>
    </row>
    <row r="1269" spans="1:9" x14ac:dyDescent="0.15">
      <c r="A1269" s="9">
        <v>1268</v>
      </c>
      <c r="B1269" s="9" t="s">
        <v>9</v>
      </c>
      <c r="C1269" s="9">
        <v>1910</v>
      </c>
      <c r="D1269" s="10">
        <v>45602</v>
      </c>
      <c r="E1269" s="13" t="str">
        <f>+HYPERLINK("http://trademark.i-assist.jp/data/china/image_1910th/80155162.pdf","80155162")</f>
        <v>80155162</v>
      </c>
      <c r="F1269" s="9" t="s">
        <v>3603</v>
      </c>
      <c r="G1269" s="9" t="s">
        <v>3604</v>
      </c>
      <c r="H1269" s="9" t="s">
        <v>3605</v>
      </c>
      <c r="I1269" s="10">
        <v>45506</v>
      </c>
    </row>
    <row r="1270" spans="1:9" x14ac:dyDescent="0.15">
      <c r="A1270" s="9">
        <v>1269</v>
      </c>
      <c r="B1270" s="9" t="s">
        <v>9</v>
      </c>
      <c r="C1270" s="9">
        <v>1910</v>
      </c>
      <c r="D1270" s="10">
        <v>45602</v>
      </c>
      <c r="E1270" s="13" t="str">
        <f>+HYPERLINK("http://trademark.i-assist.jp/data/china/image_1910th/80155327.pdf","80155327")</f>
        <v>80155327</v>
      </c>
      <c r="F1270" s="9" t="s">
        <v>3606</v>
      </c>
      <c r="G1270" s="11" t="s">
        <v>151</v>
      </c>
      <c r="H1270" s="9" t="s">
        <v>3607</v>
      </c>
      <c r="I1270" s="10">
        <v>45506</v>
      </c>
    </row>
    <row r="1271" spans="1:9" x14ac:dyDescent="0.15">
      <c r="A1271" s="9">
        <v>1270</v>
      </c>
      <c r="B1271" s="9" t="s">
        <v>9</v>
      </c>
      <c r="C1271" s="9">
        <v>1910</v>
      </c>
      <c r="D1271" s="10">
        <v>45602</v>
      </c>
      <c r="E1271" s="13" t="str">
        <f>+HYPERLINK("http://trademark.i-assist.jp/data/china/image_1910th/80155344.pdf","80155344")</f>
        <v>80155344</v>
      </c>
      <c r="F1271" s="9" t="s">
        <v>3608</v>
      </c>
      <c r="G1271" s="9" t="s">
        <v>3609</v>
      </c>
      <c r="H1271" s="9" t="s">
        <v>3610</v>
      </c>
      <c r="I1271" s="10">
        <v>45506</v>
      </c>
    </row>
    <row r="1272" spans="1:9" x14ac:dyDescent="0.15">
      <c r="A1272" s="9">
        <v>1271</v>
      </c>
      <c r="B1272" s="9" t="s">
        <v>9</v>
      </c>
      <c r="C1272" s="9">
        <v>1910</v>
      </c>
      <c r="D1272" s="10">
        <v>45602</v>
      </c>
      <c r="E1272" s="13" t="str">
        <f>+HYPERLINK("http://trademark.i-assist.jp/data/china/image_1910th/80155362.pdf","80155362")</f>
        <v>80155362</v>
      </c>
      <c r="F1272" s="9" t="s">
        <v>3611</v>
      </c>
      <c r="G1272" s="9" t="s">
        <v>3612</v>
      </c>
      <c r="H1272" s="9" t="s">
        <v>3613</v>
      </c>
      <c r="I1272" s="10">
        <v>45506</v>
      </c>
    </row>
    <row r="1273" spans="1:9" x14ac:dyDescent="0.15">
      <c r="A1273" s="9">
        <v>1272</v>
      </c>
      <c r="B1273" s="9" t="s">
        <v>9</v>
      </c>
      <c r="C1273" s="9">
        <v>1910</v>
      </c>
      <c r="D1273" s="10">
        <v>45602</v>
      </c>
      <c r="E1273" s="13" t="str">
        <f>+HYPERLINK("http://trademark.i-assist.jp/data/china/image_1910th/80155582.pdf","80155582")</f>
        <v>80155582</v>
      </c>
      <c r="F1273" s="9" t="s">
        <v>3614</v>
      </c>
      <c r="G1273" s="9" t="s">
        <v>3615</v>
      </c>
      <c r="H1273" s="9" t="s">
        <v>3616</v>
      </c>
      <c r="I1273" s="10">
        <v>45506</v>
      </c>
    </row>
    <row r="1274" spans="1:9" x14ac:dyDescent="0.15">
      <c r="A1274" s="9">
        <v>1273</v>
      </c>
      <c r="B1274" s="9" t="s">
        <v>9</v>
      </c>
      <c r="C1274" s="9">
        <v>1910</v>
      </c>
      <c r="D1274" s="10">
        <v>45602</v>
      </c>
      <c r="E1274" s="13" t="str">
        <f>+HYPERLINK("http://trademark.i-assist.jp/data/china/image_1910th/80155614.pdf","80155614")</f>
        <v>80155614</v>
      </c>
      <c r="F1274" s="9" t="s">
        <v>3617</v>
      </c>
      <c r="G1274" s="9" t="s">
        <v>3617</v>
      </c>
      <c r="H1274" s="9" t="s">
        <v>3618</v>
      </c>
      <c r="I1274" s="10">
        <v>45506</v>
      </c>
    </row>
    <row r="1275" spans="1:9" x14ac:dyDescent="0.15">
      <c r="A1275" s="9">
        <v>1274</v>
      </c>
      <c r="B1275" s="9" t="s">
        <v>9</v>
      </c>
      <c r="C1275" s="9">
        <v>1910</v>
      </c>
      <c r="D1275" s="10">
        <v>45602</v>
      </c>
      <c r="E1275" s="13" t="str">
        <f>+HYPERLINK("http://trademark.i-assist.jp/data/china/image_1910th/80155634.pdf","80155634")</f>
        <v>80155634</v>
      </c>
      <c r="F1275" s="9" t="s">
        <v>3619</v>
      </c>
      <c r="G1275" s="9" t="s">
        <v>3620</v>
      </c>
      <c r="H1275" s="9" t="s">
        <v>3621</v>
      </c>
      <c r="I1275" s="10">
        <v>45506</v>
      </c>
    </row>
    <row r="1276" spans="1:9" x14ac:dyDescent="0.15">
      <c r="A1276" s="9">
        <v>1275</v>
      </c>
      <c r="B1276" s="9" t="s">
        <v>9</v>
      </c>
      <c r="C1276" s="9">
        <v>1910</v>
      </c>
      <c r="D1276" s="10">
        <v>45602</v>
      </c>
      <c r="E1276" s="13" t="str">
        <f>+HYPERLINK("http://trademark.i-assist.jp/data/china/image_1910th/80155774.pdf","80155774")</f>
        <v>80155774</v>
      </c>
      <c r="F1276" s="9" t="s">
        <v>3622</v>
      </c>
      <c r="G1276" s="9" t="s">
        <v>3623</v>
      </c>
      <c r="H1276" s="9" t="s">
        <v>3624</v>
      </c>
      <c r="I1276" s="10">
        <v>45506</v>
      </c>
    </row>
    <row r="1277" spans="1:9" x14ac:dyDescent="0.15">
      <c r="A1277" s="9">
        <v>1276</v>
      </c>
      <c r="B1277" s="9" t="s">
        <v>9</v>
      </c>
      <c r="C1277" s="9">
        <v>1910</v>
      </c>
      <c r="D1277" s="10">
        <v>45602</v>
      </c>
      <c r="E1277" s="13" t="str">
        <f>+HYPERLINK("http://trademark.i-assist.jp/data/china/image_1910th/80155795.pdf","80155795")</f>
        <v>80155795</v>
      </c>
      <c r="F1277" s="9" t="s">
        <v>3625</v>
      </c>
      <c r="G1277" s="9" t="s">
        <v>123</v>
      </c>
      <c r="H1277" s="9" t="s">
        <v>3626</v>
      </c>
      <c r="I1277" s="10">
        <v>45506</v>
      </c>
    </row>
    <row r="1278" spans="1:9" x14ac:dyDescent="0.15">
      <c r="A1278" s="9">
        <v>1277</v>
      </c>
      <c r="B1278" s="9" t="s">
        <v>9</v>
      </c>
      <c r="C1278" s="9">
        <v>1910</v>
      </c>
      <c r="D1278" s="10">
        <v>45602</v>
      </c>
      <c r="E1278" s="13" t="str">
        <f>+HYPERLINK("http://trademark.i-assist.jp/data/china/image_1910th/80155799.pdf","80155799")</f>
        <v>80155799</v>
      </c>
      <c r="F1278" s="9" t="s">
        <v>3627</v>
      </c>
      <c r="G1278" s="9" t="s">
        <v>3628</v>
      </c>
      <c r="H1278" s="9" t="s">
        <v>3629</v>
      </c>
      <c r="I1278" s="10">
        <v>45506</v>
      </c>
    </row>
    <row r="1279" spans="1:9" x14ac:dyDescent="0.15">
      <c r="A1279" s="9">
        <v>1278</v>
      </c>
      <c r="B1279" s="9" t="s">
        <v>9</v>
      </c>
      <c r="C1279" s="9">
        <v>1910</v>
      </c>
      <c r="D1279" s="10">
        <v>45602</v>
      </c>
      <c r="E1279" s="13" t="str">
        <f>+HYPERLINK("http://trademark.i-assist.jp/data/china/image_1910th/80155915.pdf","80155915")</f>
        <v>80155915</v>
      </c>
      <c r="F1279" s="9" t="s">
        <v>3630</v>
      </c>
      <c r="G1279" s="9" t="s">
        <v>38</v>
      </c>
      <c r="H1279" s="9" t="s">
        <v>3631</v>
      </c>
      <c r="I1279" s="10">
        <v>45506</v>
      </c>
    </row>
    <row r="1280" spans="1:9" x14ac:dyDescent="0.15">
      <c r="A1280" s="9">
        <v>1279</v>
      </c>
      <c r="B1280" s="9" t="s">
        <v>9</v>
      </c>
      <c r="C1280" s="9">
        <v>1910</v>
      </c>
      <c r="D1280" s="10">
        <v>45602</v>
      </c>
      <c r="E1280" s="13" t="str">
        <f>+HYPERLINK("http://trademark.i-assist.jp/data/china/image_1910th/80155923.pdf","80155923")</f>
        <v>80155923</v>
      </c>
      <c r="F1280" s="9" t="s">
        <v>3632</v>
      </c>
      <c r="G1280" s="9" t="s">
        <v>3633</v>
      </c>
      <c r="H1280" s="9" t="s">
        <v>3634</v>
      </c>
      <c r="I1280" s="10">
        <v>45506</v>
      </c>
    </row>
    <row r="1281" spans="1:9" x14ac:dyDescent="0.15">
      <c r="A1281" s="9">
        <v>1280</v>
      </c>
      <c r="B1281" s="9" t="s">
        <v>9</v>
      </c>
      <c r="C1281" s="9">
        <v>1910</v>
      </c>
      <c r="D1281" s="10">
        <v>45602</v>
      </c>
      <c r="E1281" s="13" t="str">
        <f>+HYPERLINK("http://trademark.i-assist.jp/data/china/image_1910th/80156085.pdf","80156085")</f>
        <v>80156085</v>
      </c>
      <c r="F1281" s="11" t="s">
        <v>19</v>
      </c>
      <c r="G1281" s="9" t="s">
        <v>3635</v>
      </c>
      <c r="H1281" s="9" t="s">
        <v>3636</v>
      </c>
      <c r="I1281" s="10">
        <v>45506</v>
      </c>
    </row>
    <row r="1282" spans="1:9" x14ac:dyDescent="0.15">
      <c r="A1282" s="9">
        <v>1281</v>
      </c>
      <c r="B1282" s="9" t="s">
        <v>9</v>
      </c>
      <c r="C1282" s="9">
        <v>1910</v>
      </c>
      <c r="D1282" s="10">
        <v>45602</v>
      </c>
      <c r="E1282" s="13" t="str">
        <f>+HYPERLINK("http://trademark.i-assist.jp/data/china/image_1910th/80156210.pdf","80156210")</f>
        <v>80156210</v>
      </c>
      <c r="F1282" s="9" t="s">
        <v>3637</v>
      </c>
      <c r="G1282" s="9" t="s">
        <v>90</v>
      </c>
      <c r="H1282" s="9" t="s">
        <v>3638</v>
      </c>
      <c r="I1282" s="10">
        <v>45506</v>
      </c>
    </row>
    <row r="1283" spans="1:9" x14ac:dyDescent="0.15">
      <c r="A1283" s="9">
        <v>1282</v>
      </c>
      <c r="B1283" s="9" t="s">
        <v>9</v>
      </c>
      <c r="C1283" s="9">
        <v>1910</v>
      </c>
      <c r="D1283" s="10">
        <v>45602</v>
      </c>
      <c r="E1283" s="13" t="str">
        <f>+HYPERLINK("http://trademark.i-assist.jp/data/china/image_1910th/80156288.pdf","80156288")</f>
        <v>80156288</v>
      </c>
      <c r="F1283" s="9" t="s">
        <v>3639</v>
      </c>
      <c r="G1283" s="11" t="s">
        <v>3640</v>
      </c>
      <c r="H1283" s="9" t="s">
        <v>3641</v>
      </c>
      <c r="I1283" s="10">
        <v>45506</v>
      </c>
    </row>
    <row r="1284" spans="1:9" x14ac:dyDescent="0.15">
      <c r="A1284" s="9">
        <v>1283</v>
      </c>
      <c r="B1284" s="9" t="s">
        <v>9</v>
      </c>
      <c r="C1284" s="9">
        <v>1910</v>
      </c>
      <c r="D1284" s="10">
        <v>45602</v>
      </c>
      <c r="E1284" s="13" t="str">
        <f>+HYPERLINK("http://trademark.i-assist.jp/data/china/image_1910th/80156788.pdf","80156788")</f>
        <v>80156788</v>
      </c>
      <c r="F1284" s="9" t="s">
        <v>3642</v>
      </c>
      <c r="G1284" s="9" t="s">
        <v>3540</v>
      </c>
      <c r="H1284" s="9" t="s">
        <v>3643</v>
      </c>
      <c r="I1284" s="10">
        <v>45506</v>
      </c>
    </row>
    <row r="1285" spans="1:9" x14ac:dyDescent="0.15">
      <c r="A1285" s="9">
        <v>1284</v>
      </c>
      <c r="B1285" s="9" t="s">
        <v>9</v>
      </c>
      <c r="C1285" s="9">
        <v>1910</v>
      </c>
      <c r="D1285" s="10">
        <v>45602</v>
      </c>
      <c r="E1285" s="13" t="str">
        <f>+HYPERLINK("http://trademark.i-assist.jp/data/china/image_1910th/80156885.pdf","80156885")</f>
        <v>80156885</v>
      </c>
      <c r="F1285" s="9" t="s">
        <v>3644</v>
      </c>
      <c r="G1285" s="9" t="s">
        <v>3645</v>
      </c>
      <c r="H1285" s="11" t="s">
        <v>3646</v>
      </c>
      <c r="I1285" s="10">
        <v>45506</v>
      </c>
    </row>
    <row r="1286" spans="1:9" x14ac:dyDescent="0.15">
      <c r="A1286" s="9">
        <v>1285</v>
      </c>
      <c r="B1286" s="9" t="s">
        <v>9</v>
      </c>
      <c r="C1286" s="9">
        <v>1910</v>
      </c>
      <c r="D1286" s="10">
        <v>45602</v>
      </c>
      <c r="E1286" s="13" t="str">
        <f>+HYPERLINK("http://trademark.i-assist.jp/data/china/image_1910th/80156961.pdf","80156961")</f>
        <v>80156961</v>
      </c>
      <c r="F1286" s="11" t="s">
        <v>3647</v>
      </c>
      <c r="G1286" s="9" t="s">
        <v>3648</v>
      </c>
      <c r="H1286" s="9" t="s">
        <v>3649</v>
      </c>
      <c r="I1286" s="10">
        <v>45506</v>
      </c>
    </row>
    <row r="1287" spans="1:9" x14ac:dyDescent="0.15">
      <c r="A1287" s="9">
        <v>1286</v>
      </c>
      <c r="B1287" s="9" t="s">
        <v>9</v>
      </c>
      <c r="C1287" s="9">
        <v>1910</v>
      </c>
      <c r="D1287" s="10">
        <v>45602</v>
      </c>
      <c r="E1287" s="13" t="str">
        <f>+HYPERLINK("http://trademark.i-assist.jp/data/china/image_1910th/80157345.pdf","80157345")</f>
        <v>80157345</v>
      </c>
      <c r="F1287" s="9" t="s">
        <v>3650</v>
      </c>
      <c r="G1287" s="11" t="s">
        <v>3651</v>
      </c>
      <c r="H1287" s="9" t="s">
        <v>3652</v>
      </c>
      <c r="I1287" s="10">
        <v>45506</v>
      </c>
    </row>
    <row r="1288" spans="1:9" x14ac:dyDescent="0.15">
      <c r="A1288" s="9">
        <v>1287</v>
      </c>
      <c r="B1288" s="9" t="s">
        <v>9</v>
      </c>
      <c r="C1288" s="9">
        <v>1910</v>
      </c>
      <c r="D1288" s="10">
        <v>45602</v>
      </c>
      <c r="E1288" s="13" t="str">
        <f>+HYPERLINK("http://trademark.i-assist.jp/data/china/image_1910th/80157420.pdf","80157420")</f>
        <v>80157420</v>
      </c>
      <c r="F1288" s="9" t="s">
        <v>3653</v>
      </c>
      <c r="G1288" s="9" t="s">
        <v>401</v>
      </c>
      <c r="H1288" s="9" t="s">
        <v>3654</v>
      </c>
      <c r="I1288" s="10">
        <v>45506</v>
      </c>
    </row>
    <row r="1289" spans="1:9" x14ac:dyDescent="0.15">
      <c r="A1289" s="9">
        <v>1288</v>
      </c>
      <c r="B1289" s="9" t="s">
        <v>9</v>
      </c>
      <c r="C1289" s="9">
        <v>1910</v>
      </c>
      <c r="D1289" s="10">
        <v>45602</v>
      </c>
      <c r="E1289" s="13" t="str">
        <f>+HYPERLINK("http://trademark.i-assist.jp/data/china/image_1910th/80157675.pdf","80157675")</f>
        <v>80157675</v>
      </c>
      <c r="F1289" s="9" t="s">
        <v>3655</v>
      </c>
      <c r="G1289" s="9" t="s">
        <v>3358</v>
      </c>
      <c r="H1289" s="11" t="s">
        <v>3656</v>
      </c>
      <c r="I1289" s="10">
        <v>45506</v>
      </c>
    </row>
    <row r="1290" spans="1:9" x14ac:dyDescent="0.15">
      <c r="A1290" s="9">
        <v>1289</v>
      </c>
      <c r="B1290" s="9" t="s">
        <v>9</v>
      </c>
      <c r="C1290" s="9">
        <v>1910</v>
      </c>
      <c r="D1290" s="10">
        <v>45602</v>
      </c>
      <c r="E1290" s="13" t="str">
        <f>+HYPERLINK("http://trademark.i-assist.jp/data/china/image_1910th/80157825.pdf","80157825")</f>
        <v>80157825</v>
      </c>
      <c r="F1290" s="9" t="s">
        <v>3657</v>
      </c>
      <c r="G1290" s="9" t="s">
        <v>3658</v>
      </c>
      <c r="H1290" s="9" t="s">
        <v>3659</v>
      </c>
      <c r="I1290" s="10">
        <v>45506</v>
      </c>
    </row>
    <row r="1291" spans="1:9" x14ac:dyDescent="0.15">
      <c r="A1291" s="9">
        <v>1290</v>
      </c>
      <c r="B1291" s="9" t="s">
        <v>9</v>
      </c>
      <c r="C1291" s="9">
        <v>1910</v>
      </c>
      <c r="D1291" s="10">
        <v>45602</v>
      </c>
      <c r="E1291" s="13" t="str">
        <f>+HYPERLINK("http://trademark.i-assist.jp/data/china/image_1910th/80157833.pdf","80157833")</f>
        <v>80157833</v>
      </c>
      <c r="F1291" s="9" t="s">
        <v>3660</v>
      </c>
      <c r="G1291" s="9" t="s">
        <v>3661</v>
      </c>
      <c r="H1291" s="9" t="s">
        <v>3662</v>
      </c>
      <c r="I1291" s="10">
        <v>45506</v>
      </c>
    </row>
    <row r="1292" spans="1:9" x14ac:dyDescent="0.15">
      <c r="A1292" s="9">
        <v>1291</v>
      </c>
      <c r="B1292" s="9" t="s">
        <v>9</v>
      </c>
      <c r="C1292" s="9">
        <v>1910</v>
      </c>
      <c r="D1292" s="10">
        <v>45602</v>
      </c>
      <c r="E1292" s="13" t="str">
        <f>+HYPERLINK("http://trademark.i-assist.jp/data/china/image_1910th/80158215.pdf","80158215")</f>
        <v>80158215</v>
      </c>
      <c r="F1292" s="9" t="s">
        <v>3471</v>
      </c>
      <c r="G1292" s="9" t="s">
        <v>3472</v>
      </c>
      <c r="H1292" s="9" t="s">
        <v>3663</v>
      </c>
      <c r="I1292" s="10">
        <v>45506</v>
      </c>
    </row>
    <row r="1293" spans="1:9" x14ac:dyDescent="0.15">
      <c r="A1293" s="9">
        <v>1292</v>
      </c>
      <c r="B1293" s="9" t="s">
        <v>9</v>
      </c>
      <c r="C1293" s="9">
        <v>1910</v>
      </c>
      <c r="D1293" s="10">
        <v>45602</v>
      </c>
      <c r="E1293" s="13" t="str">
        <f>+HYPERLINK("http://trademark.i-assist.jp/data/china/image_1910th/80158396.pdf","80158396")</f>
        <v>80158396</v>
      </c>
      <c r="F1293" s="9" t="s">
        <v>3664</v>
      </c>
      <c r="G1293" s="9" t="s">
        <v>3665</v>
      </c>
      <c r="H1293" s="9" t="s">
        <v>3666</v>
      </c>
      <c r="I1293" s="10">
        <v>45506</v>
      </c>
    </row>
    <row r="1294" spans="1:9" x14ac:dyDescent="0.15">
      <c r="A1294" s="9">
        <v>1293</v>
      </c>
      <c r="B1294" s="9" t="s">
        <v>9</v>
      </c>
      <c r="C1294" s="9">
        <v>1910</v>
      </c>
      <c r="D1294" s="10">
        <v>45602</v>
      </c>
      <c r="E1294" s="13" t="str">
        <f>+HYPERLINK("http://trademark.i-assist.jp/data/china/image_1910th/80158410.pdf","80158410")</f>
        <v>80158410</v>
      </c>
      <c r="F1294" s="9" t="s">
        <v>3667</v>
      </c>
      <c r="G1294" s="9" t="s">
        <v>3668</v>
      </c>
      <c r="H1294" s="9" t="s">
        <v>3669</v>
      </c>
      <c r="I1294" s="10">
        <v>45506</v>
      </c>
    </row>
    <row r="1295" spans="1:9" x14ac:dyDescent="0.15">
      <c r="A1295" s="9">
        <v>1294</v>
      </c>
      <c r="B1295" s="9" t="s">
        <v>9</v>
      </c>
      <c r="C1295" s="9">
        <v>1910</v>
      </c>
      <c r="D1295" s="10">
        <v>45602</v>
      </c>
      <c r="E1295" s="13" t="str">
        <f>+HYPERLINK("http://trademark.i-assist.jp/data/china/image_1910th/80158459.pdf","80158459")</f>
        <v>80158459</v>
      </c>
      <c r="F1295" s="9" t="s">
        <v>3670</v>
      </c>
      <c r="G1295" s="9" t="s">
        <v>3671</v>
      </c>
      <c r="H1295" s="9" t="s">
        <v>3672</v>
      </c>
      <c r="I1295" s="10">
        <v>45506</v>
      </c>
    </row>
    <row r="1296" spans="1:9" x14ac:dyDescent="0.15">
      <c r="A1296" s="9">
        <v>1295</v>
      </c>
      <c r="B1296" s="9" t="s">
        <v>9</v>
      </c>
      <c r="C1296" s="9">
        <v>1910</v>
      </c>
      <c r="D1296" s="10">
        <v>45602</v>
      </c>
      <c r="E1296" s="13" t="str">
        <f>+HYPERLINK("http://trademark.i-assist.jp/data/china/image_1910th/80158484.pdf","80158484")</f>
        <v>80158484</v>
      </c>
      <c r="F1296" s="9" t="s">
        <v>3673</v>
      </c>
      <c r="G1296" s="9" t="s">
        <v>3674</v>
      </c>
      <c r="H1296" s="9" t="s">
        <v>3675</v>
      </c>
      <c r="I1296" s="10">
        <v>45506</v>
      </c>
    </row>
    <row r="1297" spans="1:9" x14ac:dyDescent="0.15">
      <c r="A1297" s="9">
        <v>1296</v>
      </c>
      <c r="B1297" s="9" t="s">
        <v>9</v>
      </c>
      <c r="C1297" s="9">
        <v>1910</v>
      </c>
      <c r="D1297" s="10">
        <v>45602</v>
      </c>
      <c r="E1297" s="13" t="str">
        <f>+HYPERLINK("http://trademark.i-assist.jp/data/china/image_1910th/80158519.pdf","80158519")</f>
        <v>80158519</v>
      </c>
      <c r="F1297" s="11" t="s">
        <v>3676</v>
      </c>
      <c r="G1297" s="9" t="s">
        <v>3677</v>
      </c>
      <c r="H1297" s="11" t="s">
        <v>3678</v>
      </c>
      <c r="I1297" s="10">
        <v>45506</v>
      </c>
    </row>
    <row r="1298" spans="1:9" x14ac:dyDescent="0.15">
      <c r="A1298" s="9">
        <v>1297</v>
      </c>
      <c r="B1298" s="9" t="s">
        <v>9</v>
      </c>
      <c r="C1298" s="9">
        <v>1910</v>
      </c>
      <c r="D1298" s="10">
        <v>45602</v>
      </c>
      <c r="E1298" s="13" t="str">
        <f>+HYPERLINK("http://trademark.i-assist.jp/data/china/image_1910th/80158760.pdf","80158760")</f>
        <v>80158760</v>
      </c>
      <c r="F1298" s="11" t="s">
        <v>3679</v>
      </c>
      <c r="G1298" s="9" t="s">
        <v>3680</v>
      </c>
      <c r="H1298" s="9" t="s">
        <v>3681</v>
      </c>
      <c r="I1298" s="10">
        <v>45506</v>
      </c>
    </row>
    <row r="1299" spans="1:9" x14ac:dyDescent="0.15">
      <c r="A1299" s="9">
        <v>1298</v>
      </c>
      <c r="B1299" s="9" t="s">
        <v>9</v>
      </c>
      <c r="C1299" s="9">
        <v>1910</v>
      </c>
      <c r="D1299" s="10">
        <v>45602</v>
      </c>
      <c r="E1299" s="13" t="str">
        <f>+HYPERLINK("http://trademark.i-assist.jp/data/china/image_1910th/80158790.pdf","80158790")</f>
        <v>80158790</v>
      </c>
      <c r="F1299" s="9" t="s">
        <v>3682</v>
      </c>
      <c r="G1299" s="9" t="s">
        <v>3483</v>
      </c>
      <c r="H1299" s="9" t="s">
        <v>3683</v>
      </c>
      <c r="I1299" s="10">
        <v>45506</v>
      </c>
    </row>
    <row r="1300" spans="1:9" x14ac:dyDescent="0.15">
      <c r="A1300" s="9">
        <v>1299</v>
      </c>
      <c r="B1300" s="9" t="s">
        <v>9</v>
      </c>
      <c r="C1300" s="9">
        <v>1910</v>
      </c>
      <c r="D1300" s="10">
        <v>45602</v>
      </c>
      <c r="E1300" s="13" t="str">
        <f>+HYPERLINK("http://trademark.i-assist.jp/data/china/image_1910th/80158838.pdf","80158838")</f>
        <v>80158838</v>
      </c>
      <c r="F1300" s="9" t="s">
        <v>3684</v>
      </c>
      <c r="G1300" s="11" t="s">
        <v>151</v>
      </c>
      <c r="H1300" s="9" t="s">
        <v>3685</v>
      </c>
      <c r="I1300" s="10">
        <v>45506</v>
      </c>
    </row>
    <row r="1301" spans="1:9" x14ac:dyDescent="0.15">
      <c r="A1301" s="9">
        <v>1300</v>
      </c>
      <c r="B1301" s="9" t="s">
        <v>9</v>
      </c>
      <c r="C1301" s="9">
        <v>1910</v>
      </c>
      <c r="D1301" s="10">
        <v>45602</v>
      </c>
      <c r="E1301" s="13" t="str">
        <f>+HYPERLINK("http://trademark.i-assist.jp/data/china/image_1910th/80158903.pdf","80158903")</f>
        <v>80158903</v>
      </c>
      <c r="F1301" s="11" t="s">
        <v>3686</v>
      </c>
      <c r="G1301" s="9" t="s">
        <v>3687</v>
      </c>
      <c r="H1301" s="9" t="s">
        <v>3688</v>
      </c>
      <c r="I1301" s="10">
        <v>45506</v>
      </c>
    </row>
    <row r="1302" spans="1:9" x14ac:dyDescent="0.15">
      <c r="A1302" s="9">
        <v>1301</v>
      </c>
      <c r="B1302" s="9" t="s">
        <v>9</v>
      </c>
      <c r="C1302" s="9">
        <v>1910</v>
      </c>
      <c r="D1302" s="10">
        <v>45602</v>
      </c>
      <c r="E1302" s="13" t="str">
        <f>+HYPERLINK("http://trademark.i-assist.jp/data/china/image_1910th/80159058.pdf","80159058")</f>
        <v>80159058</v>
      </c>
      <c r="F1302" s="9" t="s">
        <v>3689</v>
      </c>
      <c r="G1302" s="11" t="s">
        <v>3690</v>
      </c>
      <c r="H1302" s="9" t="s">
        <v>3691</v>
      </c>
      <c r="I1302" s="10">
        <v>45506</v>
      </c>
    </row>
    <row r="1303" spans="1:9" x14ac:dyDescent="0.15">
      <c r="A1303" s="9">
        <v>1302</v>
      </c>
      <c r="B1303" s="9" t="s">
        <v>9</v>
      </c>
      <c r="C1303" s="9">
        <v>1910</v>
      </c>
      <c r="D1303" s="10">
        <v>45602</v>
      </c>
      <c r="E1303" s="13" t="str">
        <f>+HYPERLINK("http://trademark.i-assist.jp/data/china/image_1910th/80159112.pdf","80159112")</f>
        <v>80159112</v>
      </c>
      <c r="F1303" s="9" t="s">
        <v>3692</v>
      </c>
      <c r="G1303" s="9" t="s">
        <v>3693</v>
      </c>
      <c r="H1303" s="9" t="s">
        <v>3694</v>
      </c>
      <c r="I1303" s="10">
        <v>45506</v>
      </c>
    </row>
    <row r="1304" spans="1:9" x14ac:dyDescent="0.15">
      <c r="A1304" s="9">
        <v>1303</v>
      </c>
      <c r="B1304" s="9" t="s">
        <v>9</v>
      </c>
      <c r="C1304" s="9">
        <v>1910</v>
      </c>
      <c r="D1304" s="10">
        <v>45602</v>
      </c>
      <c r="E1304" s="13" t="str">
        <f>+HYPERLINK("http://trademark.i-assist.jp/data/china/image_1910th/80159167.pdf","80159167")</f>
        <v>80159167</v>
      </c>
      <c r="F1304" s="9" t="s">
        <v>3695</v>
      </c>
      <c r="G1304" s="9" t="s">
        <v>3648</v>
      </c>
      <c r="H1304" s="9" t="s">
        <v>3696</v>
      </c>
      <c r="I1304" s="10">
        <v>45506</v>
      </c>
    </row>
    <row r="1305" spans="1:9" x14ac:dyDescent="0.15">
      <c r="A1305" s="9">
        <v>1304</v>
      </c>
      <c r="B1305" s="9" t="s">
        <v>9</v>
      </c>
      <c r="C1305" s="9">
        <v>1910</v>
      </c>
      <c r="D1305" s="10">
        <v>45602</v>
      </c>
      <c r="E1305" s="13" t="str">
        <f>+HYPERLINK("http://trademark.i-assist.jp/data/china/image_1910th/80159694.pdf","80159694")</f>
        <v>80159694</v>
      </c>
      <c r="F1305" s="9" t="s">
        <v>3697</v>
      </c>
      <c r="G1305" s="9" t="s">
        <v>3698</v>
      </c>
      <c r="H1305" s="9" t="s">
        <v>3699</v>
      </c>
      <c r="I1305" s="10">
        <v>45506</v>
      </c>
    </row>
    <row r="1306" spans="1:9" x14ac:dyDescent="0.15">
      <c r="A1306" s="9">
        <v>1305</v>
      </c>
      <c r="B1306" s="9" t="s">
        <v>9</v>
      </c>
      <c r="C1306" s="9">
        <v>1910</v>
      </c>
      <c r="D1306" s="10">
        <v>45602</v>
      </c>
      <c r="E1306" s="13" t="str">
        <f>+HYPERLINK("http://trademark.i-assist.jp/data/china/image_1910th/80159799.pdf","80159799")</f>
        <v>80159799</v>
      </c>
      <c r="F1306" s="9" t="s">
        <v>3700</v>
      </c>
      <c r="G1306" s="11" t="s">
        <v>3486</v>
      </c>
      <c r="H1306" s="9" t="s">
        <v>3701</v>
      </c>
      <c r="I1306" s="10">
        <v>45506</v>
      </c>
    </row>
    <row r="1307" spans="1:9" x14ac:dyDescent="0.15">
      <c r="A1307" s="9">
        <v>1306</v>
      </c>
      <c r="B1307" s="9" t="s">
        <v>9</v>
      </c>
      <c r="C1307" s="9">
        <v>1910</v>
      </c>
      <c r="D1307" s="10">
        <v>45602</v>
      </c>
      <c r="E1307" s="13" t="str">
        <f>+HYPERLINK("http://trademark.i-assist.jp/data/china/image_1910th/80160190.pdf","80160190")</f>
        <v>80160190</v>
      </c>
      <c r="F1307" s="11" t="s">
        <v>3702</v>
      </c>
      <c r="G1307" s="11" t="s">
        <v>3703</v>
      </c>
      <c r="H1307" s="9" t="s">
        <v>3704</v>
      </c>
      <c r="I1307" s="10">
        <v>45506</v>
      </c>
    </row>
    <row r="1308" spans="1:9" x14ac:dyDescent="0.15">
      <c r="A1308" s="9">
        <v>1307</v>
      </c>
      <c r="B1308" s="9" t="s">
        <v>9</v>
      </c>
      <c r="C1308" s="9">
        <v>1910</v>
      </c>
      <c r="D1308" s="10">
        <v>45602</v>
      </c>
      <c r="E1308" s="13" t="str">
        <f>+HYPERLINK("http://trademark.i-assist.jp/data/china/image_1910th/80160428.pdf","80160428")</f>
        <v>80160428</v>
      </c>
      <c r="F1308" s="9" t="s">
        <v>3705</v>
      </c>
      <c r="G1308" s="9" t="s">
        <v>3706</v>
      </c>
      <c r="H1308" s="9" t="s">
        <v>3707</v>
      </c>
      <c r="I1308" s="10">
        <v>45506</v>
      </c>
    </row>
    <row r="1309" spans="1:9" x14ac:dyDescent="0.15">
      <c r="A1309" s="9">
        <v>1308</v>
      </c>
      <c r="B1309" s="9" t="s">
        <v>9</v>
      </c>
      <c r="C1309" s="9">
        <v>1910</v>
      </c>
      <c r="D1309" s="10">
        <v>45602</v>
      </c>
      <c r="E1309" s="13" t="str">
        <f>+HYPERLINK("http://trademark.i-assist.jp/data/china/image_1910th/80160458.pdf","80160458")</f>
        <v>80160458</v>
      </c>
      <c r="F1309" s="9" t="s">
        <v>3708</v>
      </c>
      <c r="G1309" s="9" t="s">
        <v>3358</v>
      </c>
      <c r="H1309" s="9" t="s">
        <v>3709</v>
      </c>
      <c r="I1309" s="10">
        <v>45506</v>
      </c>
    </row>
    <row r="1310" spans="1:9" x14ac:dyDescent="0.15">
      <c r="A1310" s="9">
        <v>1309</v>
      </c>
      <c r="B1310" s="9" t="s">
        <v>9</v>
      </c>
      <c r="C1310" s="9">
        <v>1910</v>
      </c>
      <c r="D1310" s="10">
        <v>45602</v>
      </c>
      <c r="E1310" s="13" t="str">
        <f>+HYPERLINK("http://trademark.i-assist.jp/data/china/image_1910th/80160467.pdf","80160467")</f>
        <v>80160467</v>
      </c>
      <c r="F1310" s="9" t="s">
        <v>3710</v>
      </c>
      <c r="G1310" s="9" t="s">
        <v>3358</v>
      </c>
      <c r="H1310" s="9" t="s">
        <v>3711</v>
      </c>
      <c r="I1310" s="10">
        <v>45506</v>
      </c>
    </row>
    <row r="1311" spans="1:9" x14ac:dyDescent="0.15">
      <c r="A1311" s="9">
        <v>1310</v>
      </c>
      <c r="B1311" s="9" t="s">
        <v>9</v>
      </c>
      <c r="C1311" s="9">
        <v>1910</v>
      </c>
      <c r="D1311" s="10">
        <v>45602</v>
      </c>
      <c r="E1311" s="13" t="str">
        <f>+HYPERLINK("http://trademark.i-assist.jp/data/china/image_1910th/80160570.pdf","80160570")</f>
        <v>80160570</v>
      </c>
      <c r="F1311" s="9" t="s">
        <v>3712</v>
      </c>
      <c r="G1311" s="9" t="s">
        <v>3585</v>
      </c>
      <c r="H1311" s="9" t="s">
        <v>3713</v>
      </c>
      <c r="I1311" s="10">
        <v>45506</v>
      </c>
    </row>
    <row r="1312" spans="1:9" x14ac:dyDescent="0.15">
      <c r="A1312" s="9">
        <v>1311</v>
      </c>
      <c r="B1312" s="9" t="s">
        <v>9</v>
      </c>
      <c r="C1312" s="9">
        <v>1910</v>
      </c>
      <c r="D1312" s="10">
        <v>45602</v>
      </c>
      <c r="E1312" s="13" t="str">
        <f>+HYPERLINK("http://trademark.i-assist.jp/data/china/image_1910th/80160579.pdf","80160579")</f>
        <v>80160579</v>
      </c>
      <c r="F1312" s="9" t="s">
        <v>3522</v>
      </c>
      <c r="G1312" s="9" t="s">
        <v>3523</v>
      </c>
      <c r="H1312" s="9" t="s">
        <v>3714</v>
      </c>
      <c r="I1312" s="10">
        <v>45506</v>
      </c>
    </row>
    <row r="1313" spans="1:9" x14ac:dyDescent="0.15">
      <c r="A1313" s="9">
        <v>1312</v>
      </c>
      <c r="B1313" s="9" t="s">
        <v>9</v>
      </c>
      <c r="C1313" s="9">
        <v>1910</v>
      </c>
      <c r="D1313" s="10">
        <v>45602</v>
      </c>
      <c r="E1313" s="13" t="str">
        <f>+HYPERLINK("http://trademark.i-assist.jp/data/china/image_1910th/80160800.pdf","80160800")</f>
        <v>80160800</v>
      </c>
      <c r="F1313" s="9" t="s">
        <v>3715</v>
      </c>
      <c r="G1313" s="9" t="s">
        <v>3716</v>
      </c>
      <c r="H1313" s="9" t="s">
        <v>3717</v>
      </c>
      <c r="I1313" s="10">
        <v>45506</v>
      </c>
    </row>
    <row r="1314" spans="1:9" x14ac:dyDescent="0.15">
      <c r="A1314" s="9">
        <v>1313</v>
      </c>
      <c r="B1314" s="9" t="s">
        <v>9</v>
      </c>
      <c r="C1314" s="9">
        <v>1910</v>
      </c>
      <c r="D1314" s="10">
        <v>45602</v>
      </c>
      <c r="E1314" s="13" t="str">
        <f>+HYPERLINK("http://trademark.i-assist.jp/data/china/image_1910th/80160860.pdf","80160860")</f>
        <v>80160860</v>
      </c>
      <c r="F1314" s="9" t="s">
        <v>3718</v>
      </c>
      <c r="G1314" s="9" t="s">
        <v>3370</v>
      </c>
      <c r="H1314" s="9" t="s">
        <v>3719</v>
      </c>
      <c r="I1314" s="10">
        <v>45506</v>
      </c>
    </row>
    <row r="1315" spans="1:9" x14ac:dyDescent="0.15">
      <c r="A1315" s="9">
        <v>1314</v>
      </c>
      <c r="B1315" s="9" t="s">
        <v>9</v>
      </c>
      <c r="C1315" s="9">
        <v>1910</v>
      </c>
      <c r="D1315" s="10">
        <v>45602</v>
      </c>
      <c r="E1315" s="13" t="str">
        <f>+HYPERLINK("http://trademark.i-assist.jp/data/china/image_1910th/80161000.pdf","80161000")</f>
        <v>80161000</v>
      </c>
      <c r="F1315" s="9" t="s">
        <v>3720</v>
      </c>
      <c r="G1315" s="11" t="s">
        <v>107</v>
      </c>
      <c r="H1315" s="9" t="s">
        <v>3721</v>
      </c>
      <c r="I1315" s="10">
        <v>45506</v>
      </c>
    </row>
    <row r="1316" spans="1:9" x14ac:dyDescent="0.15">
      <c r="A1316" s="9">
        <v>1315</v>
      </c>
      <c r="B1316" s="9" t="s">
        <v>9</v>
      </c>
      <c r="C1316" s="9">
        <v>1910</v>
      </c>
      <c r="D1316" s="10">
        <v>45602</v>
      </c>
      <c r="E1316" s="13" t="str">
        <f>+HYPERLINK("http://trademark.i-assist.jp/data/china/image_1910th/80161014.pdf","80161014")</f>
        <v>80161014</v>
      </c>
      <c r="F1316" s="11" t="s">
        <v>3722</v>
      </c>
      <c r="G1316" s="11" t="s">
        <v>3723</v>
      </c>
      <c r="H1316" s="11" t="s">
        <v>3724</v>
      </c>
      <c r="I1316" s="10">
        <v>45506</v>
      </c>
    </row>
    <row r="1317" spans="1:9" x14ac:dyDescent="0.15">
      <c r="A1317" s="9">
        <v>1316</v>
      </c>
      <c r="B1317" s="9" t="s">
        <v>9</v>
      </c>
      <c r="C1317" s="9">
        <v>1910</v>
      </c>
      <c r="D1317" s="10">
        <v>45602</v>
      </c>
      <c r="E1317" s="13" t="str">
        <f>+HYPERLINK("http://trademark.i-assist.jp/data/china/image_1910th/80161302.pdf","80161302")</f>
        <v>80161302</v>
      </c>
      <c r="F1317" s="9" t="s">
        <v>3725</v>
      </c>
      <c r="G1317" s="9" t="s">
        <v>69</v>
      </c>
      <c r="H1317" s="9" t="s">
        <v>3726</v>
      </c>
      <c r="I1317" s="10">
        <v>45506</v>
      </c>
    </row>
    <row r="1318" spans="1:9" x14ac:dyDescent="0.15">
      <c r="A1318" s="9">
        <v>1317</v>
      </c>
      <c r="B1318" s="9" t="s">
        <v>9</v>
      </c>
      <c r="C1318" s="9">
        <v>1910</v>
      </c>
      <c r="D1318" s="10">
        <v>45602</v>
      </c>
      <c r="E1318" s="13" t="str">
        <f>+HYPERLINK("http://trademark.i-assist.jp/data/china/image_1910th/80161358.pdf","80161358")</f>
        <v>80161358</v>
      </c>
      <c r="F1318" s="11" t="s">
        <v>3727</v>
      </c>
      <c r="G1318" s="9" t="s">
        <v>3728</v>
      </c>
      <c r="H1318" s="9" t="s">
        <v>3729</v>
      </c>
      <c r="I1318" s="10">
        <v>45506</v>
      </c>
    </row>
    <row r="1319" spans="1:9" x14ac:dyDescent="0.15">
      <c r="A1319" s="9">
        <v>1318</v>
      </c>
      <c r="B1319" s="9" t="s">
        <v>9</v>
      </c>
      <c r="C1319" s="9">
        <v>1910</v>
      </c>
      <c r="D1319" s="10">
        <v>45602</v>
      </c>
      <c r="E1319" s="13" t="str">
        <f>+HYPERLINK("http://trademark.i-assist.jp/data/china/image_1910th/80161457.pdf","80161457")</f>
        <v>80161457</v>
      </c>
      <c r="F1319" s="9" t="s">
        <v>3730</v>
      </c>
      <c r="G1319" s="11" t="s">
        <v>3731</v>
      </c>
      <c r="H1319" s="11" t="s">
        <v>3732</v>
      </c>
      <c r="I1319" s="10">
        <v>45506</v>
      </c>
    </row>
    <row r="1320" spans="1:9" x14ac:dyDescent="0.15">
      <c r="A1320" s="9">
        <v>1319</v>
      </c>
      <c r="B1320" s="9" t="s">
        <v>9</v>
      </c>
      <c r="C1320" s="9">
        <v>1910</v>
      </c>
      <c r="D1320" s="10">
        <v>45602</v>
      </c>
      <c r="E1320" s="13" t="str">
        <f>+HYPERLINK("http://trademark.i-assist.jp/data/china/image_1910th/80161518.pdf","80161518")</f>
        <v>80161518</v>
      </c>
      <c r="F1320" s="9" t="s">
        <v>3733</v>
      </c>
      <c r="G1320" s="9" t="s">
        <v>141</v>
      </c>
      <c r="H1320" s="9" t="s">
        <v>3734</v>
      </c>
      <c r="I1320" s="10">
        <v>45506</v>
      </c>
    </row>
    <row r="1321" spans="1:9" x14ac:dyDescent="0.15">
      <c r="A1321" s="9">
        <v>1320</v>
      </c>
      <c r="B1321" s="9" t="s">
        <v>9</v>
      </c>
      <c r="C1321" s="9">
        <v>1910</v>
      </c>
      <c r="D1321" s="10">
        <v>45602</v>
      </c>
      <c r="E1321" s="13" t="str">
        <f>+HYPERLINK("http://trademark.i-assist.jp/data/china/image_1910th/80161537.pdf","80161537")</f>
        <v>80161537</v>
      </c>
      <c r="F1321" s="9" t="s">
        <v>3735</v>
      </c>
      <c r="G1321" s="9" t="s">
        <v>3736</v>
      </c>
      <c r="H1321" s="9" t="s">
        <v>3737</v>
      </c>
      <c r="I1321" s="10">
        <v>45506</v>
      </c>
    </row>
    <row r="1322" spans="1:9" x14ac:dyDescent="0.15">
      <c r="A1322" s="9">
        <v>1321</v>
      </c>
      <c r="B1322" s="9" t="s">
        <v>9</v>
      </c>
      <c r="C1322" s="9">
        <v>1910</v>
      </c>
      <c r="D1322" s="10">
        <v>45602</v>
      </c>
      <c r="E1322" s="13" t="str">
        <f>+HYPERLINK("http://trademark.i-assist.jp/data/china/image_1910th/80161827.pdf","80161827")</f>
        <v>80161827</v>
      </c>
      <c r="F1322" s="11" t="s">
        <v>3738</v>
      </c>
      <c r="G1322" s="11" t="s">
        <v>144</v>
      </c>
      <c r="H1322" s="9" t="s">
        <v>16</v>
      </c>
      <c r="I1322" s="10">
        <v>45506</v>
      </c>
    </row>
    <row r="1323" spans="1:9" x14ac:dyDescent="0.15">
      <c r="A1323" s="9">
        <v>1322</v>
      </c>
      <c r="B1323" s="9" t="s">
        <v>9</v>
      </c>
      <c r="C1323" s="9">
        <v>1910</v>
      </c>
      <c r="D1323" s="10">
        <v>45602</v>
      </c>
      <c r="E1323" s="13" t="str">
        <f>+HYPERLINK("http://trademark.i-assist.jp/data/china/image_1910th/80161845.pdf","80161845")</f>
        <v>80161845</v>
      </c>
      <c r="F1323" s="11" t="s">
        <v>3739</v>
      </c>
      <c r="G1323" s="9" t="s">
        <v>3740</v>
      </c>
      <c r="H1323" s="9" t="s">
        <v>3741</v>
      </c>
      <c r="I1323" s="10">
        <v>45506</v>
      </c>
    </row>
    <row r="1324" spans="1:9" x14ac:dyDescent="0.15">
      <c r="A1324" s="9">
        <v>1323</v>
      </c>
      <c r="B1324" s="9" t="s">
        <v>9</v>
      </c>
      <c r="C1324" s="9">
        <v>1910</v>
      </c>
      <c r="D1324" s="10">
        <v>45602</v>
      </c>
      <c r="E1324" s="13" t="str">
        <f>+HYPERLINK("http://trademark.i-assist.jp/data/china/image_1910th/80161867.pdf","80161867")</f>
        <v>80161867</v>
      </c>
      <c r="F1324" s="9" t="s">
        <v>3742</v>
      </c>
      <c r="G1324" s="9" t="s">
        <v>3743</v>
      </c>
      <c r="H1324" s="9" t="s">
        <v>3744</v>
      </c>
      <c r="I1324" s="10">
        <v>45506</v>
      </c>
    </row>
    <row r="1325" spans="1:9" x14ac:dyDescent="0.15">
      <c r="A1325" s="9">
        <v>1324</v>
      </c>
      <c r="B1325" s="9" t="s">
        <v>9</v>
      </c>
      <c r="C1325" s="9">
        <v>1910</v>
      </c>
      <c r="D1325" s="10">
        <v>45602</v>
      </c>
      <c r="E1325" s="13" t="str">
        <f>+HYPERLINK("http://trademark.i-assist.jp/data/china/image_1910th/80162005.pdf","80162005")</f>
        <v>80162005</v>
      </c>
      <c r="F1325" s="9" t="s">
        <v>3745</v>
      </c>
      <c r="G1325" s="9" t="s">
        <v>3466</v>
      </c>
      <c r="H1325" s="9" t="s">
        <v>3746</v>
      </c>
      <c r="I1325" s="10">
        <v>45506</v>
      </c>
    </row>
    <row r="1326" spans="1:9" x14ac:dyDescent="0.15">
      <c r="A1326" s="9">
        <v>1325</v>
      </c>
      <c r="B1326" s="9" t="s">
        <v>9</v>
      </c>
      <c r="C1326" s="9">
        <v>1910</v>
      </c>
      <c r="D1326" s="10">
        <v>45602</v>
      </c>
      <c r="E1326" s="13" t="str">
        <f>+HYPERLINK("http://trademark.i-assist.jp/data/china/image_1910th/80162034.pdf","80162034")</f>
        <v>80162034</v>
      </c>
      <c r="F1326" s="9" t="s">
        <v>3747</v>
      </c>
      <c r="G1326" s="9" t="s">
        <v>3748</v>
      </c>
      <c r="H1326" s="9" t="s">
        <v>3749</v>
      </c>
      <c r="I1326" s="10">
        <v>45506</v>
      </c>
    </row>
    <row r="1327" spans="1:9" x14ac:dyDescent="0.15">
      <c r="A1327" s="9">
        <v>1326</v>
      </c>
      <c r="B1327" s="9" t="s">
        <v>9</v>
      </c>
      <c r="C1327" s="9">
        <v>1910</v>
      </c>
      <c r="D1327" s="10">
        <v>45602</v>
      </c>
      <c r="E1327" s="13" t="str">
        <f>+HYPERLINK("http://trademark.i-assist.jp/data/china/image_1910th/80162398.pdf","80162398")</f>
        <v>80162398</v>
      </c>
      <c r="F1327" s="9" t="s">
        <v>3750</v>
      </c>
      <c r="G1327" s="9" t="s">
        <v>3751</v>
      </c>
      <c r="H1327" s="9" t="s">
        <v>3752</v>
      </c>
      <c r="I1327" s="10">
        <v>45506</v>
      </c>
    </row>
    <row r="1328" spans="1:9" x14ac:dyDescent="0.15">
      <c r="A1328" s="9">
        <v>1327</v>
      </c>
      <c r="B1328" s="9" t="s">
        <v>9</v>
      </c>
      <c r="C1328" s="9">
        <v>1910</v>
      </c>
      <c r="D1328" s="10">
        <v>45602</v>
      </c>
      <c r="E1328" s="13" t="str">
        <f>+HYPERLINK("http://trademark.i-assist.jp/data/china/image_1910th/80162439.pdf","80162439")</f>
        <v>80162439</v>
      </c>
      <c r="F1328" s="9" t="s">
        <v>3753</v>
      </c>
      <c r="G1328" s="9" t="s">
        <v>3358</v>
      </c>
      <c r="H1328" s="9" t="s">
        <v>3754</v>
      </c>
      <c r="I1328" s="10">
        <v>45506</v>
      </c>
    </row>
    <row r="1329" spans="1:9" x14ac:dyDescent="0.15">
      <c r="A1329" s="9">
        <v>1328</v>
      </c>
      <c r="B1329" s="9" t="s">
        <v>9</v>
      </c>
      <c r="C1329" s="9">
        <v>1910</v>
      </c>
      <c r="D1329" s="10">
        <v>45602</v>
      </c>
      <c r="E1329" s="13" t="str">
        <f>+HYPERLINK("http://trademark.i-assist.jp/data/china/image_1910th/80162450.pdf","80162450")</f>
        <v>80162450</v>
      </c>
      <c r="F1329" s="9" t="s">
        <v>3755</v>
      </c>
      <c r="G1329" s="9" t="s">
        <v>3358</v>
      </c>
      <c r="H1329" s="9" t="s">
        <v>3756</v>
      </c>
      <c r="I1329" s="10">
        <v>45506</v>
      </c>
    </row>
    <row r="1330" spans="1:9" x14ac:dyDescent="0.15">
      <c r="A1330" s="9">
        <v>1329</v>
      </c>
      <c r="B1330" s="9" t="s">
        <v>9</v>
      </c>
      <c r="C1330" s="9">
        <v>1910</v>
      </c>
      <c r="D1330" s="10">
        <v>45602</v>
      </c>
      <c r="E1330" s="13" t="str">
        <f>+HYPERLINK("http://trademark.i-assist.jp/data/china/image_1910th/80162491.pdf","80162491")</f>
        <v>80162491</v>
      </c>
      <c r="F1330" s="9" t="s">
        <v>3757</v>
      </c>
      <c r="G1330" s="9" t="s">
        <v>38</v>
      </c>
      <c r="H1330" s="11" t="s">
        <v>3758</v>
      </c>
      <c r="I1330" s="10">
        <v>45506</v>
      </c>
    </row>
    <row r="1331" spans="1:9" x14ac:dyDescent="0.15">
      <c r="A1331" s="9">
        <v>1330</v>
      </c>
      <c r="B1331" s="9" t="s">
        <v>9</v>
      </c>
      <c r="C1331" s="9">
        <v>1910</v>
      </c>
      <c r="D1331" s="10">
        <v>45602</v>
      </c>
      <c r="E1331" s="13" t="str">
        <f>+HYPERLINK("http://trademark.i-assist.jp/data/china/image_1910th/80162529.pdf","80162529")</f>
        <v>80162529</v>
      </c>
      <c r="F1331" s="9" t="s">
        <v>3759</v>
      </c>
      <c r="G1331" s="9" t="s">
        <v>3760</v>
      </c>
      <c r="H1331" s="9" t="s">
        <v>3761</v>
      </c>
      <c r="I1331" s="10">
        <v>45506</v>
      </c>
    </row>
    <row r="1332" spans="1:9" x14ac:dyDescent="0.15">
      <c r="A1332" s="9">
        <v>1331</v>
      </c>
      <c r="B1332" s="9" t="s">
        <v>9</v>
      </c>
      <c r="C1332" s="9">
        <v>1910</v>
      </c>
      <c r="D1332" s="10">
        <v>45602</v>
      </c>
      <c r="E1332" s="13" t="str">
        <f>+HYPERLINK("http://trademark.i-assist.jp/data/china/image_1910th/80162815.pdf","80162815")</f>
        <v>80162815</v>
      </c>
      <c r="F1332" s="11" t="s">
        <v>3762</v>
      </c>
      <c r="G1332" s="11" t="s">
        <v>3731</v>
      </c>
      <c r="H1332" s="9" t="s">
        <v>3763</v>
      </c>
      <c r="I1332" s="10">
        <v>45506</v>
      </c>
    </row>
    <row r="1333" spans="1:9" x14ac:dyDescent="0.15">
      <c r="A1333" s="9">
        <v>1332</v>
      </c>
      <c r="B1333" s="9" t="s">
        <v>9</v>
      </c>
      <c r="C1333" s="9">
        <v>1910</v>
      </c>
      <c r="D1333" s="10">
        <v>45602</v>
      </c>
      <c r="E1333" s="13" t="str">
        <f>+HYPERLINK("http://trademark.i-assist.jp/data/china/image_1910th/80162976.pdf","80162976")</f>
        <v>80162976</v>
      </c>
      <c r="F1333" s="9" t="s">
        <v>3764</v>
      </c>
      <c r="G1333" s="9" t="s">
        <v>3448</v>
      </c>
      <c r="H1333" s="9" t="s">
        <v>3765</v>
      </c>
      <c r="I1333" s="10">
        <v>45506</v>
      </c>
    </row>
    <row r="1334" spans="1:9" x14ac:dyDescent="0.15">
      <c r="A1334" s="9">
        <v>1333</v>
      </c>
      <c r="B1334" s="9" t="s">
        <v>9</v>
      </c>
      <c r="C1334" s="9">
        <v>1910</v>
      </c>
      <c r="D1334" s="10">
        <v>45602</v>
      </c>
      <c r="E1334" s="13" t="str">
        <f>+HYPERLINK("http://trademark.i-assist.jp/data/china/image_1910th/80163020.pdf","80163020")</f>
        <v>80163020</v>
      </c>
      <c r="F1334" s="9" t="s">
        <v>3766</v>
      </c>
      <c r="G1334" s="9" t="s">
        <v>3767</v>
      </c>
      <c r="H1334" s="11" t="s">
        <v>3768</v>
      </c>
      <c r="I1334" s="10">
        <v>45506</v>
      </c>
    </row>
    <row r="1335" spans="1:9" x14ac:dyDescent="0.15">
      <c r="A1335" s="9">
        <v>1334</v>
      </c>
      <c r="B1335" s="9" t="s">
        <v>9</v>
      </c>
      <c r="C1335" s="9">
        <v>1910</v>
      </c>
      <c r="D1335" s="10">
        <v>45602</v>
      </c>
      <c r="E1335" s="13" t="str">
        <f>+HYPERLINK("http://trademark.i-assist.jp/data/china/image_1910th/80163201.pdf","80163201")</f>
        <v>80163201</v>
      </c>
      <c r="F1335" s="9" t="s">
        <v>3769</v>
      </c>
      <c r="G1335" s="9" t="s">
        <v>3770</v>
      </c>
      <c r="H1335" s="9" t="s">
        <v>3771</v>
      </c>
      <c r="I1335" s="10">
        <v>45506</v>
      </c>
    </row>
    <row r="1336" spans="1:9" x14ac:dyDescent="0.15">
      <c r="A1336" s="9">
        <v>1335</v>
      </c>
      <c r="B1336" s="9" t="s">
        <v>9</v>
      </c>
      <c r="C1336" s="9">
        <v>1910</v>
      </c>
      <c r="D1336" s="10">
        <v>45602</v>
      </c>
      <c r="E1336" s="13" t="str">
        <f>+HYPERLINK("http://trademark.i-assist.jp/data/china/image_1910th/80163270.pdf","80163270")</f>
        <v>80163270</v>
      </c>
      <c r="F1336" s="9" t="s">
        <v>3772</v>
      </c>
      <c r="G1336" s="9" t="s">
        <v>3773</v>
      </c>
      <c r="H1336" s="11" t="s">
        <v>3774</v>
      </c>
      <c r="I1336" s="10">
        <v>45506</v>
      </c>
    </row>
    <row r="1337" spans="1:9" x14ac:dyDescent="0.15">
      <c r="A1337" s="9">
        <v>1336</v>
      </c>
      <c r="B1337" s="9" t="s">
        <v>9</v>
      </c>
      <c r="C1337" s="9">
        <v>1910</v>
      </c>
      <c r="D1337" s="10">
        <v>45602</v>
      </c>
      <c r="E1337" s="13" t="str">
        <f>+HYPERLINK("http://trademark.i-assist.jp/data/china/image_1910th/80163510.pdf","80163510")</f>
        <v>80163510</v>
      </c>
      <c r="F1337" s="9" t="s">
        <v>3775</v>
      </c>
      <c r="G1337" s="9" t="s">
        <v>3398</v>
      </c>
      <c r="H1337" s="9" t="s">
        <v>3776</v>
      </c>
      <c r="I1337" s="10">
        <v>45506</v>
      </c>
    </row>
    <row r="1338" spans="1:9" x14ac:dyDescent="0.15">
      <c r="A1338" s="9">
        <v>1337</v>
      </c>
      <c r="B1338" s="9" t="s">
        <v>9</v>
      </c>
      <c r="C1338" s="9">
        <v>1910</v>
      </c>
      <c r="D1338" s="10">
        <v>45602</v>
      </c>
      <c r="E1338" s="13" t="str">
        <f>+HYPERLINK("http://trademark.i-assist.jp/data/china/image_1910th/80163516.pdf","80163516")</f>
        <v>80163516</v>
      </c>
      <c r="F1338" s="11" t="s">
        <v>3777</v>
      </c>
      <c r="G1338" s="9" t="s">
        <v>3778</v>
      </c>
      <c r="H1338" s="9" t="s">
        <v>3779</v>
      </c>
      <c r="I1338" s="10">
        <v>45506</v>
      </c>
    </row>
    <row r="1339" spans="1:9" x14ac:dyDescent="0.15">
      <c r="A1339" s="9">
        <v>1338</v>
      </c>
      <c r="B1339" s="9" t="s">
        <v>9</v>
      </c>
      <c r="C1339" s="9">
        <v>1910</v>
      </c>
      <c r="D1339" s="10">
        <v>45602</v>
      </c>
      <c r="E1339" s="13" t="str">
        <f>+HYPERLINK("http://trademark.i-assist.jp/data/china/image_1910th/80163573.pdf","80163573")</f>
        <v>80163573</v>
      </c>
      <c r="F1339" s="9" t="s">
        <v>3372</v>
      </c>
      <c r="G1339" s="9" t="s">
        <v>3373</v>
      </c>
      <c r="H1339" s="9" t="s">
        <v>3780</v>
      </c>
      <c r="I1339" s="10">
        <v>45506</v>
      </c>
    </row>
    <row r="1340" spans="1:9" x14ac:dyDescent="0.15">
      <c r="A1340" s="9">
        <v>1339</v>
      </c>
      <c r="B1340" s="9" t="s">
        <v>9</v>
      </c>
      <c r="C1340" s="9">
        <v>1910</v>
      </c>
      <c r="D1340" s="10">
        <v>45602</v>
      </c>
      <c r="E1340" s="13" t="str">
        <f>+HYPERLINK("http://trademark.i-assist.jp/data/china/image_1910th/80163837.pdf","80163837")</f>
        <v>80163837</v>
      </c>
      <c r="F1340" s="9" t="s">
        <v>3781</v>
      </c>
      <c r="G1340" s="9" t="s">
        <v>3782</v>
      </c>
      <c r="H1340" s="11" t="s">
        <v>3783</v>
      </c>
      <c r="I1340" s="10">
        <v>45506</v>
      </c>
    </row>
    <row r="1341" spans="1:9" x14ac:dyDescent="0.15">
      <c r="A1341" s="9">
        <v>1340</v>
      </c>
      <c r="B1341" s="9" t="s">
        <v>9</v>
      </c>
      <c r="C1341" s="9">
        <v>1910</v>
      </c>
      <c r="D1341" s="10">
        <v>45602</v>
      </c>
      <c r="E1341" s="13" t="str">
        <f>+HYPERLINK("http://trademark.i-assist.jp/data/china/image_1910th/80164059.pdf","80164059")</f>
        <v>80164059</v>
      </c>
      <c r="F1341" s="9" t="s">
        <v>3784</v>
      </c>
      <c r="G1341" s="9" t="s">
        <v>3785</v>
      </c>
      <c r="H1341" s="9" t="s">
        <v>3786</v>
      </c>
      <c r="I1341" s="10">
        <v>45506</v>
      </c>
    </row>
    <row r="1342" spans="1:9" x14ac:dyDescent="0.15">
      <c r="A1342" s="9">
        <v>1341</v>
      </c>
      <c r="B1342" s="9" t="s">
        <v>9</v>
      </c>
      <c r="C1342" s="9">
        <v>1910</v>
      </c>
      <c r="D1342" s="10">
        <v>45602</v>
      </c>
      <c r="E1342" s="13" t="str">
        <f>+HYPERLINK("http://trademark.i-assist.jp/data/china/image_1910th/80164538.pdf","80164538")</f>
        <v>80164538</v>
      </c>
      <c r="F1342" s="9" t="s">
        <v>3787</v>
      </c>
      <c r="G1342" s="9" t="s">
        <v>3788</v>
      </c>
      <c r="H1342" s="9" t="s">
        <v>3789</v>
      </c>
      <c r="I1342" s="10">
        <v>45506</v>
      </c>
    </row>
    <row r="1343" spans="1:9" x14ac:dyDescent="0.15">
      <c r="A1343" s="9">
        <v>1342</v>
      </c>
      <c r="B1343" s="9" t="s">
        <v>9</v>
      </c>
      <c r="C1343" s="9">
        <v>1910</v>
      </c>
      <c r="D1343" s="10">
        <v>45602</v>
      </c>
      <c r="E1343" s="13" t="str">
        <f>+HYPERLINK("http://trademark.i-assist.jp/data/china/image_1910th/80164832.pdf","80164832")</f>
        <v>80164832</v>
      </c>
      <c r="F1343" s="11" t="s">
        <v>19</v>
      </c>
      <c r="G1343" s="9" t="s">
        <v>3790</v>
      </c>
      <c r="H1343" s="9" t="s">
        <v>3791</v>
      </c>
      <c r="I1343" s="10">
        <v>45507</v>
      </c>
    </row>
    <row r="1344" spans="1:9" x14ac:dyDescent="0.15">
      <c r="A1344" s="9">
        <v>1343</v>
      </c>
      <c r="B1344" s="9" t="s">
        <v>9</v>
      </c>
      <c r="C1344" s="9">
        <v>1910</v>
      </c>
      <c r="D1344" s="10">
        <v>45602</v>
      </c>
      <c r="E1344" s="13" t="str">
        <f>+HYPERLINK("http://trademark.i-assist.jp/data/china/image_1910th/80165202.pdf","80165202")</f>
        <v>80165202</v>
      </c>
      <c r="F1344" s="11" t="s">
        <v>19</v>
      </c>
      <c r="G1344" s="11" t="s">
        <v>3792</v>
      </c>
      <c r="H1344" s="9" t="s">
        <v>3793</v>
      </c>
      <c r="I1344" s="10">
        <v>45507</v>
      </c>
    </row>
    <row r="1345" spans="1:9" x14ac:dyDescent="0.15">
      <c r="A1345" s="9">
        <v>1344</v>
      </c>
      <c r="B1345" s="9" t="s">
        <v>9</v>
      </c>
      <c r="C1345" s="9">
        <v>1910</v>
      </c>
      <c r="D1345" s="10">
        <v>45602</v>
      </c>
      <c r="E1345" s="13" t="str">
        <f>+HYPERLINK("http://trademark.i-assist.jp/data/china/image_1910th/80165271.pdf","80165271")</f>
        <v>80165271</v>
      </c>
      <c r="F1345" s="9" t="s">
        <v>3794</v>
      </c>
      <c r="G1345" s="11" t="s">
        <v>3795</v>
      </c>
      <c r="H1345" s="9" t="s">
        <v>3796</v>
      </c>
      <c r="I1345" s="10">
        <v>45507</v>
      </c>
    </row>
    <row r="1346" spans="1:9" x14ac:dyDescent="0.15">
      <c r="A1346" s="9">
        <v>1345</v>
      </c>
      <c r="B1346" s="9" t="s">
        <v>9</v>
      </c>
      <c r="C1346" s="9">
        <v>1910</v>
      </c>
      <c r="D1346" s="10">
        <v>45602</v>
      </c>
      <c r="E1346" s="13" t="str">
        <f>+HYPERLINK("http://trademark.i-assist.jp/data/china/image_1910th/80165541.pdf","80165541")</f>
        <v>80165541</v>
      </c>
      <c r="F1346" s="9" t="s">
        <v>3797</v>
      </c>
      <c r="G1346" s="9" t="s">
        <v>915</v>
      </c>
      <c r="H1346" s="9" t="s">
        <v>3798</v>
      </c>
      <c r="I1346" s="10">
        <v>45507</v>
      </c>
    </row>
    <row r="1347" spans="1:9" x14ac:dyDescent="0.15">
      <c r="A1347" s="9">
        <v>1346</v>
      </c>
      <c r="B1347" s="9" t="s">
        <v>9</v>
      </c>
      <c r="C1347" s="9">
        <v>1910</v>
      </c>
      <c r="D1347" s="10">
        <v>45602</v>
      </c>
      <c r="E1347" s="13" t="str">
        <f>+HYPERLINK("http://trademark.i-assist.jp/data/china/image_1910th/80165635.pdf","80165635")</f>
        <v>80165635</v>
      </c>
      <c r="F1347" s="11" t="s">
        <v>19</v>
      </c>
      <c r="G1347" s="9" t="s">
        <v>3799</v>
      </c>
      <c r="H1347" s="9" t="s">
        <v>3800</v>
      </c>
      <c r="I1347" s="10">
        <v>45507</v>
      </c>
    </row>
    <row r="1348" spans="1:9" x14ac:dyDescent="0.15">
      <c r="A1348" s="9">
        <v>1347</v>
      </c>
      <c r="B1348" s="9" t="s">
        <v>9</v>
      </c>
      <c r="C1348" s="9">
        <v>1910</v>
      </c>
      <c r="D1348" s="10">
        <v>45602</v>
      </c>
      <c r="E1348" s="13" t="str">
        <f>+HYPERLINK("http://trademark.i-assist.jp/data/china/image_1910th/80165637.pdf","80165637")</f>
        <v>80165637</v>
      </c>
      <c r="F1348" s="9" t="s">
        <v>3801</v>
      </c>
      <c r="G1348" s="9" t="s">
        <v>3802</v>
      </c>
      <c r="H1348" s="9" t="s">
        <v>3803</v>
      </c>
      <c r="I1348" s="10">
        <v>45507</v>
      </c>
    </row>
    <row r="1349" spans="1:9" x14ac:dyDescent="0.15">
      <c r="A1349" s="9">
        <v>1348</v>
      </c>
      <c r="B1349" s="9" t="s">
        <v>9</v>
      </c>
      <c r="C1349" s="9">
        <v>1910</v>
      </c>
      <c r="D1349" s="10">
        <v>45602</v>
      </c>
      <c r="E1349" s="13" t="str">
        <f>+HYPERLINK("http://trademark.i-assist.jp/data/china/image_1910th/80165651.pdf","80165651")</f>
        <v>80165651</v>
      </c>
      <c r="F1349" s="11" t="s">
        <v>3804</v>
      </c>
      <c r="G1349" s="9" t="s">
        <v>161</v>
      </c>
      <c r="H1349" s="9" t="s">
        <v>3805</v>
      </c>
      <c r="I1349" s="10">
        <v>45507</v>
      </c>
    </row>
    <row r="1350" spans="1:9" x14ac:dyDescent="0.15">
      <c r="A1350" s="9">
        <v>1349</v>
      </c>
      <c r="B1350" s="9" t="s">
        <v>9</v>
      </c>
      <c r="C1350" s="9">
        <v>1910</v>
      </c>
      <c r="D1350" s="10">
        <v>45602</v>
      </c>
      <c r="E1350" s="13" t="str">
        <f>+HYPERLINK("http://trademark.i-assist.jp/data/china/image_1910th/80165812.pdf","80165812")</f>
        <v>80165812</v>
      </c>
      <c r="F1350" s="9" t="s">
        <v>3806</v>
      </c>
      <c r="G1350" s="9" t="s">
        <v>3807</v>
      </c>
      <c r="H1350" s="9" t="s">
        <v>3808</v>
      </c>
      <c r="I1350" s="10">
        <v>45507</v>
      </c>
    </row>
    <row r="1351" spans="1:9" x14ac:dyDescent="0.15">
      <c r="A1351" s="9">
        <v>1350</v>
      </c>
      <c r="B1351" s="9" t="s">
        <v>9</v>
      </c>
      <c r="C1351" s="9">
        <v>1910</v>
      </c>
      <c r="D1351" s="10">
        <v>45602</v>
      </c>
      <c r="E1351" s="13" t="str">
        <f>+HYPERLINK("http://trademark.i-assist.jp/data/china/image_1910th/80166015.pdf","80166015")</f>
        <v>80166015</v>
      </c>
      <c r="F1351" s="9" t="s">
        <v>3809</v>
      </c>
      <c r="G1351" s="9" t="s">
        <v>3810</v>
      </c>
      <c r="H1351" s="9" t="s">
        <v>3811</v>
      </c>
      <c r="I1351" s="10">
        <v>45507</v>
      </c>
    </row>
    <row r="1352" spans="1:9" x14ac:dyDescent="0.15">
      <c r="A1352" s="9">
        <v>1351</v>
      </c>
      <c r="B1352" s="9" t="s">
        <v>9</v>
      </c>
      <c r="C1352" s="9">
        <v>1910</v>
      </c>
      <c r="D1352" s="10">
        <v>45602</v>
      </c>
      <c r="E1352" s="13" t="str">
        <f>+HYPERLINK("http://trademark.i-assist.jp/data/china/image_1910th/80166109.pdf","80166109")</f>
        <v>80166109</v>
      </c>
      <c r="F1352" s="9" t="s">
        <v>3812</v>
      </c>
      <c r="G1352" s="11" t="s">
        <v>3813</v>
      </c>
      <c r="H1352" s="9" t="s">
        <v>3814</v>
      </c>
      <c r="I1352" s="10">
        <v>45507</v>
      </c>
    </row>
    <row r="1353" spans="1:9" x14ac:dyDescent="0.15">
      <c r="A1353" s="9">
        <v>1352</v>
      </c>
      <c r="B1353" s="9" t="s">
        <v>9</v>
      </c>
      <c r="C1353" s="9">
        <v>1910</v>
      </c>
      <c r="D1353" s="10">
        <v>45602</v>
      </c>
      <c r="E1353" s="13" t="str">
        <f>+HYPERLINK("http://trademark.i-assist.jp/data/china/image_1910th/80166157.pdf","80166157")</f>
        <v>80166157</v>
      </c>
      <c r="F1353" s="9" t="s">
        <v>3815</v>
      </c>
      <c r="G1353" s="11" t="s">
        <v>3816</v>
      </c>
      <c r="H1353" s="9" t="s">
        <v>3817</v>
      </c>
      <c r="I1353" s="10">
        <v>45507</v>
      </c>
    </row>
    <row r="1354" spans="1:9" x14ac:dyDescent="0.15">
      <c r="A1354" s="9">
        <v>1353</v>
      </c>
      <c r="B1354" s="9" t="s">
        <v>9</v>
      </c>
      <c r="C1354" s="9">
        <v>1910</v>
      </c>
      <c r="D1354" s="10">
        <v>45602</v>
      </c>
      <c r="E1354" s="13" t="str">
        <f>+HYPERLINK("http://trademark.i-assist.jp/data/china/image_1910th/80166174.pdf","80166174")</f>
        <v>80166174</v>
      </c>
      <c r="F1354" s="11" t="s">
        <v>3818</v>
      </c>
      <c r="G1354" s="9" t="s">
        <v>126</v>
      </c>
      <c r="H1354" s="9" t="s">
        <v>3819</v>
      </c>
      <c r="I1354" s="10">
        <v>45507</v>
      </c>
    </row>
    <row r="1355" spans="1:9" x14ac:dyDescent="0.15">
      <c r="A1355" s="9">
        <v>1354</v>
      </c>
      <c r="B1355" s="9" t="s">
        <v>9</v>
      </c>
      <c r="C1355" s="9">
        <v>1910</v>
      </c>
      <c r="D1355" s="10">
        <v>45602</v>
      </c>
      <c r="E1355" s="13" t="str">
        <f>+HYPERLINK("http://trademark.i-assist.jp/data/china/image_1910th/80166194.pdf","80166194")</f>
        <v>80166194</v>
      </c>
      <c r="F1355" s="9" t="s">
        <v>3820</v>
      </c>
      <c r="G1355" s="9" t="s">
        <v>3821</v>
      </c>
      <c r="H1355" s="9" t="s">
        <v>3822</v>
      </c>
      <c r="I1355" s="10">
        <v>45507</v>
      </c>
    </row>
    <row r="1356" spans="1:9" x14ac:dyDescent="0.15">
      <c r="A1356" s="9">
        <v>1355</v>
      </c>
      <c r="B1356" s="9" t="s">
        <v>9</v>
      </c>
      <c r="C1356" s="9">
        <v>1910</v>
      </c>
      <c r="D1356" s="10">
        <v>45602</v>
      </c>
      <c r="E1356" s="13" t="str">
        <f>+HYPERLINK("http://trademark.i-assist.jp/data/china/image_1910th/80166330.pdf","80166330")</f>
        <v>80166330</v>
      </c>
      <c r="F1356" s="9" t="s">
        <v>3823</v>
      </c>
      <c r="G1356" s="9" t="s">
        <v>3824</v>
      </c>
      <c r="H1356" s="9" t="s">
        <v>3825</v>
      </c>
      <c r="I1356" s="10">
        <v>45507</v>
      </c>
    </row>
    <row r="1357" spans="1:9" x14ac:dyDescent="0.15">
      <c r="A1357" s="9">
        <v>1356</v>
      </c>
      <c r="B1357" s="9" t="s">
        <v>9</v>
      </c>
      <c r="C1357" s="9">
        <v>1910</v>
      </c>
      <c r="D1357" s="10">
        <v>45602</v>
      </c>
      <c r="E1357" s="13" t="str">
        <f>+HYPERLINK("http://trademark.i-assist.jp/data/china/image_1910th/80166350.pdf","80166350")</f>
        <v>80166350</v>
      </c>
      <c r="F1357" s="11" t="s">
        <v>3826</v>
      </c>
      <c r="G1357" s="9" t="s">
        <v>3821</v>
      </c>
      <c r="H1357" s="11" t="s">
        <v>3827</v>
      </c>
      <c r="I1357" s="10">
        <v>45507</v>
      </c>
    </row>
    <row r="1358" spans="1:9" x14ac:dyDescent="0.15">
      <c r="A1358" s="9">
        <v>1357</v>
      </c>
      <c r="B1358" s="9" t="s">
        <v>9</v>
      </c>
      <c r="C1358" s="9">
        <v>1910</v>
      </c>
      <c r="D1358" s="10">
        <v>45602</v>
      </c>
      <c r="E1358" s="13" t="str">
        <f>+HYPERLINK("http://trademark.i-assist.jp/data/china/image_1910th/80166541.pdf","80166541")</f>
        <v>80166541</v>
      </c>
      <c r="F1358" s="9" t="s">
        <v>3828</v>
      </c>
      <c r="G1358" s="9" t="s">
        <v>3829</v>
      </c>
      <c r="H1358" s="9" t="s">
        <v>3830</v>
      </c>
      <c r="I1358" s="10">
        <v>45507</v>
      </c>
    </row>
    <row r="1359" spans="1:9" x14ac:dyDescent="0.15">
      <c r="A1359" s="9">
        <v>1358</v>
      </c>
      <c r="B1359" s="9" t="s">
        <v>9</v>
      </c>
      <c r="C1359" s="9">
        <v>1910</v>
      </c>
      <c r="D1359" s="10">
        <v>45602</v>
      </c>
      <c r="E1359" s="13" t="str">
        <f>+HYPERLINK("http://trademark.i-assist.jp/data/china/image_1910th/80166717.pdf","80166717")</f>
        <v>80166717</v>
      </c>
      <c r="F1359" s="9" t="s">
        <v>3831</v>
      </c>
      <c r="G1359" s="9" t="s">
        <v>3824</v>
      </c>
      <c r="H1359" s="9" t="s">
        <v>3832</v>
      </c>
      <c r="I1359" s="10">
        <v>45507</v>
      </c>
    </row>
    <row r="1360" spans="1:9" x14ac:dyDescent="0.15">
      <c r="A1360" s="9">
        <v>1359</v>
      </c>
      <c r="B1360" s="9" t="s">
        <v>9</v>
      </c>
      <c r="C1360" s="9">
        <v>1910</v>
      </c>
      <c r="D1360" s="10">
        <v>45602</v>
      </c>
      <c r="E1360" s="13" t="str">
        <f>+HYPERLINK("http://trademark.i-assist.jp/data/china/image_1910th/80166774.pdf","80166774")</f>
        <v>80166774</v>
      </c>
      <c r="F1360" s="9" t="s">
        <v>3833</v>
      </c>
      <c r="G1360" s="9" t="s">
        <v>38</v>
      </c>
      <c r="H1360" s="9" t="s">
        <v>3834</v>
      </c>
      <c r="I1360" s="10">
        <v>45507</v>
      </c>
    </row>
    <row r="1361" spans="1:9" x14ac:dyDescent="0.15">
      <c r="A1361" s="9">
        <v>1360</v>
      </c>
      <c r="B1361" s="9" t="s">
        <v>9</v>
      </c>
      <c r="C1361" s="9">
        <v>1910</v>
      </c>
      <c r="D1361" s="10">
        <v>45602</v>
      </c>
      <c r="E1361" s="13" t="str">
        <f>+HYPERLINK("http://trademark.i-assist.jp/data/china/image_1910th/80166782.pdf","80166782")</f>
        <v>80166782</v>
      </c>
      <c r="F1361" s="9" t="s">
        <v>3835</v>
      </c>
      <c r="G1361" s="11" t="s">
        <v>3816</v>
      </c>
      <c r="H1361" s="9" t="s">
        <v>3836</v>
      </c>
      <c r="I1361" s="10">
        <v>45507</v>
      </c>
    </row>
    <row r="1362" spans="1:9" x14ac:dyDescent="0.15">
      <c r="A1362" s="9">
        <v>1361</v>
      </c>
      <c r="B1362" s="9" t="s">
        <v>9</v>
      </c>
      <c r="C1362" s="9">
        <v>1910</v>
      </c>
      <c r="D1362" s="10">
        <v>45602</v>
      </c>
      <c r="E1362" s="13" t="str">
        <f>+HYPERLINK("http://trademark.i-assist.jp/data/china/image_1910th/80166838.pdf","80166838")</f>
        <v>80166838</v>
      </c>
      <c r="F1362" s="11" t="s">
        <v>3837</v>
      </c>
      <c r="G1362" s="9" t="s">
        <v>161</v>
      </c>
      <c r="H1362" s="9" t="s">
        <v>3838</v>
      </c>
      <c r="I1362" s="10">
        <v>45507</v>
      </c>
    </row>
    <row r="1363" spans="1:9" x14ac:dyDescent="0.15">
      <c r="A1363" s="9">
        <v>1362</v>
      </c>
      <c r="B1363" s="9" t="s">
        <v>9</v>
      </c>
      <c r="C1363" s="9">
        <v>1910</v>
      </c>
      <c r="D1363" s="10">
        <v>45602</v>
      </c>
      <c r="E1363" s="13" t="str">
        <f>+HYPERLINK("http://trademark.i-assist.jp/data/china/image_1910th/80166845.pdf","80166845")</f>
        <v>80166845</v>
      </c>
      <c r="F1363" s="9" t="s">
        <v>3839</v>
      </c>
      <c r="G1363" s="9" t="s">
        <v>159</v>
      </c>
      <c r="H1363" s="9" t="s">
        <v>3840</v>
      </c>
      <c r="I1363" s="10">
        <v>45507</v>
      </c>
    </row>
    <row r="1364" spans="1:9" x14ac:dyDescent="0.15">
      <c r="A1364" s="9">
        <v>1363</v>
      </c>
      <c r="B1364" s="9" t="s">
        <v>9</v>
      </c>
      <c r="C1364" s="9">
        <v>1910</v>
      </c>
      <c r="D1364" s="10">
        <v>45602</v>
      </c>
      <c r="E1364" s="13" t="str">
        <f>+HYPERLINK("http://trademark.i-assist.jp/data/china/image_1910th/80166943.pdf","80166943")</f>
        <v>80166943</v>
      </c>
      <c r="F1364" s="9" t="s">
        <v>3841</v>
      </c>
      <c r="G1364" s="9" t="s">
        <v>3842</v>
      </c>
      <c r="H1364" s="11" t="s">
        <v>3843</v>
      </c>
      <c r="I1364" s="10">
        <v>45507</v>
      </c>
    </row>
    <row r="1365" spans="1:9" x14ac:dyDescent="0.15">
      <c r="A1365" s="9">
        <v>1364</v>
      </c>
      <c r="B1365" s="9" t="s">
        <v>9</v>
      </c>
      <c r="C1365" s="9">
        <v>1910</v>
      </c>
      <c r="D1365" s="10">
        <v>45602</v>
      </c>
      <c r="E1365" s="13" t="str">
        <f>+HYPERLINK("http://trademark.i-assist.jp/data/china/image_1910th/80167004.pdf","80167004")</f>
        <v>80167004</v>
      </c>
      <c r="F1365" s="9" t="s">
        <v>3844</v>
      </c>
      <c r="G1365" s="9" t="s">
        <v>3845</v>
      </c>
      <c r="H1365" s="9" t="s">
        <v>3846</v>
      </c>
      <c r="I1365" s="10">
        <v>45507</v>
      </c>
    </row>
    <row r="1366" spans="1:9" x14ac:dyDescent="0.15">
      <c r="A1366" s="9">
        <v>1365</v>
      </c>
      <c r="B1366" s="9" t="s">
        <v>9</v>
      </c>
      <c r="C1366" s="9">
        <v>1910</v>
      </c>
      <c r="D1366" s="10">
        <v>45602</v>
      </c>
      <c r="E1366" s="13" t="str">
        <f>+HYPERLINK("http://trademark.i-assist.jp/data/china/image_1910th/80167062.pdf","80167062")</f>
        <v>80167062</v>
      </c>
      <c r="F1366" s="9" t="s">
        <v>3847</v>
      </c>
      <c r="G1366" s="11" t="s">
        <v>138</v>
      </c>
      <c r="H1366" s="9" t="s">
        <v>3848</v>
      </c>
      <c r="I1366" s="10">
        <v>45507</v>
      </c>
    </row>
    <row r="1367" spans="1:9" x14ac:dyDescent="0.15">
      <c r="A1367" s="9">
        <v>1366</v>
      </c>
      <c r="B1367" s="9" t="s">
        <v>9</v>
      </c>
      <c r="C1367" s="9">
        <v>1910</v>
      </c>
      <c r="D1367" s="10">
        <v>45602</v>
      </c>
      <c r="E1367" s="13" t="str">
        <f>+HYPERLINK("http://trademark.i-assist.jp/data/china/image_1910th/80167188.pdf","80167188")</f>
        <v>80167188</v>
      </c>
      <c r="F1367" s="9" t="s">
        <v>3849</v>
      </c>
      <c r="G1367" s="9" t="s">
        <v>3850</v>
      </c>
      <c r="H1367" s="9" t="s">
        <v>3851</v>
      </c>
      <c r="I1367" s="10">
        <v>45507</v>
      </c>
    </row>
    <row r="1368" spans="1:9" x14ac:dyDescent="0.15">
      <c r="A1368" s="9">
        <v>1367</v>
      </c>
      <c r="B1368" s="9" t="s">
        <v>9</v>
      </c>
      <c r="C1368" s="9">
        <v>1910</v>
      </c>
      <c r="D1368" s="10">
        <v>45602</v>
      </c>
      <c r="E1368" s="13" t="str">
        <f>+HYPERLINK("http://trademark.i-assist.jp/data/china/image_1910th/80167347.pdf","80167347")</f>
        <v>80167347</v>
      </c>
      <c r="F1368" s="9" t="s">
        <v>3852</v>
      </c>
      <c r="G1368" s="11" t="s">
        <v>151</v>
      </c>
      <c r="H1368" s="9" t="s">
        <v>3853</v>
      </c>
      <c r="I1368" s="10">
        <v>45507</v>
      </c>
    </row>
    <row r="1369" spans="1:9" x14ac:dyDescent="0.15">
      <c r="A1369" s="9">
        <v>1368</v>
      </c>
      <c r="B1369" s="9" t="s">
        <v>9</v>
      </c>
      <c r="C1369" s="9">
        <v>1910</v>
      </c>
      <c r="D1369" s="10">
        <v>45602</v>
      </c>
      <c r="E1369" s="13" t="str">
        <f>+HYPERLINK("http://trademark.i-assist.jp/data/china/image_1910th/80167386.pdf","80167386")</f>
        <v>80167386</v>
      </c>
      <c r="F1369" s="9" t="s">
        <v>3854</v>
      </c>
      <c r="G1369" s="9" t="s">
        <v>3824</v>
      </c>
      <c r="H1369" s="9" t="s">
        <v>3855</v>
      </c>
      <c r="I1369" s="10">
        <v>45507</v>
      </c>
    </row>
    <row r="1370" spans="1:9" x14ac:dyDescent="0.15">
      <c r="A1370" s="9">
        <v>1369</v>
      </c>
      <c r="B1370" s="9" t="s">
        <v>9</v>
      </c>
      <c r="C1370" s="9">
        <v>1910</v>
      </c>
      <c r="D1370" s="10">
        <v>45602</v>
      </c>
      <c r="E1370" s="13" t="str">
        <f>+HYPERLINK("http://trademark.i-assist.jp/data/china/image_1910th/80167538.pdf","80167538")</f>
        <v>80167538</v>
      </c>
      <c r="F1370" s="9" t="s">
        <v>3856</v>
      </c>
      <c r="G1370" s="9" t="s">
        <v>3857</v>
      </c>
      <c r="H1370" s="9" t="s">
        <v>3858</v>
      </c>
      <c r="I1370" s="10">
        <v>45507</v>
      </c>
    </row>
    <row r="1371" spans="1:9" x14ac:dyDescent="0.15">
      <c r="A1371" s="9">
        <v>1370</v>
      </c>
      <c r="B1371" s="9" t="s">
        <v>9</v>
      </c>
      <c r="C1371" s="9">
        <v>1910</v>
      </c>
      <c r="D1371" s="10">
        <v>45602</v>
      </c>
      <c r="E1371" s="13" t="str">
        <f>+HYPERLINK("http://trademark.i-assist.jp/data/china/image_1910th/80167636.pdf","80167636")</f>
        <v>80167636</v>
      </c>
      <c r="F1371" s="11" t="s">
        <v>3859</v>
      </c>
      <c r="G1371" s="9" t="s">
        <v>3860</v>
      </c>
      <c r="H1371" s="9" t="s">
        <v>3861</v>
      </c>
      <c r="I1371" s="10">
        <v>45507</v>
      </c>
    </row>
    <row r="1372" spans="1:9" x14ac:dyDescent="0.15">
      <c r="A1372" s="9">
        <v>1371</v>
      </c>
      <c r="B1372" s="9" t="s">
        <v>9</v>
      </c>
      <c r="C1372" s="9">
        <v>1910</v>
      </c>
      <c r="D1372" s="10">
        <v>45602</v>
      </c>
      <c r="E1372" s="13" t="str">
        <f>+HYPERLINK("http://trademark.i-assist.jp/data/china/image_1910th/80167737.pdf","80167737")</f>
        <v>80167737</v>
      </c>
      <c r="F1372" s="9" t="s">
        <v>3862</v>
      </c>
      <c r="G1372" s="9" t="s">
        <v>3863</v>
      </c>
      <c r="H1372" s="9" t="s">
        <v>3864</v>
      </c>
      <c r="I1372" s="10">
        <v>45507</v>
      </c>
    </row>
    <row r="1373" spans="1:9" x14ac:dyDescent="0.15">
      <c r="A1373" s="9">
        <v>1372</v>
      </c>
      <c r="B1373" s="9" t="s">
        <v>9</v>
      </c>
      <c r="C1373" s="9">
        <v>1910</v>
      </c>
      <c r="D1373" s="10">
        <v>45602</v>
      </c>
      <c r="E1373" s="13" t="str">
        <f>+HYPERLINK("http://trademark.i-assist.jp/data/china/image_1910th/80167774.pdf","80167774")</f>
        <v>80167774</v>
      </c>
      <c r="F1373" s="9" t="s">
        <v>3865</v>
      </c>
      <c r="G1373" s="9" t="s">
        <v>3824</v>
      </c>
      <c r="H1373" s="9" t="s">
        <v>3866</v>
      </c>
      <c r="I1373" s="10">
        <v>45507</v>
      </c>
    </row>
    <row r="1374" spans="1:9" x14ac:dyDescent="0.15">
      <c r="A1374" s="9">
        <v>1373</v>
      </c>
      <c r="B1374" s="9" t="s">
        <v>9</v>
      </c>
      <c r="C1374" s="9">
        <v>1910</v>
      </c>
      <c r="D1374" s="10">
        <v>45602</v>
      </c>
      <c r="E1374" s="13" t="str">
        <f>+HYPERLINK("http://trademark.i-assist.jp/data/china/image_1910th/80168026.pdf","80168026")</f>
        <v>80168026</v>
      </c>
      <c r="F1374" s="9" t="s">
        <v>3867</v>
      </c>
      <c r="G1374" s="9" t="s">
        <v>161</v>
      </c>
      <c r="H1374" s="9" t="s">
        <v>3868</v>
      </c>
      <c r="I1374" s="10">
        <v>45507</v>
      </c>
    </row>
    <row r="1375" spans="1:9" x14ac:dyDescent="0.15">
      <c r="A1375" s="9">
        <v>1374</v>
      </c>
      <c r="B1375" s="9" t="s">
        <v>9</v>
      </c>
      <c r="C1375" s="9">
        <v>1910</v>
      </c>
      <c r="D1375" s="10">
        <v>45602</v>
      </c>
      <c r="E1375" s="13" t="str">
        <f>+HYPERLINK("http://trademark.i-assist.jp/data/china/image_1910th/80168036.pdf","80168036")</f>
        <v>80168036</v>
      </c>
      <c r="F1375" s="11" t="s">
        <v>3869</v>
      </c>
      <c r="G1375" s="9" t="s">
        <v>159</v>
      </c>
      <c r="H1375" s="9" t="s">
        <v>3870</v>
      </c>
      <c r="I1375" s="10">
        <v>45507</v>
      </c>
    </row>
    <row r="1376" spans="1:9" x14ac:dyDescent="0.15">
      <c r="A1376" s="9">
        <v>1375</v>
      </c>
      <c r="B1376" s="9" t="s">
        <v>9</v>
      </c>
      <c r="C1376" s="9">
        <v>1910</v>
      </c>
      <c r="D1376" s="10">
        <v>45602</v>
      </c>
      <c r="E1376" s="13" t="str">
        <f>+HYPERLINK("http://trademark.i-assist.jp/data/china/image_1910th/80168039.pdf","80168039")</f>
        <v>80168039</v>
      </c>
      <c r="F1376" s="9" t="s">
        <v>3871</v>
      </c>
      <c r="G1376" s="9" t="s">
        <v>3872</v>
      </c>
      <c r="H1376" s="9" t="s">
        <v>3873</v>
      </c>
      <c r="I1376" s="10">
        <v>45507</v>
      </c>
    </row>
    <row r="1377" spans="1:9" x14ac:dyDescent="0.15">
      <c r="A1377" s="9">
        <v>1376</v>
      </c>
      <c r="B1377" s="9" t="s">
        <v>9</v>
      </c>
      <c r="C1377" s="9">
        <v>1910</v>
      </c>
      <c r="D1377" s="10">
        <v>45602</v>
      </c>
      <c r="E1377" s="13" t="str">
        <f>+HYPERLINK("http://trademark.i-assist.jp/data/china/image_1910th/80168226.pdf","80168226")</f>
        <v>80168226</v>
      </c>
      <c r="F1377" s="9" t="s">
        <v>3874</v>
      </c>
      <c r="G1377" s="9" t="s">
        <v>13</v>
      </c>
      <c r="H1377" s="9" t="s">
        <v>3875</v>
      </c>
      <c r="I1377" s="10">
        <v>45507</v>
      </c>
    </row>
    <row r="1378" spans="1:9" x14ac:dyDescent="0.15">
      <c r="A1378" s="9">
        <v>1377</v>
      </c>
      <c r="B1378" s="9" t="s">
        <v>9</v>
      </c>
      <c r="C1378" s="9">
        <v>1910</v>
      </c>
      <c r="D1378" s="10">
        <v>45602</v>
      </c>
      <c r="E1378" s="13" t="str">
        <f>+HYPERLINK("http://trademark.i-assist.jp/data/china/image_1910th/80168401.pdf","80168401")</f>
        <v>80168401</v>
      </c>
      <c r="F1378" s="9" t="s">
        <v>3876</v>
      </c>
      <c r="G1378" s="9" t="s">
        <v>3877</v>
      </c>
      <c r="H1378" s="9" t="s">
        <v>3878</v>
      </c>
      <c r="I1378" s="10">
        <v>45507</v>
      </c>
    </row>
    <row r="1379" spans="1:9" x14ac:dyDescent="0.15">
      <c r="A1379" s="9">
        <v>1378</v>
      </c>
      <c r="B1379" s="9" t="s">
        <v>9</v>
      </c>
      <c r="C1379" s="9">
        <v>1910</v>
      </c>
      <c r="D1379" s="10">
        <v>45602</v>
      </c>
      <c r="E1379" s="13" t="str">
        <f>+HYPERLINK("http://trademark.i-assist.jp/data/china/image_1910th/80168469.pdf","80168469")</f>
        <v>80168469</v>
      </c>
      <c r="F1379" s="9" t="s">
        <v>3879</v>
      </c>
      <c r="G1379" s="9" t="s">
        <v>3880</v>
      </c>
      <c r="H1379" s="11" t="s">
        <v>3881</v>
      </c>
      <c r="I1379" s="10">
        <v>45507</v>
      </c>
    </row>
    <row r="1380" spans="1:9" x14ac:dyDescent="0.15">
      <c r="A1380" s="9">
        <v>1379</v>
      </c>
      <c r="B1380" s="9" t="s">
        <v>9</v>
      </c>
      <c r="C1380" s="9">
        <v>1910</v>
      </c>
      <c r="D1380" s="10">
        <v>45602</v>
      </c>
      <c r="E1380" s="13" t="str">
        <f>+HYPERLINK("http://trademark.i-assist.jp/data/china/image_1910th/80168490.pdf","80168490")</f>
        <v>80168490</v>
      </c>
      <c r="F1380" s="9" t="s">
        <v>3882</v>
      </c>
      <c r="G1380" s="9" t="s">
        <v>3883</v>
      </c>
      <c r="H1380" s="9" t="s">
        <v>3884</v>
      </c>
      <c r="I1380" s="10">
        <v>45507</v>
      </c>
    </row>
    <row r="1381" spans="1:9" x14ac:dyDescent="0.15">
      <c r="A1381" s="9">
        <v>1380</v>
      </c>
      <c r="B1381" s="9" t="s">
        <v>9</v>
      </c>
      <c r="C1381" s="9">
        <v>1910</v>
      </c>
      <c r="D1381" s="10">
        <v>45602</v>
      </c>
      <c r="E1381" s="13" t="str">
        <f>+HYPERLINK("http://trademark.i-assist.jp/data/china/image_1910th/80168518.pdf","80168518")</f>
        <v>80168518</v>
      </c>
      <c r="F1381" s="11" t="s">
        <v>3885</v>
      </c>
      <c r="G1381" s="9" t="s">
        <v>3886</v>
      </c>
      <c r="H1381" s="9" t="s">
        <v>3887</v>
      </c>
      <c r="I1381" s="10">
        <v>45507</v>
      </c>
    </row>
    <row r="1382" spans="1:9" x14ac:dyDescent="0.15">
      <c r="A1382" s="9">
        <v>1381</v>
      </c>
      <c r="B1382" s="9" t="s">
        <v>9</v>
      </c>
      <c r="C1382" s="9">
        <v>1910</v>
      </c>
      <c r="D1382" s="10">
        <v>45602</v>
      </c>
      <c r="E1382" s="13" t="str">
        <f>+HYPERLINK("http://trademark.i-assist.jp/data/china/image_1910th/80168558.pdf","80168558")</f>
        <v>80168558</v>
      </c>
      <c r="F1382" s="9" t="s">
        <v>3888</v>
      </c>
      <c r="G1382" s="11" t="s">
        <v>3889</v>
      </c>
      <c r="H1382" s="11" t="s">
        <v>3890</v>
      </c>
      <c r="I1382" s="10">
        <v>45507</v>
      </c>
    </row>
    <row r="1383" spans="1:9" x14ac:dyDescent="0.15">
      <c r="A1383" s="9">
        <v>1382</v>
      </c>
      <c r="B1383" s="9" t="s">
        <v>9</v>
      </c>
      <c r="C1383" s="9">
        <v>1910</v>
      </c>
      <c r="D1383" s="10">
        <v>45602</v>
      </c>
      <c r="E1383" s="13" t="str">
        <f>+HYPERLINK("http://trademark.i-assist.jp/data/china/image_1910th/80168672.pdf","80168672")</f>
        <v>80168672</v>
      </c>
      <c r="F1383" s="9" t="s">
        <v>3891</v>
      </c>
      <c r="G1383" s="9" t="s">
        <v>3821</v>
      </c>
      <c r="H1383" s="9" t="s">
        <v>3892</v>
      </c>
      <c r="I1383" s="10">
        <v>45507</v>
      </c>
    </row>
    <row r="1384" spans="1:9" x14ac:dyDescent="0.15">
      <c r="A1384" s="9">
        <v>1383</v>
      </c>
      <c r="B1384" s="9" t="s">
        <v>9</v>
      </c>
      <c r="C1384" s="9">
        <v>1910</v>
      </c>
      <c r="D1384" s="10">
        <v>45602</v>
      </c>
      <c r="E1384" s="13" t="str">
        <f>+HYPERLINK("http://trademark.i-assist.jp/data/china/image_1910th/80168947.pdf","80168947")</f>
        <v>80168947</v>
      </c>
      <c r="F1384" s="9" t="s">
        <v>3893</v>
      </c>
      <c r="G1384" s="9" t="s">
        <v>3894</v>
      </c>
      <c r="H1384" s="9" t="s">
        <v>3895</v>
      </c>
      <c r="I1384" s="10">
        <v>45507</v>
      </c>
    </row>
    <row r="1385" spans="1:9" x14ac:dyDescent="0.15">
      <c r="A1385" s="9">
        <v>1384</v>
      </c>
      <c r="B1385" s="9" t="s">
        <v>9</v>
      </c>
      <c r="C1385" s="9">
        <v>1910</v>
      </c>
      <c r="D1385" s="10">
        <v>45602</v>
      </c>
      <c r="E1385" s="13" t="str">
        <f>+HYPERLINK("http://trademark.i-assist.jp/data/china/image_1910th/80168961.pdf","80168961")</f>
        <v>80168961</v>
      </c>
      <c r="F1385" s="9" t="s">
        <v>3896</v>
      </c>
      <c r="G1385" s="9" t="s">
        <v>3897</v>
      </c>
      <c r="H1385" s="9" t="s">
        <v>3898</v>
      </c>
      <c r="I1385" s="10">
        <v>45507</v>
      </c>
    </row>
    <row r="1386" spans="1:9" x14ac:dyDescent="0.15">
      <c r="A1386" s="9">
        <v>1385</v>
      </c>
      <c r="B1386" s="9" t="s">
        <v>9</v>
      </c>
      <c r="C1386" s="9">
        <v>1910</v>
      </c>
      <c r="D1386" s="10">
        <v>45602</v>
      </c>
      <c r="E1386" s="13" t="str">
        <f>+HYPERLINK("http://trademark.i-assist.jp/data/china/image_1910th/80169035.pdf","80169035")</f>
        <v>80169035</v>
      </c>
      <c r="F1386" s="9" t="s">
        <v>3899</v>
      </c>
      <c r="G1386" s="9" t="s">
        <v>3824</v>
      </c>
      <c r="H1386" s="9" t="s">
        <v>3900</v>
      </c>
      <c r="I1386" s="10">
        <v>45507</v>
      </c>
    </row>
    <row r="1387" spans="1:9" x14ac:dyDescent="0.15">
      <c r="A1387" s="9">
        <v>1386</v>
      </c>
      <c r="B1387" s="9" t="s">
        <v>9</v>
      </c>
      <c r="C1387" s="9">
        <v>1910</v>
      </c>
      <c r="D1387" s="10">
        <v>45602</v>
      </c>
      <c r="E1387" s="13" t="str">
        <f>+HYPERLINK("http://trademark.i-assist.jp/data/china/image_1910th/80169066.pdf","80169066")</f>
        <v>80169066</v>
      </c>
      <c r="F1387" s="11" t="s">
        <v>3901</v>
      </c>
      <c r="G1387" s="9" t="s">
        <v>3821</v>
      </c>
      <c r="H1387" s="9" t="s">
        <v>3902</v>
      </c>
      <c r="I1387" s="10">
        <v>45507</v>
      </c>
    </row>
    <row r="1388" spans="1:9" x14ac:dyDescent="0.15">
      <c r="A1388" s="9">
        <v>1387</v>
      </c>
      <c r="B1388" s="9" t="s">
        <v>9</v>
      </c>
      <c r="C1388" s="9">
        <v>1910</v>
      </c>
      <c r="D1388" s="10">
        <v>45602</v>
      </c>
      <c r="E1388" s="13" t="str">
        <f>+HYPERLINK("http://trademark.i-assist.jp/data/china/image_1910th/80169180.pdf","80169180")</f>
        <v>80169180</v>
      </c>
      <c r="F1388" s="9" t="s">
        <v>3903</v>
      </c>
      <c r="G1388" s="9" t="s">
        <v>3810</v>
      </c>
      <c r="H1388" s="9" t="s">
        <v>3904</v>
      </c>
      <c r="I1388" s="10">
        <v>45507</v>
      </c>
    </row>
    <row r="1389" spans="1:9" x14ac:dyDescent="0.15">
      <c r="A1389" s="9">
        <v>1388</v>
      </c>
      <c r="B1389" s="9" t="s">
        <v>9</v>
      </c>
      <c r="C1389" s="9">
        <v>1910</v>
      </c>
      <c r="D1389" s="10">
        <v>45602</v>
      </c>
      <c r="E1389" s="13" t="str">
        <f>+HYPERLINK("http://trademark.i-assist.jp/data/china/image_1910th/80169271.pdf","80169271")</f>
        <v>80169271</v>
      </c>
      <c r="F1389" s="9" t="s">
        <v>3905</v>
      </c>
      <c r="G1389" s="9" t="s">
        <v>3906</v>
      </c>
      <c r="H1389" s="9" t="s">
        <v>3907</v>
      </c>
      <c r="I1389" s="10">
        <v>45507</v>
      </c>
    </row>
    <row r="1390" spans="1:9" x14ac:dyDescent="0.15">
      <c r="A1390" s="9">
        <v>1389</v>
      </c>
      <c r="B1390" s="9" t="s">
        <v>9</v>
      </c>
      <c r="C1390" s="9">
        <v>1910</v>
      </c>
      <c r="D1390" s="10">
        <v>45602</v>
      </c>
      <c r="E1390" s="13" t="str">
        <f>+HYPERLINK("http://trademark.i-assist.jp/data/china/image_1910th/80169397.pdf","80169397")</f>
        <v>80169397</v>
      </c>
      <c r="F1390" s="9" t="s">
        <v>3908</v>
      </c>
      <c r="G1390" s="9" t="s">
        <v>3909</v>
      </c>
      <c r="H1390" s="9" t="s">
        <v>3910</v>
      </c>
      <c r="I1390" s="10">
        <v>45507</v>
      </c>
    </row>
    <row r="1391" spans="1:9" x14ac:dyDescent="0.15">
      <c r="A1391" s="9">
        <v>1390</v>
      </c>
      <c r="B1391" s="9" t="s">
        <v>9</v>
      </c>
      <c r="C1391" s="9">
        <v>1910</v>
      </c>
      <c r="D1391" s="10">
        <v>45602</v>
      </c>
      <c r="E1391" s="13" t="str">
        <f>+HYPERLINK("http://trademark.i-assist.jp/data/china/image_1910th/80169474.pdf","80169474")</f>
        <v>80169474</v>
      </c>
      <c r="F1391" s="9" t="s">
        <v>3911</v>
      </c>
      <c r="G1391" s="9" t="s">
        <v>3912</v>
      </c>
      <c r="H1391" s="9" t="s">
        <v>3913</v>
      </c>
      <c r="I1391" s="10">
        <v>45507</v>
      </c>
    </row>
    <row r="1392" spans="1:9" x14ac:dyDescent="0.15">
      <c r="A1392" s="9">
        <v>1391</v>
      </c>
      <c r="B1392" s="9" t="s">
        <v>9</v>
      </c>
      <c r="C1392" s="9">
        <v>1910</v>
      </c>
      <c r="D1392" s="10">
        <v>45602</v>
      </c>
      <c r="E1392" s="13" t="str">
        <f>+HYPERLINK("http://trademark.i-assist.jp/data/china/image_1910th/80169569.pdf","80169569")</f>
        <v>80169569</v>
      </c>
      <c r="F1392" s="9" t="s">
        <v>3914</v>
      </c>
      <c r="G1392" s="9" t="s">
        <v>3872</v>
      </c>
      <c r="H1392" s="9" t="s">
        <v>3915</v>
      </c>
      <c r="I1392" s="10">
        <v>45507</v>
      </c>
    </row>
    <row r="1393" spans="1:9" x14ac:dyDescent="0.15">
      <c r="A1393" s="9">
        <v>1392</v>
      </c>
      <c r="B1393" s="9" t="s">
        <v>9</v>
      </c>
      <c r="C1393" s="9">
        <v>1910</v>
      </c>
      <c r="D1393" s="10">
        <v>45602</v>
      </c>
      <c r="E1393" s="13" t="str">
        <f>+HYPERLINK("http://trademark.i-assist.jp/data/china/image_1910th/80169620.pdf","80169620")</f>
        <v>80169620</v>
      </c>
      <c r="F1393" s="9" t="s">
        <v>3916</v>
      </c>
      <c r="G1393" s="9" t="s">
        <v>3917</v>
      </c>
      <c r="H1393" s="9" t="s">
        <v>3918</v>
      </c>
      <c r="I1393" s="10">
        <v>45507</v>
      </c>
    </row>
    <row r="1394" spans="1:9" x14ac:dyDescent="0.15">
      <c r="A1394" s="9">
        <v>1393</v>
      </c>
      <c r="B1394" s="9" t="s">
        <v>9</v>
      </c>
      <c r="C1394" s="9">
        <v>1910</v>
      </c>
      <c r="D1394" s="10">
        <v>45602</v>
      </c>
      <c r="E1394" s="13" t="str">
        <f>+HYPERLINK("http://trademark.i-assist.jp/data/china/image_1910th/80169782.pdf","80169782")</f>
        <v>80169782</v>
      </c>
      <c r="F1394" s="9" t="s">
        <v>3919</v>
      </c>
      <c r="G1394" s="9" t="s">
        <v>3920</v>
      </c>
      <c r="H1394" s="9" t="s">
        <v>3921</v>
      </c>
      <c r="I1394" s="10">
        <v>45508</v>
      </c>
    </row>
    <row r="1395" spans="1:9" x14ac:dyDescent="0.15">
      <c r="A1395" s="9">
        <v>1394</v>
      </c>
      <c r="B1395" s="9" t="s">
        <v>9</v>
      </c>
      <c r="C1395" s="9">
        <v>1910</v>
      </c>
      <c r="D1395" s="10">
        <v>45602</v>
      </c>
      <c r="E1395" s="13" t="str">
        <f>+HYPERLINK("http://trademark.i-assist.jp/data/china/image_1910th/80169841.pdf","80169841")</f>
        <v>80169841</v>
      </c>
      <c r="F1395" s="9" t="s">
        <v>3922</v>
      </c>
      <c r="G1395" s="9" t="s">
        <v>3923</v>
      </c>
      <c r="H1395" s="9" t="s">
        <v>3924</v>
      </c>
      <c r="I1395" s="10">
        <v>45508</v>
      </c>
    </row>
    <row r="1396" spans="1:9" x14ac:dyDescent="0.15">
      <c r="A1396" s="9">
        <v>1395</v>
      </c>
      <c r="B1396" s="9" t="s">
        <v>9</v>
      </c>
      <c r="C1396" s="9">
        <v>1910</v>
      </c>
      <c r="D1396" s="10">
        <v>45602</v>
      </c>
      <c r="E1396" s="13" t="str">
        <f>+HYPERLINK("http://trademark.i-assist.jp/data/china/image_1910th/80170011.pdf","80170011")</f>
        <v>80170011</v>
      </c>
      <c r="F1396" s="9" t="s">
        <v>3925</v>
      </c>
      <c r="G1396" s="9" t="s">
        <v>3920</v>
      </c>
      <c r="H1396" s="9" t="s">
        <v>3926</v>
      </c>
      <c r="I1396" s="10">
        <v>45508</v>
      </c>
    </row>
    <row r="1397" spans="1:9" x14ac:dyDescent="0.15">
      <c r="A1397" s="9">
        <v>1396</v>
      </c>
      <c r="B1397" s="9" t="s">
        <v>9</v>
      </c>
      <c r="C1397" s="9">
        <v>1910</v>
      </c>
      <c r="D1397" s="10">
        <v>45602</v>
      </c>
      <c r="E1397" s="13" t="str">
        <f>+HYPERLINK("http://trademark.i-assist.jp/data/china/image_1910th/80170069.pdf","80170069")</f>
        <v>80170069</v>
      </c>
      <c r="F1397" s="9" t="s">
        <v>3927</v>
      </c>
      <c r="G1397" s="9" t="s">
        <v>3923</v>
      </c>
      <c r="H1397" s="9" t="s">
        <v>3928</v>
      </c>
      <c r="I1397" s="10">
        <v>45508</v>
      </c>
    </row>
    <row r="1398" spans="1:9" x14ac:dyDescent="0.15">
      <c r="A1398" s="9">
        <v>1397</v>
      </c>
      <c r="B1398" s="9" t="s">
        <v>9</v>
      </c>
      <c r="C1398" s="9">
        <v>1910</v>
      </c>
      <c r="D1398" s="10">
        <v>45602</v>
      </c>
      <c r="E1398" s="13" t="str">
        <f>+HYPERLINK("http://trademark.i-assist.jp/data/china/image_1910th/80170151.pdf","80170151")</f>
        <v>80170151</v>
      </c>
      <c r="F1398" s="9" t="s">
        <v>3929</v>
      </c>
      <c r="G1398" s="9" t="s">
        <v>3930</v>
      </c>
      <c r="H1398" s="9" t="s">
        <v>3931</v>
      </c>
      <c r="I1398" s="10">
        <v>45508</v>
      </c>
    </row>
    <row r="1399" spans="1:9" x14ac:dyDescent="0.15">
      <c r="A1399" s="9">
        <v>1398</v>
      </c>
      <c r="B1399" s="9" t="s">
        <v>9</v>
      </c>
      <c r="C1399" s="9">
        <v>1910</v>
      </c>
      <c r="D1399" s="10">
        <v>45602</v>
      </c>
      <c r="E1399" s="13" t="str">
        <f>+HYPERLINK("http://trademark.i-assist.jp/data/china/image_1910th/80170215.pdf","80170215")</f>
        <v>80170215</v>
      </c>
      <c r="F1399" s="11" t="s">
        <v>3932</v>
      </c>
      <c r="G1399" s="11" t="s">
        <v>3933</v>
      </c>
      <c r="H1399" s="9" t="s">
        <v>3934</v>
      </c>
      <c r="I1399" s="10">
        <v>45508</v>
      </c>
    </row>
    <row r="1400" spans="1:9" x14ac:dyDescent="0.15">
      <c r="A1400" s="9">
        <v>1399</v>
      </c>
      <c r="B1400" s="9" t="s">
        <v>9</v>
      </c>
      <c r="C1400" s="9">
        <v>1910</v>
      </c>
      <c r="D1400" s="10">
        <v>45602</v>
      </c>
      <c r="E1400" s="13" t="str">
        <f>+HYPERLINK("http://trademark.i-assist.jp/data/china/image_1910th/80170372.pdf","80170372")</f>
        <v>80170372</v>
      </c>
      <c r="F1400" s="9" t="s">
        <v>3935</v>
      </c>
      <c r="G1400" s="9" t="s">
        <v>3923</v>
      </c>
      <c r="H1400" s="9" t="s">
        <v>3936</v>
      </c>
      <c r="I1400" s="10">
        <v>45508</v>
      </c>
    </row>
    <row r="1401" spans="1:9" x14ac:dyDescent="0.15">
      <c r="A1401" s="9">
        <v>1400</v>
      </c>
      <c r="B1401" s="9" t="s">
        <v>9</v>
      </c>
      <c r="C1401" s="9">
        <v>1910</v>
      </c>
      <c r="D1401" s="10">
        <v>45602</v>
      </c>
      <c r="E1401" s="13" t="str">
        <f>+HYPERLINK("http://trademark.i-assist.jp/data/china/image_1910th/80170421.pdf","80170421")</f>
        <v>80170421</v>
      </c>
      <c r="F1401" s="9" t="s">
        <v>3937</v>
      </c>
      <c r="G1401" s="9" t="s">
        <v>3938</v>
      </c>
      <c r="H1401" s="11" t="s">
        <v>3939</v>
      </c>
      <c r="I1401" s="10">
        <v>45508</v>
      </c>
    </row>
    <row r="1402" spans="1:9" x14ac:dyDescent="0.15">
      <c r="A1402" s="9">
        <v>1401</v>
      </c>
      <c r="B1402" s="9" t="s">
        <v>9</v>
      </c>
      <c r="C1402" s="9">
        <v>1910</v>
      </c>
      <c r="D1402" s="10">
        <v>45602</v>
      </c>
      <c r="E1402" s="13" t="str">
        <f>+HYPERLINK("http://trademark.i-assist.jp/data/china/image_1910th/80170520.pdf","80170520")</f>
        <v>80170520</v>
      </c>
      <c r="F1402" s="9" t="s">
        <v>3940</v>
      </c>
      <c r="G1402" s="9" t="s">
        <v>3920</v>
      </c>
      <c r="H1402" s="9" t="s">
        <v>3941</v>
      </c>
      <c r="I1402" s="10">
        <v>45508</v>
      </c>
    </row>
    <row r="1403" spans="1:9" x14ac:dyDescent="0.15">
      <c r="A1403" s="9">
        <v>1402</v>
      </c>
      <c r="B1403" s="9" t="s">
        <v>9</v>
      </c>
      <c r="C1403" s="9">
        <v>1910</v>
      </c>
      <c r="D1403" s="10">
        <v>45602</v>
      </c>
      <c r="E1403" s="13" t="str">
        <f>+HYPERLINK("http://trademark.i-assist.jp/data/china/image_1910th/80170610.pdf","80170610")</f>
        <v>80170610</v>
      </c>
      <c r="F1403" s="9" t="s">
        <v>3942</v>
      </c>
      <c r="G1403" s="9" t="s">
        <v>3943</v>
      </c>
      <c r="H1403" s="9" t="s">
        <v>3944</v>
      </c>
      <c r="I1403" s="10">
        <v>45508</v>
      </c>
    </row>
    <row r="1404" spans="1:9" x14ac:dyDescent="0.15">
      <c r="A1404" s="9">
        <v>1403</v>
      </c>
      <c r="B1404" s="9" t="s">
        <v>9</v>
      </c>
      <c r="C1404" s="9">
        <v>1910</v>
      </c>
      <c r="D1404" s="10">
        <v>45602</v>
      </c>
      <c r="E1404" s="13" t="str">
        <f>+HYPERLINK("http://trademark.i-assist.jp/data/china/image_1910th/80170751.pdf","80170751")</f>
        <v>80170751</v>
      </c>
      <c r="F1404" s="9" t="s">
        <v>3945</v>
      </c>
      <c r="G1404" s="9" t="s">
        <v>41</v>
      </c>
      <c r="H1404" s="11" t="s">
        <v>3946</v>
      </c>
      <c r="I1404" s="10">
        <v>45508</v>
      </c>
    </row>
    <row r="1405" spans="1:9" x14ac:dyDescent="0.15">
      <c r="A1405" s="9">
        <v>1404</v>
      </c>
      <c r="B1405" s="9" t="s">
        <v>9</v>
      </c>
      <c r="C1405" s="9">
        <v>1910</v>
      </c>
      <c r="D1405" s="10">
        <v>45602</v>
      </c>
      <c r="E1405" s="13" t="str">
        <f>+HYPERLINK("http://trademark.i-assist.jp/data/china/image_1910th/80170763.pdf","80170763")</f>
        <v>80170763</v>
      </c>
      <c r="F1405" s="11" t="s">
        <v>19</v>
      </c>
      <c r="G1405" s="9" t="s">
        <v>152</v>
      </c>
      <c r="H1405" s="9" t="s">
        <v>3947</v>
      </c>
      <c r="I1405" s="10">
        <v>45508</v>
      </c>
    </row>
    <row r="1406" spans="1:9" x14ac:dyDescent="0.15">
      <c r="A1406" s="9">
        <v>1405</v>
      </c>
      <c r="B1406" s="9" t="s">
        <v>9</v>
      </c>
      <c r="C1406" s="9">
        <v>1910</v>
      </c>
      <c r="D1406" s="10">
        <v>45602</v>
      </c>
      <c r="E1406" s="13" t="str">
        <f>+HYPERLINK("http://trademark.i-assist.jp/data/china/image_1910th/80170852.pdf","80170852")</f>
        <v>80170852</v>
      </c>
      <c r="F1406" s="9" t="s">
        <v>3948</v>
      </c>
      <c r="G1406" s="9" t="s">
        <v>3920</v>
      </c>
      <c r="H1406" s="9" t="s">
        <v>3949</v>
      </c>
      <c r="I1406" s="10">
        <v>45508</v>
      </c>
    </row>
    <row r="1407" spans="1:9" x14ac:dyDescent="0.15">
      <c r="A1407" s="9">
        <v>1406</v>
      </c>
      <c r="B1407" s="9" t="s">
        <v>9</v>
      </c>
      <c r="C1407" s="9">
        <v>1910</v>
      </c>
      <c r="D1407" s="10">
        <v>45602</v>
      </c>
      <c r="E1407" s="13" t="str">
        <f>+HYPERLINK("http://trademark.i-assist.jp/data/china/image_1910th/80170853.pdf","80170853")</f>
        <v>80170853</v>
      </c>
      <c r="F1407" s="9" t="s">
        <v>3950</v>
      </c>
      <c r="G1407" s="9" t="s">
        <v>3920</v>
      </c>
      <c r="H1407" s="9" t="s">
        <v>3951</v>
      </c>
      <c r="I1407" s="10">
        <v>45508</v>
      </c>
    </row>
    <row r="1408" spans="1:9" x14ac:dyDescent="0.15">
      <c r="A1408" s="9">
        <v>1407</v>
      </c>
      <c r="B1408" s="9" t="s">
        <v>9</v>
      </c>
      <c r="C1408" s="9">
        <v>1910</v>
      </c>
      <c r="D1408" s="10">
        <v>45602</v>
      </c>
      <c r="E1408" s="13" t="str">
        <f>+HYPERLINK("http://trademark.i-assist.jp/data/china/image_1910th/80170854.pdf","80170854")</f>
        <v>80170854</v>
      </c>
      <c r="F1408" s="11" t="s">
        <v>3952</v>
      </c>
      <c r="G1408" s="9" t="s">
        <v>3920</v>
      </c>
      <c r="H1408" s="11" t="s">
        <v>3953</v>
      </c>
      <c r="I1408" s="10">
        <v>45508</v>
      </c>
    </row>
    <row r="1409" spans="1:9" x14ac:dyDescent="0.15">
      <c r="A1409" s="9">
        <v>1408</v>
      </c>
      <c r="B1409" s="9" t="s">
        <v>9</v>
      </c>
      <c r="C1409" s="9">
        <v>1910</v>
      </c>
      <c r="D1409" s="10">
        <v>45602</v>
      </c>
      <c r="E1409" s="13" t="str">
        <f>+HYPERLINK("http://trademark.i-assist.jp/data/china/image_1910th/80170856.pdf","80170856")</f>
        <v>80170856</v>
      </c>
      <c r="F1409" s="9" t="s">
        <v>3954</v>
      </c>
      <c r="G1409" s="9" t="s">
        <v>3920</v>
      </c>
      <c r="H1409" s="9" t="s">
        <v>3955</v>
      </c>
      <c r="I1409" s="10">
        <v>45508</v>
      </c>
    </row>
    <row r="1410" spans="1:9" x14ac:dyDescent="0.15">
      <c r="A1410" s="9">
        <v>1409</v>
      </c>
      <c r="B1410" s="9" t="s">
        <v>9</v>
      </c>
      <c r="C1410" s="9">
        <v>1910</v>
      </c>
      <c r="D1410" s="10">
        <v>45602</v>
      </c>
      <c r="E1410" s="13" t="str">
        <f>+HYPERLINK("http://trademark.i-assist.jp/data/china/image_1910th/80171171.pdf","80171171")</f>
        <v>80171171</v>
      </c>
      <c r="F1410" s="11" t="s">
        <v>3956</v>
      </c>
      <c r="G1410" s="9" t="s">
        <v>3957</v>
      </c>
      <c r="H1410" s="9" t="s">
        <v>3958</v>
      </c>
      <c r="I1410" s="10">
        <v>45508</v>
      </c>
    </row>
    <row r="1411" spans="1:9" x14ac:dyDescent="0.15">
      <c r="A1411" s="9">
        <v>1410</v>
      </c>
      <c r="B1411" s="9" t="s">
        <v>9</v>
      </c>
      <c r="C1411" s="9">
        <v>1910</v>
      </c>
      <c r="D1411" s="10">
        <v>45602</v>
      </c>
      <c r="E1411" s="13" t="str">
        <f>+HYPERLINK("http://trademark.i-assist.jp/data/china/image_1910th/80171209.pdf","80171209")</f>
        <v>80171209</v>
      </c>
      <c r="F1411" s="9" t="s">
        <v>3959</v>
      </c>
      <c r="G1411" s="9" t="s">
        <v>122</v>
      </c>
      <c r="H1411" s="9" t="s">
        <v>3960</v>
      </c>
      <c r="I1411" s="10">
        <v>45508</v>
      </c>
    </row>
    <row r="1412" spans="1:9" x14ac:dyDescent="0.15">
      <c r="A1412" s="9">
        <v>1411</v>
      </c>
      <c r="B1412" s="9" t="s">
        <v>9</v>
      </c>
      <c r="C1412" s="9">
        <v>1910</v>
      </c>
      <c r="D1412" s="10">
        <v>45602</v>
      </c>
      <c r="E1412" s="13" t="str">
        <f>+HYPERLINK("http://trademark.i-assist.jp/data/china/image_1910th/80171340.pdf","80171340")</f>
        <v>80171340</v>
      </c>
      <c r="F1412" s="9" t="s">
        <v>3961</v>
      </c>
      <c r="G1412" s="11" t="s">
        <v>146</v>
      </c>
      <c r="H1412" s="9" t="s">
        <v>3962</v>
      </c>
      <c r="I1412" s="10">
        <v>45508</v>
      </c>
    </row>
    <row r="1413" spans="1:9" x14ac:dyDescent="0.15">
      <c r="A1413" s="9">
        <v>1412</v>
      </c>
      <c r="B1413" s="9" t="s">
        <v>9</v>
      </c>
      <c r="C1413" s="9">
        <v>1910</v>
      </c>
      <c r="D1413" s="10">
        <v>45602</v>
      </c>
      <c r="E1413" s="13" t="str">
        <f>+HYPERLINK("http://trademark.i-assist.jp/data/china/image_1910th/80171357.pdf","80171357")</f>
        <v>80171357</v>
      </c>
      <c r="F1413" s="9" t="s">
        <v>3963</v>
      </c>
      <c r="G1413" s="9" t="s">
        <v>3964</v>
      </c>
      <c r="H1413" s="9" t="s">
        <v>3965</v>
      </c>
      <c r="I1413" s="10">
        <v>45508</v>
      </c>
    </row>
    <row r="1414" spans="1:9" x14ac:dyDescent="0.15">
      <c r="A1414" s="9">
        <v>1413</v>
      </c>
      <c r="B1414" s="9" t="s">
        <v>9</v>
      </c>
      <c r="C1414" s="9">
        <v>1910</v>
      </c>
      <c r="D1414" s="10">
        <v>45602</v>
      </c>
      <c r="E1414" s="13" t="str">
        <f>+HYPERLINK("http://trademark.i-assist.jp/data/china/image_1910th/80171449.pdf","80171449")</f>
        <v>80171449</v>
      </c>
      <c r="F1414" s="9" t="s">
        <v>3966</v>
      </c>
      <c r="G1414" s="9" t="s">
        <v>3967</v>
      </c>
      <c r="H1414" s="9" t="s">
        <v>3968</v>
      </c>
      <c r="I1414" s="10">
        <v>45508</v>
      </c>
    </row>
    <row r="1415" spans="1:9" x14ac:dyDescent="0.15">
      <c r="A1415" s="9">
        <v>1414</v>
      </c>
      <c r="B1415" s="9" t="s">
        <v>9</v>
      </c>
      <c r="C1415" s="9">
        <v>1910</v>
      </c>
      <c r="D1415" s="10">
        <v>45602</v>
      </c>
      <c r="E1415" s="13" t="str">
        <f>+HYPERLINK("http://trademark.i-assist.jp/data/china/image_1910th/80171654.pdf","80171654")</f>
        <v>80171654</v>
      </c>
      <c r="F1415" s="11" t="s">
        <v>3969</v>
      </c>
      <c r="G1415" s="9" t="s">
        <v>3923</v>
      </c>
      <c r="H1415" s="9" t="s">
        <v>3970</v>
      </c>
      <c r="I1415" s="10">
        <v>45508</v>
      </c>
    </row>
    <row r="1416" spans="1:9" x14ac:dyDescent="0.15">
      <c r="A1416" s="9">
        <v>1415</v>
      </c>
      <c r="B1416" s="9" t="s">
        <v>9</v>
      </c>
      <c r="C1416" s="9">
        <v>1910</v>
      </c>
      <c r="D1416" s="10">
        <v>45602</v>
      </c>
      <c r="E1416" s="13" t="str">
        <f>+HYPERLINK("http://trademark.i-assist.jp/data/china/image_1910th/80171807.pdf","80171807")</f>
        <v>80171807</v>
      </c>
      <c r="F1416" s="11" t="s">
        <v>3971</v>
      </c>
      <c r="G1416" s="11" t="s">
        <v>146</v>
      </c>
      <c r="H1416" s="9" t="s">
        <v>3972</v>
      </c>
      <c r="I1416" s="10">
        <v>45508</v>
      </c>
    </row>
    <row r="1417" spans="1:9" x14ac:dyDescent="0.15">
      <c r="A1417" s="9">
        <v>1416</v>
      </c>
      <c r="B1417" s="9" t="s">
        <v>9</v>
      </c>
      <c r="C1417" s="9">
        <v>1910</v>
      </c>
      <c r="D1417" s="10">
        <v>45602</v>
      </c>
      <c r="E1417" s="13" t="str">
        <f>+HYPERLINK("http://trademark.i-assist.jp/data/china/image_1910th/80171933.pdf","80171933")</f>
        <v>80171933</v>
      </c>
      <c r="F1417" s="11" t="s">
        <v>3973</v>
      </c>
      <c r="G1417" s="9" t="s">
        <v>3920</v>
      </c>
      <c r="H1417" s="9" t="s">
        <v>3974</v>
      </c>
      <c r="I1417" s="10">
        <v>45508</v>
      </c>
    </row>
    <row r="1418" spans="1:9" x14ac:dyDescent="0.15">
      <c r="A1418" s="9">
        <v>1417</v>
      </c>
      <c r="B1418" s="9" t="s">
        <v>9</v>
      </c>
      <c r="C1418" s="9">
        <v>1910</v>
      </c>
      <c r="D1418" s="10">
        <v>45602</v>
      </c>
      <c r="E1418" s="13" t="str">
        <f>+HYPERLINK("http://trademark.i-assist.jp/data/china/image_1910th/80172147.pdf","80172147")</f>
        <v>80172147</v>
      </c>
      <c r="F1418" s="9" t="s">
        <v>3975</v>
      </c>
      <c r="G1418" s="9" t="s">
        <v>3923</v>
      </c>
      <c r="H1418" s="9" t="s">
        <v>3976</v>
      </c>
      <c r="I1418" s="10">
        <v>45508</v>
      </c>
    </row>
    <row r="1419" spans="1:9" x14ac:dyDescent="0.15">
      <c r="A1419" s="9">
        <v>1418</v>
      </c>
      <c r="B1419" s="9" t="s">
        <v>9</v>
      </c>
      <c r="C1419" s="9">
        <v>1910</v>
      </c>
      <c r="D1419" s="10">
        <v>45602</v>
      </c>
      <c r="E1419" s="13" t="str">
        <f>+HYPERLINK("http://trademark.i-assist.jp/data/china/image_1910th/80172261.pdf","80172261")</f>
        <v>80172261</v>
      </c>
      <c r="F1419" s="9" t="s">
        <v>3977</v>
      </c>
      <c r="G1419" s="9" t="s">
        <v>3978</v>
      </c>
      <c r="H1419" s="9" t="s">
        <v>3979</v>
      </c>
      <c r="I1419" s="10">
        <v>45508</v>
      </c>
    </row>
    <row r="1420" spans="1:9" x14ac:dyDescent="0.15">
      <c r="A1420" s="9">
        <v>1419</v>
      </c>
      <c r="B1420" s="9" t="s">
        <v>9</v>
      </c>
      <c r="C1420" s="9">
        <v>1910</v>
      </c>
      <c r="D1420" s="10">
        <v>45602</v>
      </c>
      <c r="E1420" s="13" t="str">
        <f>+HYPERLINK("http://trademark.i-assist.jp/data/china/image_1910th/80172297.pdf","80172297")</f>
        <v>80172297</v>
      </c>
      <c r="F1420" s="9" t="s">
        <v>3980</v>
      </c>
      <c r="G1420" s="11" t="s">
        <v>146</v>
      </c>
      <c r="H1420" s="9" t="s">
        <v>3981</v>
      </c>
      <c r="I1420" s="10">
        <v>45508</v>
      </c>
    </row>
    <row r="1421" spans="1:9" x14ac:dyDescent="0.15">
      <c r="A1421" s="9">
        <v>1420</v>
      </c>
      <c r="B1421" s="9" t="s">
        <v>9</v>
      </c>
      <c r="C1421" s="9">
        <v>1910</v>
      </c>
      <c r="D1421" s="10">
        <v>45602</v>
      </c>
      <c r="E1421" s="13" t="str">
        <f>+HYPERLINK("http://trademark.i-assist.jp/data/china/image_1910th/80172732.pdf","80172732")</f>
        <v>80172732</v>
      </c>
      <c r="F1421" s="9" t="s">
        <v>3982</v>
      </c>
      <c r="G1421" s="9" t="s">
        <v>3983</v>
      </c>
      <c r="H1421" s="11" t="s">
        <v>3984</v>
      </c>
      <c r="I1421" s="10">
        <v>45509</v>
      </c>
    </row>
    <row r="1422" spans="1:9" x14ac:dyDescent="0.15">
      <c r="A1422" s="9">
        <v>1421</v>
      </c>
      <c r="B1422" s="9" t="s">
        <v>9</v>
      </c>
      <c r="C1422" s="9">
        <v>1910</v>
      </c>
      <c r="D1422" s="10">
        <v>45602</v>
      </c>
      <c r="E1422" s="13" t="str">
        <f>+HYPERLINK("http://trademark.i-assist.jp/data/china/image_1910th/80172865.pdf","80172865")</f>
        <v>80172865</v>
      </c>
      <c r="F1422" s="11" t="s">
        <v>3985</v>
      </c>
      <c r="G1422" s="11" t="s">
        <v>3986</v>
      </c>
      <c r="H1422" s="9" t="s">
        <v>3987</v>
      </c>
      <c r="I1422" s="10">
        <v>45509</v>
      </c>
    </row>
    <row r="1423" spans="1:9" x14ac:dyDescent="0.15">
      <c r="A1423" s="9">
        <v>1422</v>
      </c>
      <c r="B1423" s="9" t="s">
        <v>9</v>
      </c>
      <c r="C1423" s="9">
        <v>1910</v>
      </c>
      <c r="D1423" s="10">
        <v>45602</v>
      </c>
      <c r="E1423" s="13" t="str">
        <f>+HYPERLINK("http://trademark.i-assist.jp/data/china/image_1910th/80173169.pdf","80173169")</f>
        <v>80173169</v>
      </c>
      <c r="F1423" s="11" t="s">
        <v>19</v>
      </c>
      <c r="G1423" s="9" t="s">
        <v>3988</v>
      </c>
      <c r="H1423" s="9" t="s">
        <v>3989</v>
      </c>
      <c r="I1423" s="10">
        <v>45509</v>
      </c>
    </row>
    <row r="1424" spans="1:9" x14ac:dyDescent="0.15">
      <c r="A1424" s="9">
        <v>1423</v>
      </c>
      <c r="B1424" s="9" t="s">
        <v>9</v>
      </c>
      <c r="C1424" s="9">
        <v>1910</v>
      </c>
      <c r="D1424" s="10">
        <v>45602</v>
      </c>
      <c r="E1424" s="13" t="str">
        <f>+HYPERLINK("http://trademark.i-assist.jp/data/china/image_1910th/80173468.pdf","80173468")</f>
        <v>80173468</v>
      </c>
      <c r="F1424" s="9" t="s">
        <v>3990</v>
      </c>
      <c r="G1424" s="11" t="s">
        <v>3991</v>
      </c>
      <c r="H1424" s="11" t="s">
        <v>3992</v>
      </c>
      <c r="I1424" s="10">
        <v>45509</v>
      </c>
    </row>
    <row r="1425" spans="1:9" x14ac:dyDescent="0.15">
      <c r="A1425" s="9">
        <v>1424</v>
      </c>
      <c r="B1425" s="9" t="s">
        <v>9</v>
      </c>
      <c r="C1425" s="9">
        <v>1910</v>
      </c>
      <c r="D1425" s="10">
        <v>45602</v>
      </c>
      <c r="E1425" s="13" t="str">
        <f>+HYPERLINK("http://trademark.i-assist.jp/data/china/image_1910th/80173536.pdf","80173536")</f>
        <v>80173536</v>
      </c>
      <c r="F1425" s="9" t="s">
        <v>3993</v>
      </c>
      <c r="G1425" s="11" t="s">
        <v>3994</v>
      </c>
      <c r="H1425" s="9" t="s">
        <v>3995</v>
      </c>
      <c r="I1425" s="10">
        <v>45509</v>
      </c>
    </row>
    <row r="1426" spans="1:9" x14ac:dyDescent="0.15">
      <c r="A1426" s="9">
        <v>1425</v>
      </c>
      <c r="B1426" s="9" t="s">
        <v>9</v>
      </c>
      <c r="C1426" s="9">
        <v>1910</v>
      </c>
      <c r="D1426" s="10">
        <v>45602</v>
      </c>
      <c r="E1426" s="13" t="str">
        <f>+HYPERLINK("http://trademark.i-assist.jp/data/china/image_1910th/80173629.pdf","80173629")</f>
        <v>80173629</v>
      </c>
      <c r="F1426" s="9" t="s">
        <v>3996</v>
      </c>
      <c r="G1426" s="11" t="s">
        <v>3997</v>
      </c>
      <c r="H1426" s="9" t="s">
        <v>3998</v>
      </c>
      <c r="I1426" s="10">
        <v>45509</v>
      </c>
    </row>
    <row r="1427" spans="1:9" x14ac:dyDescent="0.15">
      <c r="A1427" s="9">
        <v>1426</v>
      </c>
      <c r="B1427" s="9" t="s">
        <v>9</v>
      </c>
      <c r="C1427" s="9">
        <v>1910</v>
      </c>
      <c r="D1427" s="10">
        <v>45602</v>
      </c>
      <c r="E1427" s="13" t="str">
        <f>+HYPERLINK("http://trademark.i-assist.jp/data/china/image_1910th/80173674.pdf","80173674")</f>
        <v>80173674</v>
      </c>
      <c r="F1427" s="11" t="s">
        <v>3999</v>
      </c>
      <c r="G1427" s="9" t="s">
        <v>4000</v>
      </c>
      <c r="H1427" s="11" t="s">
        <v>4001</v>
      </c>
      <c r="I1427" s="10">
        <v>45509</v>
      </c>
    </row>
    <row r="1428" spans="1:9" x14ac:dyDescent="0.15">
      <c r="A1428" s="9">
        <v>1427</v>
      </c>
      <c r="B1428" s="9" t="s">
        <v>9</v>
      </c>
      <c r="C1428" s="9">
        <v>1910</v>
      </c>
      <c r="D1428" s="10">
        <v>45602</v>
      </c>
      <c r="E1428" s="13" t="str">
        <f>+HYPERLINK("http://trademark.i-assist.jp/data/china/image_1910th/80173760.pdf","80173760")</f>
        <v>80173760</v>
      </c>
      <c r="F1428" s="9" t="s">
        <v>4002</v>
      </c>
      <c r="G1428" s="9" t="s">
        <v>4003</v>
      </c>
      <c r="H1428" s="9" t="s">
        <v>4004</v>
      </c>
      <c r="I1428" s="10">
        <v>45509</v>
      </c>
    </row>
    <row r="1429" spans="1:9" x14ac:dyDescent="0.15">
      <c r="A1429" s="9">
        <v>1428</v>
      </c>
      <c r="B1429" s="9" t="s">
        <v>9</v>
      </c>
      <c r="C1429" s="9">
        <v>1910</v>
      </c>
      <c r="D1429" s="10">
        <v>45602</v>
      </c>
      <c r="E1429" s="13" t="str">
        <f>+HYPERLINK("http://trademark.i-assist.jp/data/china/image_1910th/80174043.pdf","80174043")</f>
        <v>80174043</v>
      </c>
      <c r="F1429" s="9" t="s">
        <v>4005</v>
      </c>
      <c r="G1429" s="9" t="s">
        <v>4006</v>
      </c>
      <c r="H1429" s="9" t="s">
        <v>4007</v>
      </c>
      <c r="I1429" s="10">
        <v>45509</v>
      </c>
    </row>
    <row r="1430" spans="1:9" x14ac:dyDescent="0.15">
      <c r="A1430" s="9">
        <v>1429</v>
      </c>
      <c r="B1430" s="9" t="s">
        <v>9</v>
      </c>
      <c r="C1430" s="9">
        <v>1910</v>
      </c>
      <c r="D1430" s="10">
        <v>45602</v>
      </c>
      <c r="E1430" s="13" t="str">
        <f>+HYPERLINK("http://trademark.i-assist.jp/data/china/image_1910th/80174072.pdf","80174072")</f>
        <v>80174072</v>
      </c>
      <c r="F1430" s="9" t="s">
        <v>4008</v>
      </c>
      <c r="G1430" s="11" t="s">
        <v>4009</v>
      </c>
      <c r="H1430" s="11" t="s">
        <v>4010</v>
      </c>
      <c r="I1430" s="10">
        <v>45509</v>
      </c>
    </row>
    <row r="1431" spans="1:9" x14ac:dyDescent="0.15">
      <c r="A1431" s="9">
        <v>1430</v>
      </c>
      <c r="B1431" s="9" t="s">
        <v>9</v>
      </c>
      <c r="C1431" s="9">
        <v>1910</v>
      </c>
      <c r="D1431" s="10">
        <v>45602</v>
      </c>
      <c r="E1431" s="13" t="str">
        <f>+HYPERLINK("http://trademark.i-assist.jp/data/china/image_1910th/80174354.pdf","80174354")</f>
        <v>80174354</v>
      </c>
      <c r="F1431" s="9" t="s">
        <v>4011</v>
      </c>
      <c r="G1431" s="11" t="s">
        <v>65</v>
      </c>
      <c r="H1431" s="9" t="s">
        <v>4012</v>
      </c>
      <c r="I1431" s="10">
        <v>45509</v>
      </c>
    </row>
    <row r="1432" spans="1:9" x14ac:dyDescent="0.15">
      <c r="A1432" s="9">
        <v>1431</v>
      </c>
      <c r="B1432" s="9" t="s">
        <v>9</v>
      </c>
      <c r="C1432" s="9">
        <v>1910</v>
      </c>
      <c r="D1432" s="10">
        <v>45602</v>
      </c>
      <c r="E1432" s="13" t="str">
        <f>+HYPERLINK("http://trademark.i-assist.jp/data/china/image_1910th/80174569.pdf","80174569")</f>
        <v>80174569</v>
      </c>
      <c r="F1432" s="9" t="s">
        <v>4013</v>
      </c>
      <c r="G1432" s="9" t="s">
        <v>4014</v>
      </c>
      <c r="H1432" s="9" t="s">
        <v>4015</v>
      </c>
      <c r="I1432" s="10">
        <v>45509</v>
      </c>
    </row>
    <row r="1433" spans="1:9" x14ac:dyDescent="0.15">
      <c r="A1433" s="9">
        <v>1432</v>
      </c>
      <c r="B1433" s="9" t="s">
        <v>9</v>
      </c>
      <c r="C1433" s="9">
        <v>1910</v>
      </c>
      <c r="D1433" s="10">
        <v>45602</v>
      </c>
      <c r="E1433" s="13" t="str">
        <f>+HYPERLINK("http://trademark.i-assist.jp/data/china/image_1910th/80174602.pdf","80174602")</f>
        <v>80174602</v>
      </c>
      <c r="F1433" s="9" t="s">
        <v>4016</v>
      </c>
      <c r="G1433" s="9" t="s">
        <v>154</v>
      </c>
      <c r="H1433" s="9" t="s">
        <v>4017</v>
      </c>
      <c r="I1433" s="10">
        <v>45509</v>
      </c>
    </row>
    <row r="1434" spans="1:9" x14ac:dyDescent="0.15">
      <c r="A1434" s="9">
        <v>1433</v>
      </c>
      <c r="B1434" s="9" t="s">
        <v>9</v>
      </c>
      <c r="C1434" s="9">
        <v>1910</v>
      </c>
      <c r="D1434" s="10">
        <v>45602</v>
      </c>
      <c r="E1434" s="13" t="str">
        <f>+HYPERLINK("http://trademark.i-assist.jp/data/china/image_1910th/80174679.pdf","80174679")</f>
        <v>80174679</v>
      </c>
      <c r="F1434" s="11" t="s">
        <v>19</v>
      </c>
      <c r="G1434" s="9" t="s">
        <v>4018</v>
      </c>
      <c r="H1434" s="9" t="s">
        <v>4019</v>
      </c>
      <c r="I1434" s="10">
        <v>45509</v>
      </c>
    </row>
    <row r="1435" spans="1:9" x14ac:dyDescent="0.15">
      <c r="A1435" s="9">
        <v>1434</v>
      </c>
      <c r="B1435" s="9" t="s">
        <v>9</v>
      </c>
      <c r="C1435" s="9">
        <v>1910</v>
      </c>
      <c r="D1435" s="10">
        <v>45602</v>
      </c>
      <c r="E1435" s="13" t="str">
        <f>+HYPERLINK("http://trademark.i-assist.jp/data/china/image_1910th/80174688.pdf","80174688")</f>
        <v>80174688</v>
      </c>
      <c r="F1435" s="9" t="s">
        <v>4020</v>
      </c>
      <c r="G1435" s="9" t="s">
        <v>4021</v>
      </c>
      <c r="H1435" s="9" t="s">
        <v>4022</v>
      </c>
      <c r="I1435" s="10">
        <v>45509</v>
      </c>
    </row>
    <row r="1436" spans="1:9" x14ac:dyDescent="0.15">
      <c r="A1436" s="9">
        <v>1435</v>
      </c>
      <c r="B1436" s="9" t="s">
        <v>9</v>
      </c>
      <c r="C1436" s="9">
        <v>1910</v>
      </c>
      <c r="D1436" s="10">
        <v>45602</v>
      </c>
      <c r="E1436" s="13" t="str">
        <f>+HYPERLINK("http://trademark.i-assist.jp/data/china/image_1910th/80174699.pdf","80174699")</f>
        <v>80174699</v>
      </c>
      <c r="F1436" s="11" t="s">
        <v>4023</v>
      </c>
      <c r="G1436" s="9" t="s">
        <v>4024</v>
      </c>
      <c r="H1436" s="9" t="s">
        <v>4025</v>
      </c>
      <c r="I1436" s="10">
        <v>45509</v>
      </c>
    </row>
    <row r="1437" spans="1:9" x14ac:dyDescent="0.15">
      <c r="A1437" s="9">
        <v>1436</v>
      </c>
      <c r="B1437" s="9" t="s">
        <v>9</v>
      </c>
      <c r="C1437" s="9">
        <v>1910</v>
      </c>
      <c r="D1437" s="10">
        <v>45602</v>
      </c>
      <c r="E1437" s="13" t="str">
        <f>+HYPERLINK("http://trademark.i-assist.jp/data/china/image_1910th/80174700.pdf","80174700")</f>
        <v>80174700</v>
      </c>
      <c r="F1437" s="9" t="s">
        <v>4026</v>
      </c>
      <c r="G1437" s="9" t="s">
        <v>4027</v>
      </c>
      <c r="H1437" s="9" t="s">
        <v>4028</v>
      </c>
      <c r="I1437" s="10">
        <v>45509</v>
      </c>
    </row>
    <row r="1438" spans="1:9" x14ac:dyDescent="0.15">
      <c r="A1438" s="9">
        <v>1437</v>
      </c>
      <c r="B1438" s="9" t="s">
        <v>9</v>
      </c>
      <c r="C1438" s="9">
        <v>1910</v>
      </c>
      <c r="D1438" s="10">
        <v>45602</v>
      </c>
      <c r="E1438" s="13" t="str">
        <f>+HYPERLINK("http://trademark.i-assist.jp/data/china/image_1910th/80174744.pdf","80174744")</f>
        <v>80174744</v>
      </c>
      <c r="F1438" s="9" t="s">
        <v>4029</v>
      </c>
      <c r="G1438" s="11" t="s">
        <v>4030</v>
      </c>
      <c r="H1438" s="11" t="s">
        <v>4031</v>
      </c>
      <c r="I1438" s="10">
        <v>45509</v>
      </c>
    </row>
    <row r="1439" spans="1:9" x14ac:dyDescent="0.15">
      <c r="A1439" s="9">
        <v>1438</v>
      </c>
      <c r="B1439" s="9" t="s">
        <v>9</v>
      </c>
      <c r="C1439" s="9">
        <v>1910</v>
      </c>
      <c r="D1439" s="10">
        <v>45602</v>
      </c>
      <c r="E1439" s="13" t="str">
        <f>+HYPERLINK("http://trademark.i-assist.jp/data/china/image_1910th/80174802.pdf","80174802")</f>
        <v>80174802</v>
      </c>
      <c r="F1439" s="11" t="s">
        <v>19</v>
      </c>
      <c r="G1439" s="9" t="s">
        <v>4032</v>
      </c>
      <c r="H1439" s="9" t="s">
        <v>4033</v>
      </c>
      <c r="I1439" s="10">
        <v>45509</v>
      </c>
    </row>
    <row r="1440" spans="1:9" x14ac:dyDescent="0.15">
      <c r="A1440" s="9">
        <v>1439</v>
      </c>
      <c r="B1440" s="9" t="s">
        <v>9</v>
      </c>
      <c r="C1440" s="9">
        <v>1910</v>
      </c>
      <c r="D1440" s="10">
        <v>45602</v>
      </c>
      <c r="E1440" s="13" t="str">
        <f>+HYPERLINK("http://trademark.i-assist.jp/data/china/image_1910th/80174908.pdf","80174908")</f>
        <v>80174908</v>
      </c>
      <c r="F1440" s="9" t="s">
        <v>4034</v>
      </c>
      <c r="G1440" s="9" t="s">
        <v>4035</v>
      </c>
      <c r="H1440" s="9" t="s">
        <v>4036</v>
      </c>
      <c r="I1440" s="10">
        <v>45509</v>
      </c>
    </row>
    <row r="1441" spans="1:9" x14ac:dyDescent="0.15">
      <c r="A1441" s="9">
        <v>1440</v>
      </c>
      <c r="B1441" s="9" t="s">
        <v>9</v>
      </c>
      <c r="C1441" s="9">
        <v>1910</v>
      </c>
      <c r="D1441" s="10">
        <v>45602</v>
      </c>
      <c r="E1441" s="13" t="str">
        <f>+HYPERLINK("http://trademark.i-assist.jp/data/china/image_1910th/80174923.pdf","80174923")</f>
        <v>80174923</v>
      </c>
      <c r="F1441" s="9" t="s">
        <v>4037</v>
      </c>
      <c r="G1441" s="9" t="s">
        <v>4038</v>
      </c>
      <c r="H1441" s="9" t="s">
        <v>4039</v>
      </c>
      <c r="I1441" s="10">
        <v>45509</v>
      </c>
    </row>
    <row r="1442" spans="1:9" x14ac:dyDescent="0.15">
      <c r="A1442" s="9">
        <v>1441</v>
      </c>
      <c r="B1442" s="9" t="s">
        <v>9</v>
      </c>
      <c r="C1442" s="9">
        <v>1910</v>
      </c>
      <c r="D1442" s="10">
        <v>45602</v>
      </c>
      <c r="E1442" s="13" t="str">
        <f>+HYPERLINK("http://trademark.i-assist.jp/data/china/image_1910th/80175163.pdf","80175163")</f>
        <v>80175163</v>
      </c>
      <c r="F1442" s="11" t="s">
        <v>4040</v>
      </c>
      <c r="G1442" s="9" t="s">
        <v>4041</v>
      </c>
      <c r="H1442" s="9" t="s">
        <v>4042</v>
      </c>
      <c r="I1442" s="10">
        <v>45509</v>
      </c>
    </row>
    <row r="1443" spans="1:9" x14ac:dyDescent="0.15">
      <c r="A1443" s="9">
        <v>1442</v>
      </c>
      <c r="B1443" s="9" t="s">
        <v>9</v>
      </c>
      <c r="C1443" s="9">
        <v>1910</v>
      </c>
      <c r="D1443" s="10">
        <v>45602</v>
      </c>
      <c r="E1443" s="13" t="str">
        <f>+HYPERLINK("http://trademark.i-assist.jp/data/china/image_1910th/80175443.pdf","80175443")</f>
        <v>80175443</v>
      </c>
      <c r="F1443" s="11" t="s">
        <v>19</v>
      </c>
      <c r="G1443" s="9" t="s">
        <v>4043</v>
      </c>
      <c r="H1443" s="9" t="s">
        <v>4044</v>
      </c>
      <c r="I1443" s="10">
        <v>45509</v>
      </c>
    </row>
    <row r="1444" spans="1:9" x14ac:dyDescent="0.15">
      <c r="A1444" s="9">
        <v>1443</v>
      </c>
      <c r="B1444" s="9" t="s">
        <v>9</v>
      </c>
      <c r="C1444" s="9">
        <v>1910</v>
      </c>
      <c r="D1444" s="10">
        <v>45602</v>
      </c>
      <c r="E1444" s="13" t="str">
        <f>+HYPERLINK("http://trademark.i-assist.jp/data/china/image_1910th/80175598.pdf","80175598")</f>
        <v>80175598</v>
      </c>
      <c r="F1444" s="9" t="s">
        <v>4045</v>
      </c>
      <c r="G1444" s="9" t="s">
        <v>4046</v>
      </c>
      <c r="H1444" s="9" t="s">
        <v>4047</v>
      </c>
      <c r="I1444" s="10">
        <v>45509</v>
      </c>
    </row>
    <row r="1445" spans="1:9" x14ac:dyDescent="0.15">
      <c r="A1445" s="9">
        <v>1444</v>
      </c>
      <c r="B1445" s="9" t="s">
        <v>9</v>
      </c>
      <c r="C1445" s="9">
        <v>1910</v>
      </c>
      <c r="D1445" s="10">
        <v>45602</v>
      </c>
      <c r="E1445" s="13" t="str">
        <f>+HYPERLINK("http://trademark.i-assist.jp/data/china/image_1910th/80175958.pdf","80175958")</f>
        <v>80175958</v>
      </c>
      <c r="F1445" s="11" t="s">
        <v>4048</v>
      </c>
      <c r="G1445" s="9" t="s">
        <v>4049</v>
      </c>
      <c r="H1445" s="9" t="s">
        <v>4050</v>
      </c>
      <c r="I1445" s="10">
        <v>45509</v>
      </c>
    </row>
    <row r="1446" spans="1:9" x14ac:dyDescent="0.15">
      <c r="A1446" s="9">
        <v>1445</v>
      </c>
      <c r="B1446" s="9" t="s">
        <v>9</v>
      </c>
      <c r="C1446" s="9">
        <v>1910</v>
      </c>
      <c r="D1446" s="10">
        <v>45602</v>
      </c>
      <c r="E1446" s="13" t="str">
        <f>+HYPERLINK("http://trademark.i-assist.jp/data/china/image_1910th/80176093.pdf","80176093")</f>
        <v>80176093</v>
      </c>
      <c r="F1446" s="9" t="s">
        <v>4051</v>
      </c>
      <c r="G1446" s="9" t="s">
        <v>4052</v>
      </c>
      <c r="H1446" s="9" t="s">
        <v>4053</v>
      </c>
      <c r="I1446" s="10">
        <v>45509</v>
      </c>
    </row>
    <row r="1447" spans="1:9" x14ac:dyDescent="0.15">
      <c r="A1447" s="9">
        <v>1446</v>
      </c>
      <c r="B1447" s="9" t="s">
        <v>9</v>
      </c>
      <c r="C1447" s="9">
        <v>1910</v>
      </c>
      <c r="D1447" s="10">
        <v>45602</v>
      </c>
      <c r="E1447" s="13" t="str">
        <f>+HYPERLINK("http://trademark.i-assist.jp/data/china/image_1910th/80176348.pdf","80176348")</f>
        <v>80176348</v>
      </c>
      <c r="F1447" s="11" t="s">
        <v>4054</v>
      </c>
      <c r="G1447" s="9" t="s">
        <v>4055</v>
      </c>
      <c r="H1447" s="9" t="s">
        <v>4056</v>
      </c>
      <c r="I1447" s="10">
        <v>45509</v>
      </c>
    </row>
    <row r="1448" spans="1:9" x14ac:dyDescent="0.15">
      <c r="A1448" s="9">
        <v>1447</v>
      </c>
      <c r="B1448" s="9" t="s">
        <v>9</v>
      </c>
      <c r="C1448" s="9">
        <v>1910</v>
      </c>
      <c r="D1448" s="10">
        <v>45602</v>
      </c>
      <c r="E1448" s="13" t="str">
        <f>+HYPERLINK("http://trademark.i-assist.jp/data/china/image_1910th/80176421.pdf","80176421")</f>
        <v>80176421</v>
      </c>
      <c r="F1448" s="11" t="s">
        <v>4057</v>
      </c>
      <c r="G1448" s="11" t="s">
        <v>4058</v>
      </c>
      <c r="H1448" s="11" t="s">
        <v>4059</v>
      </c>
      <c r="I1448" s="10">
        <v>45509</v>
      </c>
    </row>
    <row r="1449" spans="1:9" x14ac:dyDescent="0.15">
      <c r="A1449" s="9">
        <v>1448</v>
      </c>
      <c r="B1449" s="9" t="s">
        <v>9</v>
      </c>
      <c r="C1449" s="9">
        <v>1910</v>
      </c>
      <c r="D1449" s="10">
        <v>45602</v>
      </c>
      <c r="E1449" s="13" t="str">
        <f>+HYPERLINK("http://trademark.i-assist.jp/data/china/image_1910th/80176454.pdf","80176454")</f>
        <v>80176454</v>
      </c>
      <c r="F1449" s="9" t="s">
        <v>4060</v>
      </c>
      <c r="G1449" s="11" t="s">
        <v>4061</v>
      </c>
      <c r="H1449" s="9" t="s">
        <v>4062</v>
      </c>
      <c r="I1449" s="10">
        <v>45509</v>
      </c>
    </row>
    <row r="1450" spans="1:9" x14ac:dyDescent="0.15">
      <c r="A1450" s="9">
        <v>1449</v>
      </c>
      <c r="B1450" s="9" t="s">
        <v>9</v>
      </c>
      <c r="C1450" s="9">
        <v>1910</v>
      </c>
      <c r="D1450" s="10">
        <v>45602</v>
      </c>
      <c r="E1450" s="13" t="str">
        <f>+HYPERLINK("http://trademark.i-assist.jp/data/china/image_1910th/80176842.pdf","80176842")</f>
        <v>80176842</v>
      </c>
      <c r="F1450" s="9" t="s">
        <v>4063</v>
      </c>
      <c r="G1450" s="9" t="s">
        <v>4064</v>
      </c>
      <c r="H1450" s="9" t="s">
        <v>4065</v>
      </c>
      <c r="I1450" s="10">
        <v>45509</v>
      </c>
    </row>
    <row r="1451" spans="1:9" x14ac:dyDescent="0.15">
      <c r="A1451" s="9">
        <v>1450</v>
      </c>
      <c r="B1451" s="9" t="s">
        <v>9</v>
      </c>
      <c r="C1451" s="9">
        <v>1910</v>
      </c>
      <c r="D1451" s="10">
        <v>45602</v>
      </c>
      <c r="E1451" s="13" t="str">
        <f>+HYPERLINK("http://trademark.i-assist.jp/data/china/image_1910th/80177074.pdf","80177074")</f>
        <v>80177074</v>
      </c>
      <c r="F1451" s="9" t="s">
        <v>4066</v>
      </c>
      <c r="G1451" s="9" t="s">
        <v>4067</v>
      </c>
      <c r="H1451" s="9" t="s">
        <v>4068</v>
      </c>
      <c r="I1451" s="10">
        <v>45509</v>
      </c>
    </row>
    <row r="1452" spans="1:9" x14ac:dyDescent="0.15">
      <c r="A1452" s="9">
        <v>1451</v>
      </c>
      <c r="B1452" s="9" t="s">
        <v>9</v>
      </c>
      <c r="C1452" s="9">
        <v>1910</v>
      </c>
      <c r="D1452" s="10">
        <v>45602</v>
      </c>
      <c r="E1452" s="13" t="str">
        <f>+HYPERLINK("http://trademark.i-assist.jp/data/china/image_1910th/80177114.pdf","80177114")</f>
        <v>80177114</v>
      </c>
      <c r="F1452" s="11" t="s">
        <v>4069</v>
      </c>
      <c r="G1452" s="9" t="s">
        <v>4070</v>
      </c>
      <c r="H1452" s="9" t="s">
        <v>4071</v>
      </c>
      <c r="I1452" s="10">
        <v>45509</v>
      </c>
    </row>
    <row r="1453" spans="1:9" x14ac:dyDescent="0.15">
      <c r="A1453" s="9">
        <v>1452</v>
      </c>
      <c r="B1453" s="9" t="s">
        <v>9</v>
      </c>
      <c r="C1453" s="9">
        <v>1910</v>
      </c>
      <c r="D1453" s="10">
        <v>45602</v>
      </c>
      <c r="E1453" s="13" t="str">
        <f>+HYPERLINK("http://trademark.i-assist.jp/data/china/image_1910th/80177199.pdf","80177199")</f>
        <v>80177199</v>
      </c>
      <c r="F1453" s="9" t="s">
        <v>4072</v>
      </c>
      <c r="G1453" s="9" t="s">
        <v>4073</v>
      </c>
      <c r="H1453" s="9" t="s">
        <v>4074</v>
      </c>
      <c r="I1453" s="10">
        <v>45509</v>
      </c>
    </row>
    <row r="1454" spans="1:9" x14ac:dyDescent="0.15">
      <c r="A1454" s="9">
        <v>1453</v>
      </c>
      <c r="B1454" s="9" t="s">
        <v>9</v>
      </c>
      <c r="C1454" s="9">
        <v>1910</v>
      </c>
      <c r="D1454" s="10">
        <v>45602</v>
      </c>
      <c r="E1454" s="13" t="str">
        <f>+HYPERLINK("http://trademark.i-assist.jp/data/china/image_1910th/80177236.pdf","80177236")</f>
        <v>80177236</v>
      </c>
      <c r="F1454" s="9" t="s">
        <v>4075</v>
      </c>
      <c r="G1454" s="9" t="s">
        <v>4076</v>
      </c>
      <c r="H1454" s="9" t="s">
        <v>4077</v>
      </c>
      <c r="I1454" s="10">
        <v>45509</v>
      </c>
    </row>
    <row r="1455" spans="1:9" x14ac:dyDescent="0.15">
      <c r="A1455" s="9">
        <v>1454</v>
      </c>
      <c r="B1455" s="9" t="s">
        <v>9</v>
      </c>
      <c r="C1455" s="9">
        <v>1910</v>
      </c>
      <c r="D1455" s="10">
        <v>45602</v>
      </c>
      <c r="E1455" s="13" t="str">
        <f>+HYPERLINK("http://trademark.i-assist.jp/data/china/image_1910th/80177494.pdf","80177494")</f>
        <v>80177494</v>
      </c>
      <c r="F1455" s="9" t="s">
        <v>4078</v>
      </c>
      <c r="G1455" s="9" t="s">
        <v>4079</v>
      </c>
      <c r="H1455" s="9" t="s">
        <v>4080</v>
      </c>
      <c r="I1455" s="10">
        <v>45509</v>
      </c>
    </row>
    <row r="1456" spans="1:9" x14ac:dyDescent="0.15">
      <c r="A1456" s="9">
        <v>1455</v>
      </c>
      <c r="B1456" s="9" t="s">
        <v>9</v>
      </c>
      <c r="C1456" s="9">
        <v>1910</v>
      </c>
      <c r="D1456" s="10">
        <v>45602</v>
      </c>
      <c r="E1456" s="13" t="str">
        <f>+HYPERLINK("http://trademark.i-assist.jp/data/china/image_1910th/80177611.pdf","80177611")</f>
        <v>80177611</v>
      </c>
      <c r="F1456" s="11" t="s">
        <v>4081</v>
      </c>
      <c r="G1456" s="9" t="s">
        <v>4082</v>
      </c>
      <c r="H1456" s="9" t="s">
        <v>4083</v>
      </c>
      <c r="I1456" s="10">
        <v>45509</v>
      </c>
    </row>
    <row r="1457" spans="1:9" x14ac:dyDescent="0.15">
      <c r="A1457" s="9">
        <v>1456</v>
      </c>
      <c r="B1457" s="9" t="s">
        <v>9</v>
      </c>
      <c r="C1457" s="9">
        <v>1910</v>
      </c>
      <c r="D1457" s="10">
        <v>45602</v>
      </c>
      <c r="E1457" s="13" t="str">
        <f>+HYPERLINK("http://trademark.i-assist.jp/data/china/image_1910th/80177709.pdf","80177709")</f>
        <v>80177709</v>
      </c>
      <c r="F1457" s="9" t="s">
        <v>4084</v>
      </c>
      <c r="G1457" s="11" t="s">
        <v>4085</v>
      </c>
      <c r="H1457" s="9" t="s">
        <v>4086</v>
      </c>
      <c r="I1457" s="10">
        <v>45509</v>
      </c>
    </row>
    <row r="1458" spans="1:9" x14ac:dyDescent="0.15">
      <c r="A1458" s="9">
        <v>1457</v>
      </c>
      <c r="B1458" s="9" t="s">
        <v>9</v>
      </c>
      <c r="C1458" s="9">
        <v>1910</v>
      </c>
      <c r="D1458" s="10">
        <v>45602</v>
      </c>
      <c r="E1458" s="13" t="str">
        <f>+HYPERLINK("http://trademark.i-assist.jp/data/china/image_1910th/80177839.pdf","80177839")</f>
        <v>80177839</v>
      </c>
      <c r="F1458" s="9" t="s">
        <v>4087</v>
      </c>
      <c r="G1458" s="11" t="s">
        <v>4088</v>
      </c>
      <c r="H1458" s="11" t="s">
        <v>4089</v>
      </c>
      <c r="I1458" s="10">
        <v>45509</v>
      </c>
    </row>
    <row r="1459" spans="1:9" x14ac:dyDescent="0.15">
      <c r="A1459" s="9">
        <v>1458</v>
      </c>
      <c r="B1459" s="9" t="s">
        <v>9</v>
      </c>
      <c r="C1459" s="9">
        <v>1910</v>
      </c>
      <c r="D1459" s="10">
        <v>45602</v>
      </c>
      <c r="E1459" s="13" t="str">
        <f>+HYPERLINK("http://trademark.i-assist.jp/data/china/image_1910th/80177891.pdf","80177891")</f>
        <v>80177891</v>
      </c>
      <c r="F1459" s="9" t="s">
        <v>4090</v>
      </c>
      <c r="G1459" s="9" t="s">
        <v>4091</v>
      </c>
      <c r="H1459" s="9" t="s">
        <v>4092</v>
      </c>
      <c r="I1459" s="10">
        <v>45509</v>
      </c>
    </row>
    <row r="1460" spans="1:9" x14ac:dyDescent="0.15">
      <c r="A1460" s="9">
        <v>1459</v>
      </c>
      <c r="B1460" s="9" t="s">
        <v>9</v>
      </c>
      <c r="C1460" s="9">
        <v>1910</v>
      </c>
      <c r="D1460" s="10">
        <v>45602</v>
      </c>
      <c r="E1460" s="13" t="str">
        <f>+HYPERLINK("http://trademark.i-assist.jp/data/china/image_1910th/80178005.pdf","80178005")</f>
        <v>80178005</v>
      </c>
      <c r="F1460" s="9" t="s">
        <v>4093</v>
      </c>
      <c r="G1460" s="11" t="s">
        <v>4094</v>
      </c>
      <c r="H1460" s="9" t="s">
        <v>4095</v>
      </c>
      <c r="I1460" s="10">
        <v>45509</v>
      </c>
    </row>
    <row r="1461" spans="1:9" x14ac:dyDescent="0.15">
      <c r="A1461" s="9">
        <v>1460</v>
      </c>
      <c r="B1461" s="9" t="s">
        <v>9</v>
      </c>
      <c r="C1461" s="9">
        <v>1910</v>
      </c>
      <c r="D1461" s="10">
        <v>45602</v>
      </c>
      <c r="E1461" s="13" t="str">
        <f>+HYPERLINK("http://trademark.i-assist.jp/data/china/image_1910th/80178045.pdf","80178045")</f>
        <v>80178045</v>
      </c>
      <c r="F1461" s="9" t="s">
        <v>4096</v>
      </c>
      <c r="G1461" s="11" t="s">
        <v>4097</v>
      </c>
      <c r="H1461" s="9" t="s">
        <v>4098</v>
      </c>
      <c r="I1461" s="10">
        <v>45509</v>
      </c>
    </row>
    <row r="1462" spans="1:9" x14ac:dyDescent="0.15">
      <c r="A1462" s="9">
        <v>1461</v>
      </c>
      <c r="B1462" s="9" t="s">
        <v>9</v>
      </c>
      <c r="C1462" s="9">
        <v>1910</v>
      </c>
      <c r="D1462" s="10">
        <v>45602</v>
      </c>
      <c r="E1462" s="13" t="str">
        <f>+HYPERLINK("http://trademark.i-assist.jp/data/china/image_1910th/80178245.pdf","80178245")</f>
        <v>80178245</v>
      </c>
      <c r="F1462" s="9" t="s">
        <v>4099</v>
      </c>
      <c r="G1462" s="9" t="s">
        <v>4100</v>
      </c>
      <c r="H1462" s="9" t="s">
        <v>4101</v>
      </c>
      <c r="I1462" s="10">
        <v>45509</v>
      </c>
    </row>
    <row r="1463" spans="1:9" x14ac:dyDescent="0.15">
      <c r="A1463" s="9">
        <v>1462</v>
      </c>
      <c r="B1463" s="9" t="s">
        <v>9</v>
      </c>
      <c r="C1463" s="9">
        <v>1910</v>
      </c>
      <c r="D1463" s="10">
        <v>45602</v>
      </c>
      <c r="E1463" s="13" t="str">
        <f>+HYPERLINK("http://trademark.i-assist.jp/data/china/image_1910th/80178372.pdf","80178372")</f>
        <v>80178372</v>
      </c>
      <c r="F1463" s="9" t="s">
        <v>4102</v>
      </c>
      <c r="G1463" s="9" t="s">
        <v>4103</v>
      </c>
      <c r="H1463" s="9" t="s">
        <v>4104</v>
      </c>
      <c r="I1463" s="10">
        <v>45509</v>
      </c>
    </row>
    <row r="1464" spans="1:9" x14ac:dyDescent="0.15">
      <c r="A1464" s="9">
        <v>1463</v>
      </c>
      <c r="B1464" s="9" t="s">
        <v>9</v>
      </c>
      <c r="C1464" s="9">
        <v>1910</v>
      </c>
      <c r="D1464" s="10">
        <v>45602</v>
      </c>
      <c r="E1464" s="13" t="str">
        <f>+HYPERLINK("http://trademark.i-assist.jp/data/china/image_1910th/80178536.pdf","80178536")</f>
        <v>80178536</v>
      </c>
      <c r="F1464" s="9" t="s">
        <v>4105</v>
      </c>
      <c r="G1464" s="9" t="s">
        <v>4003</v>
      </c>
      <c r="H1464" s="9" t="s">
        <v>4106</v>
      </c>
      <c r="I1464" s="10">
        <v>45509</v>
      </c>
    </row>
    <row r="1465" spans="1:9" x14ac:dyDescent="0.15">
      <c r="A1465" s="9">
        <v>1464</v>
      </c>
      <c r="B1465" s="9" t="s">
        <v>9</v>
      </c>
      <c r="C1465" s="9">
        <v>1910</v>
      </c>
      <c r="D1465" s="10">
        <v>45602</v>
      </c>
      <c r="E1465" s="13" t="str">
        <f>+HYPERLINK("http://trademark.i-assist.jp/data/china/image_1910th/80178694.pdf","80178694")</f>
        <v>80178694</v>
      </c>
      <c r="F1465" s="9" t="s">
        <v>4107</v>
      </c>
      <c r="G1465" s="11" t="s">
        <v>4108</v>
      </c>
      <c r="H1465" s="9" t="s">
        <v>4109</v>
      </c>
      <c r="I1465" s="10">
        <v>45509</v>
      </c>
    </row>
    <row r="1466" spans="1:9" x14ac:dyDescent="0.15">
      <c r="A1466" s="9">
        <v>1465</v>
      </c>
      <c r="B1466" s="9" t="s">
        <v>9</v>
      </c>
      <c r="C1466" s="9">
        <v>1910</v>
      </c>
      <c r="D1466" s="10">
        <v>45602</v>
      </c>
      <c r="E1466" s="13" t="str">
        <f>+HYPERLINK("http://trademark.i-assist.jp/data/china/image_1910th/80178839.pdf","80178839")</f>
        <v>80178839</v>
      </c>
      <c r="F1466" s="9" t="s">
        <v>4110</v>
      </c>
      <c r="G1466" s="9" t="s">
        <v>4111</v>
      </c>
      <c r="H1466" s="9" t="s">
        <v>4112</v>
      </c>
      <c r="I1466" s="10">
        <v>45509</v>
      </c>
    </row>
    <row r="1467" spans="1:9" x14ac:dyDescent="0.15">
      <c r="A1467" s="9">
        <v>1466</v>
      </c>
      <c r="B1467" s="9" t="s">
        <v>9</v>
      </c>
      <c r="C1467" s="9">
        <v>1910</v>
      </c>
      <c r="D1467" s="10">
        <v>45602</v>
      </c>
      <c r="E1467" s="13" t="str">
        <f>+HYPERLINK("http://trademark.i-assist.jp/data/china/image_1910th/80178840.pdf","80178840")</f>
        <v>80178840</v>
      </c>
      <c r="F1467" s="9" t="s">
        <v>4113</v>
      </c>
      <c r="G1467" s="9" t="s">
        <v>4114</v>
      </c>
      <c r="H1467" s="11" t="s">
        <v>4115</v>
      </c>
      <c r="I1467" s="10">
        <v>45509</v>
      </c>
    </row>
    <row r="1468" spans="1:9" x14ac:dyDescent="0.15">
      <c r="A1468" s="9">
        <v>1467</v>
      </c>
      <c r="B1468" s="9" t="s">
        <v>9</v>
      </c>
      <c r="C1468" s="9">
        <v>1910</v>
      </c>
      <c r="D1468" s="10">
        <v>45602</v>
      </c>
      <c r="E1468" s="13" t="str">
        <f>+HYPERLINK("http://trademark.i-assist.jp/data/china/image_1910th/80178871.pdf","80178871")</f>
        <v>80178871</v>
      </c>
      <c r="F1468" s="9" t="s">
        <v>4116</v>
      </c>
      <c r="G1468" s="11" t="s">
        <v>4117</v>
      </c>
      <c r="H1468" s="9" t="s">
        <v>4118</v>
      </c>
      <c r="I1468" s="10">
        <v>45509</v>
      </c>
    </row>
    <row r="1469" spans="1:9" x14ac:dyDescent="0.15">
      <c r="A1469" s="9">
        <v>1468</v>
      </c>
      <c r="B1469" s="9" t="s">
        <v>9</v>
      </c>
      <c r="C1469" s="9">
        <v>1910</v>
      </c>
      <c r="D1469" s="10">
        <v>45602</v>
      </c>
      <c r="E1469" s="13" t="str">
        <f>+HYPERLINK("http://trademark.i-assist.jp/data/china/image_1910th/80179125.pdf","80179125")</f>
        <v>80179125</v>
      </c>
      <c r="F1469" s="9" t="s">
        <v>4119</v>
      </c>
      <c r="G1469" s="9" t="s">
        <v>4120</v>
      </c>
      <c r="H1469" s="9" t="s">
        <v>4121</v>
      </c>
      <c r="I1469" s="10">
        <v>45509</v>
      </c>
    </row>
    <row r="1470" spans="1:9" x14ac:dyDescent="0.15">
      <c r="A1470" s="9">
        <v>1469</v>
      </c>
      <c r="B1470" s="9" t="s">
        <v>9</v>
      </c>
      <c r="C1470" s="9">
        <v>1910</v>
      </c>
      <c r="D1470" s="10">
        <v>45602</v>
      </c>
      <c r="E1470" s="13" t="str">
        <f>+HYPERLINK("http://trademark.i-assist.jp/data/china/image_1910th/80179451.pdf","80179451")</f>
        <v>80179451</v>
      </c>
      <c r="F1470" s="9" t="s">
        <v>4122</v>
      </c>
      <c r="G1470" s="11" t="s">
        <v>3792</v>
      </c>
      <c r="H1470" s="9" t="s">
        <v>4123</v>
      </c>
      <c r="I1470" s="10">
        <v>45509</v>
      </c>
    </row>
    <row r="1471" spans="1:9" x14ac:dyDescent="0.15">
      <c r="A1471" s="9">
        <v>1470</v>
      </c>
      <c r="B1471" s="9" t="s">
        <v>9</v>
      </c>
      <c r="C1471" s="9">
        <v>1910</v>
      </c>
      <c r="D1471" s="10">
        <v>45602</v>
      </c>
      <c r="E1471" s="13" t="str">
        <f>+HYPERLINK("http://trademark.i-assist.jp/data/china/image_1910th/80179599.pdf","80179599")</f>
        <v>80179599</v>
      </c>
      <c r="F1471" s="9" t="s">
        <v>4124</v>
      </c>
      <c r="G1471" s="9" t="s">
        <v>4125</v>
      </c>
      <c r="H1471" s="9" t="s">
        <v>4126</v>
      </c>
      <c r="I1471" s="10">
        <v>45509</v>
      </c>
    </row>
    <row r="1472" spans="1:9" x14ac:dyDescent="0.15">
      <c r="A1472" s="9">
        <v>1471</v>
      </c>
      <c r="B1472" s="9" t="s">
        <v>9</v>
      </c>
      <c r="C1472" s="9">
        <v>1910</v>
      </c>
      <c r="D1472" s="10">
        <v>45602</v>
      </c>
      <c r="E1472" s="13" t="str">
        <f>+HYPERLINK("http://trademark.i-assist.jp/data/china/image_1910th/80179762.pdf","80179762")</f>
        <v>80179762</v>
      </c>
      <c r="F1472" s="11" t="s">
        <v>4127</v>
      </c>
      <c r="G1472" s="9" t="s">
        <v>162</v>
      </c>
      <c r="H1472" s="9" t="s">
        <v>4128</v>
      </c>
      <c r="I1472" s="10">
        <v>45509</v>
      </c>
    </row>
    <row r="1473" spans="1:9" x14ac:dyDescent="0.15">
      <c r="A1473" s="9">
        <v>1472</v>
      </c>
      <c r="B1473" s="9" t="s">
        <v>9</v>
      </c>
      <c r="C1473" s="9">
        <v>1910</v>
      </c>
      <c r="D1473" s="10">
        <v>45602</v>
      </c>
      <c r="E1473" s="13" t="str">
        <f>+HYPERLINK("http://trademark.i-assist.jp/data/china/image_1910th/80179765.pdf","80179765")</f>
        <v>80179765</v>
      </c>
      <c r="F1473" s="11" t="s">
        <v>4129</v>
      </c>
      <c r="G1473" s="9" t="s">
        <v>4130</v>
      </c>
      <c r="H1473" s="9" t="s">
        <v>4131</v>
      </c>
      <c r="I1473" s="10">
        <v>45509</v>
      </c>
    </row>
    <row r="1474" spans="1:9" x14ac:dyDescent="0.15">
      <c r="A1474" s="9">
        <v>1473</v>
      </c>
      <c r="B1474" s="9" t="s">
        <v>9</v>
      </c>
      <c r="C1474" s="9">
        <v>1910</v>
      </c>
      <c r="D1474" s="10">
        <v>45602</v>
      </c>
      <c r="E1474" s="13" t="str">
        <f>+HYPERLINK("http://trademark.i-assist.jp/data/china/image_1910th/80179864.pdf","80179864")</f>
        <v>80179864</v>
      </c>
      <c r="F1474" s="11" t="s">
        <v>4132</v>
      </c>
      <c r="G1474" s="11" t="s">
        <v>4133</v>
      </c>
      <c r="H1474" s="9" t="s">
        <v>4134</v>
      </c>
      <c r="I1474" s="10">
        <v>45509</v>
      </c>
    </row>
    <row r="1475" spans="1:9" x14ac:dyDescent="0.15">
      <c r="A1475" s="9">
        <v>1474</v>
      </c>
      <c r="B1475" s="9" t="s">
        <v>9</v>
      </c>
      <c r="C1475" s="9">
        <v>1910</v>
      </c>
      <c r="D1475" s="10">
        <v>45602</v>
      </c>
      <c r="E1475" s="13" t="str">
        <f>+HYPERLINK("http://trademark.i-assist.jp/data/china/image_1910th/80179903.pdf","80179903")</f>
        <v>80179903</v>
      </c>
      <c r="F1475" s="9" t="s">
        <v>4135</v>
      </c>
      <c r="G1475" s="11" t="s">
        <v>4136</v>
      </c>
      <c r="H1475" s="11" t="s">
        <v>4137</v>
      </c>
      <c r="I1475" s="10">
        <v>45509</v>
      </c>
    </row>
    <row r="1476" spans="1:9" x14ac:dyDescent="0.15">
      <c r="A1476" s="9">
        <v>1475</v>
      </c>
      <c r="B1476" s="9" t="s">
        <v>9</v>
      </c>
      <c r="C1476" s="9">
        <v>1910</v>
      </c>
      <c r="D1476" s="10">
        <v>45602</v>
      </c>
      <c r="E1476" s="13" t="str">
        <f>+HYPERLINK("http://trademark.i-assist.jp/data/china/image_1910th/80179991.pdf","80179991")</f>
        <v>80179991</v>
      </c>
      <c r="F1476" s="9" t="s">
        <v>4138</v>
      </c>
      <c r="G1476" s="9" t="s">
        <v>4139</v>
      </c>
      <c r="H1476" s="9" t="s">
        <v>4140</v>
      </c>
      <c r="I1476" s="10">
        <v>45509</v>
      </c>
    </row>
    <row r="1477" spans="1:9" x14ac:dyDescent="0.15">
      <c r="A1477" s="9">
        <v>1476</v>
      </c>
      <c r="B1477" s="9" t="s">
        <v>9</v>
      </c>
      <c r="C1477" s="9">
        <v>1910</v>
      </c>
      <c r="D1477" s="10">
        <v>45602</v>
      </c>
      <c r="E1477" s="13" t="str">
        <f>+HYPERLINK("http://trademark.i-assist.jp/data/china/image_1910th/80180114.pdf","80180114")</f>
        <v>80180114</v>
      </c>
      <c r="F1477" s="9" t="s">
        <v>4141</v>
      </c>
      <c r="G1477" s="11" t="s">
        <v>4142</v>
      </c>
      <c r="H1477" s="9" t="s">
        <v>4143</v>
      </c>
      <c r="I1477" s="10">
        <v>45509</v>
      </c>
    </row>
    <row r="1478" spans="1:9" x14ac:dyDescent="0.15">
      <c r="A1478" s="9">
        <v>1477</v>
      </c>
      <c r="B1478" s="9" t="s">
        <v>9</v>
      </c>
      <c r="C1478" s="9">
        <v>1910</v>
      </c>
      <c r="D1478" s="10">
        <v>45602</v>
      </c>
      <c r="E1478" s="13" t="str">
        <f>+HYPERLINK("http://trademark.i-assist.jp/data/china/image_1910th/80180206.pdf","80180206")</f>
        <v>80180206</v>
      </c>
      <c r="F1478" s="9" t="s">
        <v>4144</v>
      </c>
      <c r="G1478" s="9" t="s">
        <v>4145</v>
      </c>
      <c r="H1478" s="9" t="s">
        <v>4146</v>
      </c>
      <c r="I1478" s="10">
        <v>45509</v>
      </c>
    </row>
    <row r="1479" spans="1:9" x14ac:dyDescent="0.15">
      <c r="A1479" s="9">
        <v>1478</v>
      </c>
      <c r="B1479" s="9" t="s">
        <v>9</v>
      </c>
      <c r="C1479" s="9">
        <v>1910</v>
      </c>
      <c r="D1479" s="10">
        <v>45602</v>
      </c>
      <c r="E1479" s="13" t="str">
        <f>+HYPERLINK("http://trademark.i-assist.jp/data/china/image_1910th/80180297.pdf","80180297")</f>
        <v>80180297</v>
      </c>
      <c r="F1479" s="9" t="s">
        <v>4147</v>
      </c>
      <c r="G1479" s="9" t="s">
        <v>4148</v>
      </c>
      <c r="H1479" s="9" t="s">
        <v>4149</v>
      </c>
      <c r="I1479" s="10">
        <v>45509</v>
      </c>
    </row>
    <row r="1480" spans="1:9" x14ac:dyDescent="0.15">
      <c r="A1480" s="9">
        <v>1479</v>
      </c>
      <c r="B1480" s="9" t="s">
        <v>9</v>
      </c>
      <c r="C1480" s="9">
        <v>1910</v>
      </c>
      <c r="D1480" s="10">
        <v>45602</v>
      </c>
      <c r="E1480" s="13" t="str">
        <f>+HYPERLINK("http://trademark.i-assist.jp/data/china/image_1910th/80180354.pdf","80180354")</f>
        <v>80180354</v>
      </c>
      <c r="F1480" s="9" t="s">
        <v>4150</v>
      </c>
      <c r="G1480" s="9" t="s">
        <v>4151</v>
      </c>
      <c r="H1480" s="9" t="s">
        <v>4152</v>
      </c>
      <c r="I1480" s="10">
        <v>45509</v>
      </c>
    </row>
    <row r="1481" spans="1:9" x14ac:dyDescent="0.15">
      <c r="A1481" s="9">
        <v>1480</v>
      </c>
      <c r="B1481" s="9" t="s">
        <v>9</v>
      </c>
      <c r="C1481" s="9">
        <v>1910</v>
      </c>
      <c r="D1481" s="10">
        <v>45602</v>
      </c>
      <c r="E1481" s="13" t="str">
        <f>+HYPERLINK("http://trademark.i-assist.jp/data/china/image_1910th/80180384.pdf","80180384")</f>
        <v>80180384</v>
      </c>
      <c r="F1481" s="11" t="s">
        <v>4153</v>
      </c>
      <c r="G1481" s="11" t="s">
        <v>4154</v>
      </c>
      <c r="H1481" s="9" t="s">
        <v>4155</v>
      </c>
      <c r="I1481" s="10">
        <v>45509</v>
      </c>
    </row>
    <row r="1482" spans="1:9" x14ac:dyDescent="0.15">
      <c r="A1482" s="9">
        <v>1481</v>
      </c>
      <c r="B1482" s="9" t="s">
        <v>9</v>
      </c>
      <c r="C1482" s="9">
        <v>1910</v>
      </c>
      <c r="D1482" s="10">
        <v>45602</v>
      </c>
      <c r="E1482" s="13" t="str">
        <f>+HYPERLINK("http://trademark.i-assist.jp/data/china/image_1910th/80180478.pdf","80180478")</f>
        <v>80180478</v>
      </c>
      <c r="F1482" s="9" t="s">
        <v>4156</v>
      </c>
      <c r="G1482" s="11" t="s">
        <v>3997</v>
      </c>
      <c r="H1482" s="9" t="s">
        <v>4157</v>
      </c>
      <c r="I1482" s="10">
        <v>45509</v>
      </c>
    </row>
    <row r="1483" spans="1:9" x14ac:dyDescent="0.15">
      <c r="A1483" s="9">
        <v>1482</v>
      </c>
      <c r="B1483" s="9" t="s">
        <v>9</v>
      </c>
      <c r="C1483" s="9">
        <v>1910</v>
      </c>
      <c r="D1483" s="10">
        <v>45602</v>
      </c>
      <c r="E1483" s="13" t="str">
        <f>+HYPERLINK("http://trademark.i-assist.jp/data/china/image_1910th/80180508.pdf","80180508")</f>
        <v>80180508</v>
      </c>
      <c r="F1483" s="9" t="s">
        <v>4158</v>
      </c>
      <c r="G1483" s="11" t="s">
        <v>4159</v>
      </c>
      <c r="H1483" s="9" t="s">
        <v>4160</v>
      </c>
      <c r="I1483" s="10">
        <v>45509</v>
      </c>
    </row>
    <row r="1484" spans="1:9" x14ac:dyDescent="0.15">
      <c r="A1484" s="9">
        <v>1483</v>
      </c>
      <c r="B1484" s="9" t="s">
        <v>9</v>
      </c>
      <c r="C1484" s="9">
        <v>1910</v>
      </c>
      <c r="D1484" s="10">
        <v>45602</v>
      </c>
      <c r="E1484" s="13" t="str">
        <f>+HYPERLINK("http://trademark.i-assist.jp/data/china/image_1910th/80180553.pdf","80180553")</f>
        <v>80180553</v>
      </c>
      <c r="F1484" s="9" t="s">
        <v>4161</v>
      </c>
      <c r="G1484" s="9" t="s">
        <v>4162</v>
      </c>
      <c r="H1484" s="9" t="s">
        <v>4163</v>
      </c>
      <c r="I1484" s="10">
        <v>45509</v>
      </c>
    </row>
    <row r="1485" spans="1:9" x14ac:dyDescent="0.15">
      <c r="A1485" s="9">
        <v>1484</v>
      </c>
      <c r="B1485" s="9" t="s">
        <v>9</v>
      </c>
      <c r="C1485" s="9">
        <v>1910</v>
      </c>
      <c r="D1485" s="10">
        <v>45602</v>
      </c>
      <c r="E1485" s="13" t="str">
        <f>+HYPERLINK("http://trademark.i-assist.jp/data/china/image_1910th/80180744.pdf","80180744")</f>
        <v>80180744</v>
      </c>
      <c r="F1485" s="9" t="s">
        <v>4164</v>
      </c>
      <c r="G1485" s="11" t="s">
        <v>4165</v>
      </c>
      <c r="H1485" s="9" t="s">
        <v>4166</v>
      </c>
      <c r="I1485" s="10">
        <v>45509</v>
      </c>
    </row>
    <row r="1486" spans="1:9" x14ac:dyDescent="0.15">
      <c r="A1486" s="9">
        <v>1485</v>
      </c>
      <c r="B1486" s="9" t="s">
        <v>9</v>
      </c>
      <c r="C1486" s="9">
        <v>1910</v>
      </c>
      <c r="D1486" s="10">
        <v>45602</v>
      </c>
      <c r="E1486" s="13" t="str">
        <f>+HYPERLINK("http://trademark.i-assist.jp/data/china/image_1910th/80180862.pdf","80180862")</f>
        <v>80180862</v>
      </c>
      <c r="F1486" s="11" t="s">
        <v>4167</v>
      </c>
      <c r="G1486" s="11" t="s">
        <v>4168</v>
      </c>
      <c r="H1486" s="9" t="s">
        <v>4169</v>
      </c>
      <c r="I1486" s="10">
        <v>45509</v>
      </c>
    </row>
    <row r="1487" spans="1:9" x14ac:dyDescent="0.15">
      <c r="A1487" s="9">
        <v>1486</v>
      </c>
      <c r="B1487" s="9" t="s">
        <v>9</v>
      </c>
      <c r="C1487" s="9">
        <v>1910</v>
      </c>
      <c r="D1487" s="10">
        <v>45602</v>
      </c>
      <c r="E1487" s="13" t="str">
        <f>+HYPERLINK("http://trademark.i-assist.jp/data/china/image_1910th/80181045.pdf","80181045")</f>
        <v>80181045</v>
      </c>
      <c r="F1487" s="9" t="s">
        <v>4170</v>
      </c>
      <c r="G1487" s="9" t="s">
        <v>4171</v>
      </c>
      <c r="H1487" s="9" t="s">
        <v>4172</v>
      </c>
      <c r="I1487" s="10">
        <v>45509</v>
      </c>
    </row>
    <row r="1488" spans="1:9" x14ac:dyDescent="0.15">
      <c r="A1488" s="9">
        <v>1487</v>
      </c>
      <c r="B1488" s="9" t="s">
        <v>9</v>
      </c>
      <c r="C1488" s="9">
        <v>1910</v>
      </c>
      <c r="D1488" s="10">
        <v>45602</v>
      </c>
      <c r="E1488" s="13" t="str">
        <f>+HYPERLINK("http://trademark.i-assist.jp/data/china/image_1910th/80181051.pdf","80181051")</f>
        <v>80181051</v>
      </c>
      <c r="F1488" s="9" t="s">
        <v>4173</v>
      </c>
      <c r="G1488" s="11" t="s">
        <v>4174</v>
      </c>
      <c r="H1488" s="9" t="s">
        <v>4175</v>
      </c>
      <c r="I1488" s="10">
        <v>45509</v>
      </c>
    </row>
    <row r="1489" spans="1:9" x14ac:dyDescent="0.15">
      <c r="A1489" s="9">
        <v>1488</v>
      </c>
      <c r="B1489" s="9" t="s">
        <v>9</v>
      </c>
      <c r="C1489" s="9">
        <v>1910</v>
      </c>
      <c r="D1489" s="10">
        <v>45602</v>
      </c>
      <c r="E1489" s="13" t="str">
        <f>+HYPERLINK("http://trademark.i-assist.jp/data/china/image_1910th/80181068.pdf","80181068")</f>
        <v>80181068</v>
      </c>
      <c r="F1489" s="9" t="s">
        <v>4176</v>
      </c>
      <c r="G1489" s="9" t="s">
        <v>4177</v>
      </c>
      <c r="H1489" s="9" t="s">
        <v>4178</v>
      </c>
      <c r="I1489" s="10">
        <v>45509</v>
      </c>
    </row>
    <row r="1490" spans="1:9" x14ac:dyDescent="0.15">
      <c r="A1490" s="9">
        <v>1489</v>
      </c>
      <c r="B1490" s="9" t="s">
        <v>9</v>
      </c>
      <c r="C1490" s="9">
        <v>1910</v>
      </c>
      <c r="D1490" s="10">
        <v>45602</v>
      </c>
      <c r="E1490" s="13" t="str">
        <f>+HYPERLINK("http://trademark.i-assist.jp/data/china/image_1910th/80181411.pdf","80181411")</f>
        <v>80181411</v>
      </c>
      <c r="F1490" s="11" t="s">
        <v>4179</v>
      </c>
      <c r="G1490" s="9" t="s">
        <v>4180</v>
      </c>
      <c r="H1490" s="9" t="s">
        <v>4181</v>
      </c>
      <c r="I1490" s="10">
        <v>45509</v>
      </c>
    </row>
    <row r="1491" spans="1:9" x14ac:dyDescent="0.15">
      <c r="A1491" s="9">
        <v>1490</v>
      </c>
      <c r="B1491" s="9" t="s">
        <v>9</v>
      </c>
      <c r="C1491" s="9">
        <v>1910</v>
      </c>
      <c r="D1491" s="10">
        <v>45602</v>
      </c>
      <c r="E1491" s="13" t="str">
        <f>+HYPERLINK("http://trademark.i-assist.jp/data/china/image_1910th/80181423.pdf","80181423")</f>
        <v>80181423</v>
      </c>
      <c r="F1491" s="9" t="s">
        <v>4182</v>
      </c>
      <c r="G1491" s="9" t="s">
        <v>3943</v>
      </c>
      <c r="H1491" s="9" t="s">
        <v>4183</v>
      </c>
      <c r="I1491" s="10">
        <v>45509</v>
      </c>
    </row>
    <row r="1492" spans="1:9" x14ac:dyDescent="0.15">
      <c r="A1492" s="9">
        <v>1491</v>
      </c>
      <c r="B1492" s="9" t="s">
        <v>9</v>
      </c>
      <c r="C1492" s="9">
        <v>1910</v>
      </c>
      <c r="D1492" s="10">
        <v>45602</v>
      </c>
      <c r="E1492" s="13" t="str">
        <f>+HYPERLINK("http://trademark.i-assist.jp/data/china/image_1910th/80182083.pdf","80182083")</f>
        <v>80182083</v>
      </c>
      <c r="F1492" s="11" t="s">
        <v>4184</v>
      </c>
      <c r="G1492" s="9" t="s">
        <v>4185</v>
      </c>
      <c r="H1492" s="9" t="s">
        <v>4186</v>
      </c>
      <c r="I1492" s="10">
        <v>45509</v>
      </c>
    </row>
    <row r="1493" spans="1:9" x14ac:dyDescent="0.15">
      <c r="A1493" s="9">
        <v>1492</v>
      </c>
      <c r="B1493" s="9" t="s">
        <v>9</v>
      </c>
      <c r="C1493" s="9">
        <v>1910</v>
      </c>
      <c r="D1493" s="10">
        <v>45602</v>
      </c>
      <c r="E1493" s="13" t="str">
        <f>+HYPERLINK("http://trademark.i-assist.jp/data/china/image_1910th/80182417.pdf","80182417")</f>
        <v>80182417</v>
      </c>
      <c r="F1493" s="9" t="s">
        <v>4187</v>
      </c>
      <c r="G1493" s="9" t="s">
        <v>4188</v>
      </c>
      <c r="H1493" s="9" t="s">
        <v>4189</v>
      </c>
      <c r="I1493" s="10">
        <v>45509</v>
      </c>
    </row>
    <row r="1494" spans="1:9" x14ac:dyDescent="0.15">
      <c r="A1494" s="9">
        <v>1493</v>
      </c>
      <c r="B1494" s="9" t="s">
        <v>9</v>
      </c>
      <c r="C1494" s="9">
        <v>1910</v>
      </c>
      <c r="D1494" s="10">
        <v>45602</v>
      </c>
      <c r="E1494" s="13" t="str">
        <f>+HYPERLINK("http://trademark.i-assist.jp/data/china/image_1910th/80182707.pdf","80182707")</f>
        <v>80182707</v>
      </c>
      <c r="F1494" s="11" t="s">
        <v>4190</v>
      </c>
      <c r="G1494" s="9" t="s">
        <v>4191</v>
      </c>
      <c r="H1494" s="9" t="s">
        <v>4192</v>
      </c>
      <c r="I1494" s="10">
        <v>45509</v>
      </c>
    </row>
    <row r="1495" spans="1:9" x14ac:dyDescent="0.15">
      <c r="A1495" s="9">
        <v>1494</v>
      </c>
      <c r="B1495" s="9" t="s">
        <v>9</v>
      </c>
      <c r="C1495" s="9">
        <v>1910</v>
      </c>
      <c r="D1495" s="10">
        <v>45602</v>
      </c>
      <c r="E1495" s="13" t="str">
        <f>+HYPERLINK("http://trademark.i-assist.jp/data/china/image_1910th/80183240.pdf","80183240")</f>
        <v>80183240</v>
      </c>
      <c r="F1495" s="11" t="s">
        <v>4193</v>
      </c>
      <c r="G1495" s="11" t="s">
        <v>4194</v>
      </c>
      <c r="H1495" s="9" t="s">
        <v>4195</v>
      </c>
      <c r="I1495" s="10">
        <v>45509</v>
      </c>
    </row>
    <row r="1496" spans="1:9" x14ac:dyDescent="0.15">
      <c r="A1496" s="9">
        <v>1495</v>
      </c>
      <c r="B1496" s="9" t="s">
        <v>9</v>
      </c>
      <c r="C1496" s="9">
        <v>1910</v>
      </c>
      <c r="D1496" s="10">
        <v>45602</v>
      </c>
      <c r="E1496" s="13" t="str">
        <f>+HYPERLINK("http://trademark.i-assist.jp/data/china/image_1910th/80183410.pdf","80183410")</f>
        <v>80183410</v>
      </c>
      <c r="F1496" s="11" t="s">
        <v>4196</v>
      </c>
      <c r="G1496" s="11" t="s">
        <v>66</v>
      </c>
      <c r="H1496" s="9" t="s">
        <v>4197</v>
      </c>
      <c r="I1496" s="10">
        <v>45509</v>
      </c>
    </row>
    <row r="1497" spans="1:9" x14ac:dyDescent="0.15">
      <c r="A1497" s="9">
        <v>1496</v>
      </c>
      <c r="B1497" s="9" t="s">
        <v>9</v>
      </c>
      <c r="C1497" s="9">
        <v>1910</v>
      </c>
      <c r="D1497" s="10">
        <v>45602</v>
      </c>
      <c r="E1497" s="13" t="str">
        <f>+HYPERLINK("http://trademark.i-assist.jp/data/china/image_1910th/80183428.pdf","80183428")</f>
        <v>80183428</v>
      </c>
      <c r="F1497" s="11" t="s">
        <v>4198</v>
      </c>
      <c r="G1497" s="11" t="s">
        <v>4058</v>
      </c>
      <c r="H1497" s="9" t="s">
        <v>4199</v>
      </c>
      <c r="I1497" s="10">
        <v>45509</v>
      </c>
    </row>
    <row r="1498" spans="1:9" x14ac:dyDescent="0.15">
      <c r="A1498" s="9">
        <v>1497</v>
      </c>
      <c r="B1498" s="9" t="s">
        <v>9</v>
      </c>
      <c r="C1498" s="9">
        <v>1910</v>
      </c>
      <c r="D1498" s="10">
        <v>45602</v>
      </c>
      <c r="E1498" s="13" t="str">
        <f>+HYPERLINK("http://trademark.i-assist.jp/data/china/image_1910th/80183724.pdf","80183724")</f>
        <v>80183724</v>
      </c>
      <c r="F1498" s="9" t="s">
        <v>4200</v>
      </c>
      <c r="G1498" s="11" t="s">
        <v>4201</v>
      </c>
      <c r="H1498" s="9" t="s">
        <v>4202</v>
      </c>
      <c r="I1498" s="10">
        <v>45509</v>
      </c>
    </row>
    <row r="1499" spans="1:9" x14ac:dyDescent="0.15">
      <c r="A1499" s="9">
        <v>1498</v>
      </c>
      <c r="B1499" s="9" t="s">
        <v>9</v>
      </c>
      <c r="C1499" s="9">
        <v>1910</v>
      </c>
      <c r="D1499" s="10">
        <v>45602</v>
      </c>
      <c r="E1499" s="13" t="str">
        <f>+HYPERLINK("http://trademark.i-assist.jp/data/china/image_1910th/80183879.pdf","80183879")</f>
        <v>80183879</v>
      </c>
      <c r="F1499" s="9" t="s">
        <v>4203</v>
      </c>
      <c r="G1499" s="9" t="s">
        <v>86</v>
      </c>
      <c r="H1499" s="9" t="s">
        <v>4204</v>
      </c>
      <c r="I1499" s="10">
        <v>45509</v>
      </c>
    </row>
    <row r="1500" spans="1:9" x14ac:dyDescent="0.15">
      <c r="A1500" s="9">
        <v>1499</v>
      </c>
      <c r="B1500" s="9" t="s">
        <v>9</v>
      </c>
      <c r="C1500" s="9">
        <v>1910</v>
      </c>
      <c r="D1500" s="10">
        <v>45602</v>
      </c>
      <c r="E1500" s="13" t="str">
        <f>+HYPERLINK("http://trademark.i-assist.jp/data/china/image_1910th/80183968.pdf","80183968")</f>
        <v>80183968</v>
      </c>
      <c r="F1500" s="11" t="s">
        <v>4205</v>
      </c>
      <c r="G1500" s="11" t="s">
        <v>4206</v>
      </c>
      <c r="H1500" s="9" t="s">
        <v>4207</v>
      </c>
      <c r="I1500" s="10">
        <v>45509</v>
      </c>
    </row>
    <row r="1501" spans="1:9" x14ac:dyDescent="0.15">
      <c r="A1501" s="9">
        <v>1500</v>
      </c>
      <c r="B1501" s="9" t="s">
        <v>9</v>
      </c>
      <c r="C1501" s="9">
        <v>1910</v>
      </c>
      <c r="D1501" s="10">
        <v>45602</v>
      </c>
      <c r="E1501" s="13" t="str">
        <f>+HYPERLINK("http://trademark.i-assist.jp/data/china/image_1910th/80184365.pdf","80184365")</f>
        <v>80184365</v>
      </c>
      <c r="F1501" s="11" t="s">
        <v>4208</v>
      </c>
      <c r="G1501" s="9" t="s">
        <v>4185</v>
      </c>
      <c r="H1501" s="9" t="s">
        <v>4209</v>
      </c>
      <c r="I1501" s="10">
        <v>45509</v>
      </c>
    </row>
    <row r="1502" spans="1:9" x14ac:dyDescent="0.15">
      <c r="A1502" s="9">
        <v>1501</v>
      </c>
      <c r="B1502" s="9" t="s">
        <v>9</v>
      </c>
      <c r="C1502" s="9">
        <v>1910</v>
      </c>
      <c r="D1502" s="10">
        <v>45602</v>
      </c>
      <c r="E1502" s="13" t="str">
        <f>+HYPERLINK("http://trademark.i-assist.jp/data/china/image_1910th/80184447.pdf","80184447")</f>
        <v>80184447</v>
      </c>
      <c r="F1502" s="9" t="s">
        <v>4210</v>
      </c>
      <c r="G1502" s="9" t="s">
        <v>4211</v>
      </c>
      <c r="H1502" s="9" t="s">
        <v>4212</v>
      </c>
      <c r="I1502" s="10">
        <v>45509</v>
      </c>
    </row>
    <row r="1503" spans="1:9" x14ac:dyDescent="0.15">
      <c r="A1503" s="9">
        <v>1502</v>
      </c>
      <c r="B1503" s="9" t="s">
        <v>9</v>
      </c>
      <c r="C1503" s="9">
        <v>1910</v>
      </c>
      <c r="D1503" s="10">
        <v>45602</v>
      </c>
      <c r="E1503" s="13" t="str">
        <f>+HYPERLINK("http://trademark.i-assist.jp/data/china/image_1910th/80184542.pdf","80184542")</f>
        <v>80184542</v>
      </c>
      <c r="F1503" s="11" t="s">
        <v>4213</v>
      </c>
      <c r="G1503" s="9" t="s">
        <v>4070</v>
      </c>
      <c r="H1503" s="9" t="s">
        <v>4214</v>
      </c>
      <c r="I1503" s="10">
        <v>45509</v>
      </c>
    </row>
    <row r="1504" spans="1:9" x14ac:dyDescent="0.15">
      <c r="A1504" s="9">
        <v>1503</v>
      </c>
      <c r="B1504" s="9" t="s">
        <v>9</v>
      </c>
      <c r="C1504" s="9">
        <v>1910</v>
      </c>
      <c r="D1504" s="10">
        <v>45602</v>
      </c>
      <c r="E1504" s="13" t="str">
        <f>+HYPERLINK("http://trademark.i-assist.jp/data/china/image_1910th/80184679.pdf","80184679")</f>
        <v>80184679</v>
      </c>
      <c r="F1504" s="9" t="s">
        <v>4215</v>
      </c>
      <c r="G1504" s="11" t="s">
        <v>4216</v>
      </c>
      <c r="H1504" s="9" t="s">
        <v>4217</v>
      </c>
      <c r="I1504" s="10">
        <v>45509</v>
      </c>
    </row>
    <row r="1505" spans="1:9" x14ac:dyDescent="0.15">
      <c r="A1505" s="9">
        <v>1504</v>
      </c>
      <c r="B1505" s="9" t="s">
        <v>9</v>
      </c>
      <c r="C1505" s="9">
        <v>1910</v>
      </c>
      <c r="D1505" s="10">
        <v>45602</v>
      </c>
      <c r="E1505" s="13" t="str">
        <f>+HYPERLINK("http://trademark.i-assist.jp/data/china/image_1910th/80184721.pdf","80184721")</f>
        <v>80184721</v>
      </c>
      <c r="F1505" s="9" t="s">
        <v>4218</v>
      </c>
      <c r="G1505" s="9" t="s">
        <v>4219</v>
      </c>
      <c r="H1505" s="9" t="s">
        <v>4220</v>
      </c>
      <c r="I1505" s="10">
        <v>45509</v>
      </c>
    </row>
    <row r="1506" spans="1:9" x14ac:dyDescent="0.15">
      <c r="A1506" s="9">
        <v>1505</v>
      </c>
      <c r="B1506" s="9" t="s">
        <v>9</v>
      </c>
      <c r="C1506" s="9">
        <v>1910</v>
      </c>
      <c r="D1506" s="10">
        <v>45602</v>
      </c>
      <c r="E1506" s="13" t="str">
        <f>+HYPERLINK("http://trademark.i-assist.jp/data/china/image_1910th/80184835.pdf","80184835")</f>
        <v>80184835</v>
      </c>
      <c r="F1506" s="9" t="s">
        <v>4221</v>
      </c>
      <c r="G1506" s="9" t="s">
        <v>4222</v>
      </c>
      <c r="H1506" s="9" t="s">
        <v>4223</v>
      </c>
      <c r="I1506" s="10">
        <v>45509</v>
      </c>
    </row>
    <row r="1507" spans="1:9" x14ac:dyDescent="0.15">
      <c r="A1507" s="9">
        <v>1506</v>
      </c>
      <c r="B1507" s="9" t="s">
        <v>9</v>
      </c>
      <c r="C1507" s="9">
        <v>1910</v>
      </c>
      <c r="D1507" s="10">
        <v>45602</v>
      </c>
      <c r="E1507" s="13" t="str">
        <f>+HYPERLINK("http://trademark.i-assist.jp/data/china/image_1910th/80185241.pdf","80185241")</f>
        <v>80185241</v>
      </c>
      <c r="F1507" s="11" t="s">
        <v>4224</v>
      </c>
      <c r="G1507" s="11" t="s">
        <v>4225</v>
      </c>
      <c r="H1507" s="9" t="s">
        <v>4226</v>
      </c>
      <c r="I1507" s="10">
        <v>45509</v>
      </c>
    </row>
    <row r="1508" spans="1:9" x14ac:dyDescent="0.15">
      <c r="A1508" s="9">
        <v>1507</v>
      </c>
      <c r="B1508" s="9" t="s">
        <v>9</v>
      </c>
      <c r="C1508" s="9">
        <v>1910</v>
      </c>
      <c r="D1508" s="10">
        <v>45602</v>
      </c>
      <c r="E1508" s="13" t="str">
        <f>+HYPERLINK("http://trademark.i-assist.jp/data/china/image_1910th/80185322.pdf","80185322")</f>
        <v>80185322</v>
      </c>
      <c r="F1508" s="11" t="s">
        <v>19</v>
      </c>
      <c r="G1508" s="9" t="s">
        <v>4227</v>
      </c>
      <c r="H1508" s="9" t="s">
        <v>4228</v>
      </c>
      <c r="I1508" s="10">
        <v>45509</v>
      </c>
    </row>
    <row r="1509" spans="1:9" x14ac:dyDescent="0.15">
      <c r="A1509" s="9">
        <v>1508</v>
      </c>
      <c r="B1509" s="9" t="s">
        <v>9</v>
      </c>
      <c r="C1509" s="9">
        <v>1910</v>
      </c>
      <c r="D1509" s="10">
        <v>45602</v>
      </c>
      <c r="E1509" s="13" t="str">
        <f>+HYPERLINK("http://trademark.i-assist.jp/data/china/image_1910th/80185520.pdf","80185520")</f>
        <v>80185520</v>
      </c>
      <c r="F1509" s="11" t="s">
        <v>19</v>
      </c>
      <c r="G1509" s="9" t="s">
        <v>4229</v>
      </c>
      <c r="H1509" s="9" t="s">
        <v>4230</v>
      </c>
      <c r="I1509" s="10">
        <v>45509</v>
      </c>
    </row>
    <row r="1510" spans="1:9" x14ac:dyDescent="0.15">
      <c r="A1510" s="9">
        <v>1509</v>
      </c>
      <c r="B1510" s="9" t="s">
        <v>9</v>
      </c>
      <c r="C1510" s="9">
        <v>1910</v>
      </c>
      <c r="D1510" s="10">
        <v>45602</v>
      </c>
      <c r="E1510" s="13" t="str">
        <f>+HYPERLINK("http://trademark.i-assist.jp/data/china/image_1910th/80185558.pdf","80185558")</f>
        <v>80185558</v>
      </c>
      <c r="F1510" s="9" t="s">
        <v>4231</v>
      </c>
      <c r="G1510" s="11" t="s">
        <v>4232</v>
      </c>
      <c r="H1510" s="9" t="s">
        <v>4233</v>
      </c>
      <c r="I1510" s="10">
        <v>45509</v>
      </c>
    </row>
    <row r="1511" spans="1:9" x14ac:dyDescent="0.15">
      <c r="A1511" s="9">
        <v>1510</v>
      </c>
      <c r="B1511" s="9" t="s">
        <v>9</v>
      </c>
      <c r="C1511" s="9">
        <v>1910</v>
      </c>
      <c r="D1511" s="10">
        <v>45602</v>
      </c>
      <c r="E1511" s="13" t="str">
        <f>+HYPERLINK("http://trademark.i-assist.jp/data/china/image_1910th/80185572.pdf","80185572")</f>
        <v>80185572</v>
      </c>
      <c r="F1511" s="9" t="s">
        <v>4234</v>
      </c>
      <c r="G1511" s="9" t="s">
        <v>4235</v>
      </c>
      <c r="H1511" s="9" t="s">
        <v>4236</v>
      </c>
      <c r="I1511" s="10">
        <v>45509</v>
      </c>
    </row>
    <row r="1512" spans="1:9" x14ac:dyDescent="0.15">
      <c r="A1512" s="9">
        <v>1511</v>
      </c>
      <c r="B1512" s="9" t="s">
        <v>9</v>
      </c>
      <c r="C1512" s="9">
        <v>1910</v>
      </c>
      <c r="D1512" s="10">
        <v>45602</v>
      </c>
      <c r="E1512" s="13" t="str">
        <f>+HYPERLINK("http://trademark.i-assist.jp/data/china/image_1910th/80185653.pdf","80185653")</f>
        <v>80185653</v>
      </c>
      <c r="F1512" s="9" t="s">
        <v>4237</v>
      </c>
      <c r="G1512" s="9" t="s">
        <v>4238</v>
      </c>
      <c r="H1512" s="9" t="s">
        <v>4239</v>
      </c>
      <c r="I1512" s="10">
        <v>45509</v>
      </c>
    </row>
    <row r="1513" spans="1:9" x14ac:dyDescent="0.15">
      <c r="A1513" s="9">
        <v>1512</v>
      </c>
      <c r="B1513" s="9" t="s">
        <v>9</v>
      </c>
      <c r="C1513" s="9">
        <v>1910</v>
      </c>
      <c r="D1513" s="10">
        <v>45602</v>
      </c>
      <c r="E1513" s="13" t="str">
        <f>+HYPERLINK("http://trademark.i-assist.jp/data/china/image_1910th/80185662.pdf","80185662")</f>
        <v>80185662</v>
      </c>
      <c r="F1513" s="9" t="s">
        <v>4240</v>
      </c>
      <c r="G1513" s="9" t="s">
        <v>4238</v>
      </c>
      <c r="H1513" s="11" t="s">
        <v>4241</v>
      </c>
      <c r="I1513" s="10">
        <v>45509</v>
      </c>
    </row>
    <row r="1514" spans="1:9" x14ac:dyDescent="0.15">
      <c r="A1514" s="9">
        <v>1513</v>
      </c>
      <c r="B1514" s="9" t="s">
        <v>9</v>
      </c>
      <c r="C1514" s="9">
        <v>1910</v>
      </c>
      <c r="D1514" s="10">
        <v>45602</v>
      </c>
      <c r="E1514" s="13" t="str">
        <f>+HYPERLINK("http://trademark.i-assist.jp/data/china/image_1910th/80185829.pdf","80185829")</f>
        <v>80185829</v>
      </c>
      <c r="F1514" s="9" t="s">
        <v>4242</v>
      </c>
      <c r="G1514" s="11" t="s">
        <v>135</v>
      </c>
      <c r="H1514" s="9" t="s">
        <v>4243</v>
      </c>
      <c r="I1514" s="10">
        <v>45509</v>
      </c>
    </row>
    <row r="1515" spans="1:9" x14ac:dyDescent="0.15">
      <c r="A1515" s="9">
        <v>1514</v>
      </c>
      <c r="B1515" s="9" t="s">
        <v>9</v>
      </c>
      <c r="C1515" s="9">
        <v>1910</v>
      </c>
      <c r="D1515" s="10">
        <v>45602</v>
      </c>
      <c r="E1515" s="13" t="str">
        <f>+HYPERLINK("http://trademark.i-assist.jp/data/china/image_1910th/80185871.pdf","80185871")</f>
        <v>80185871</v>
      </c>
      <c r="F1515" s="9" t="s">
        <v>4244</v>
      </c>
      <c r="G1515" s="9" t="s">
        <v>4245</v>
      </c>
      <c r="H1515" s="9" t="s">
        <v>4246</v>
      </c>
      <c r="I1515" s="10">
        <v>45509</v>
      </c>
    </row>
    <row r="1516" spans="1:9" x14ac:dyDescent="0.15">
      <c r="A1516" s="9">
        <v>1515</v>
      </c>
      <c r="B1516" s="9" t="s">
        <v>9</v>
      </c>
      <c r="C1516" s="9">
        <v>1910</v>
      </c>
      <c r="D1516" s="10">
        <v>45602</v>
      </c>
      <c r="E1516" s="13" t="str">
        <f>+HYPERLINK("http://trademark.i-assist.jp/data/china/image_1910th/80185907.pdf","80185907")</f>
        <v>80185907</v>
      </c>
      <c r="F1516" s="9" t="s">
        <v>4247</v>
      </c>
      <c r="G1516" s="9" t="s">
        <v>4248</v>
      </c>
      <c r="H1516" s="9" t="s">
        <v>4249</v>
      </c>
      <c r="I1516" s="10">
        <v>45509</v>
      </c>
    </row>
    <row r="1517" spans="1:9" x14ac:dyDescent="0.15">
      <c r="A1517" s="9">
        <v>1516</v>
      </c>
      <c r="B1517" s="9" t="s">
        <v>9</v>
      </c>
      <c r="C1517" s="9">
        <v>1910</v>
      </c>
      <c r="D1517" s="10">
        <v>45602</v>
      </c>
      <c r="E1517" s="13" t="str">
        <f>+HYPERLINK("http://trademark.i-assist.jp/data/china/image_1910th/80186367.pdf","80186367")</f>
        <v>80186367</v>
      </c>
      <c r="F1517" s="11" t="s">
        <v>4250</v>
      </c>
      <c r="G1517" s="11" t="s">
        <v>4251</v>
      </c>
      <c r="H1517" s="11" t="s">
        <v>4252</v>
      </c>
      <c r="I1517" s="10">
        <v>45509</v>
      </c>
    </row>
    <row r="1518" spans="1:9" x14ac:dyDescent="0.15">
      <c r="A1518" s="9">
        <v>1517</v>
      </c>
      <c r="B1518" s="9" t="s">
        <v>9</v>
      </c>
      <c r="C1518" s="9">
        <v>1910</v>
      </c>
      <c r="D1518" s="10">
        <v>45602</v>
      </c>
      <c r="E1518" s="13" t="str">
        <f>+HYPERLINK("http://trademark.i-assist.jp/data/china/image_1910th/80186521.pdf","80186521")</f>
        <v>80186521</v>
      </c>
      <c r="F1518" s="9" t="s">
        <v>4253</v>
      </c>
      <c r="G1518" s="9" t="s">
        <v>161</v>
      </c>
      <c r="H1518" s="9" t="s">
        <v>4254</v>
      </c>
      <c r="I1518" s="10">
        <v>45509</v>
      </c>
    </row>
    <row r="1519" spans="1:9" x14ac:dyDescent="0.15">
      <c r="A1519" s="9">
        <v>1518</v>
      </c>
      <c r="B1519" s="9" t="s">
        <v>9</v>
      </c>
      <c r="C1519" s="9">
        <v>1910</v>
      </c>
      <c r="D1519" s="10">
        <v>45602</v>
      </c>
      <c r="E1519" s="13" t="str">
        <f>+HYPERLINK("http://trademark.i-assist.jp/data/china/image_1910th/80186543.pdf","80186543")</f>
        <v>80186543</v>
      </c>
      <c r="F1519" s="11" t="s">
        <v>19</v>
      </c>
      <c r="G1519" s="9" t="s">
        <v>4255</v>
      </c>
      <c r="H1519" s="9" t="s">
        <v>4256</v>
      </c>
      <c r="I1519" s="10">
        <v>45509</v>
      </c>
    </row>
    <row r="1520" spans="1:9" x14ac:dyDescent="0.15">
      <c r="A1520" s="9">
        <v>1519</v>
      </c>
      <c r="B1520" s="9" t="s">
        <v>9</v>
      </c>
      <c r="C1520" s="9">
        <v>1910</v>
      </c>
      <c r="D1520" s="10">
        <v>45602</v>
      </c>
      <c r="E1520" s="13" t="str">
        <f>+HYPERLINK("http://trademark.i-assist.jp/data/china/image_1910th/80186820.pdf","80186820")</f>
        <v>80186820</v>
      </c>
      <c r="F1520" s="11" t="s">
        <v>19</v>
      </c>
      <c r="G1520" s="9" t="s">
        <v>4229</v>
      </c>
      <c r="H1520" s="9" t="s">
        <v>4257</v>
      </c>
      <c r="I1520" s="10">
        <v>45509</v>
      </c>
    </row>
    <row r="1521" spans="1:9" x14ac:dyDescent="0.15">
      <c r="A1521" s="9">
        <v>1520</v>
      </c>
      <c r="B1521" s="9" t="s">
        <v>9</v>
      </c>
      <c r="C1521" s="9">
        <v>1910</v>
      </c>
      <c r="D1521" s="10">
        <v>45602</v>
      </c>
      <c r="E1521" s="13" t="str">
        <f>+HYPERLINK("http://trademark.i-assist.jp/data/china/image_1910th/80186913.pdf","80186913")</f>
        <v>80186913</v>
      </c>
      <c r="F1521" s="9" t="s">
        <v>4258</v>
      </c>
      <c r="G1521" s="9" t="s">
        <v>4259</v>
      </c>
      <c r="H1521" s="9" t="s">
        <v>4260</v>
      </c>
      <c r="I1521" s="10">
        <v>45509</v>
      </c>
    </row>
    <row r="1522" spans="1:9" x14ac:dyDescent="0.15">
      <c r="A1522" s="9">
        <v>1521</v>
      </c>
      <c r="B1522" s="9" t="s">
        <v>9</v>
      </c>
      <c r="C1522" s="9">
        <v>1910</v>
      </c>
      <c r="D1522" s="10">
        <v>45602</v>
      </c>
      <c r="E1522" s="13" t="str">
        <f>+HYPERLINK("http://trademark.i-assist.jp/data/china/image_1910th/80187069.pdf","80187069")</f>
        <v>80187069</v>
      </c>
      <c r="F1522" s="9" t="s">
        <v>4261</v>
      </c>
      <c r="G1522" s="9" t="s">
        <v>4262</v>
      </c>
      <c r="H1522" s="9" t="s">
        <v>4263</v>
      </c>
      <c r="I1522" s="10">
        <v>45509</v>
      </c>
    </row>
    <row r="1523" spans="1:9" x14ac:dyDescent="0.15">
      <c r="A1523" s="9">
        <v>1522</v>
      </c>
      <c r="B1523" s="9" t="s">
        <v>9</v>
      </c>
      <c r="C1523" s="9">
        <v>1910</v>
      </c>
      <c r="D1523" s="10">
        <v>45602</v>
      </c>
      <c r="E1523" s="13" t="str">
        <f>+HYPERLINK("http://trademark.i-assist.jp/data/china/image_1910th/80187095.pdf","80187095")</f>
        <v>80187095</v>
      </c>
      <c r="F1523" s="9" t="s">
        <v>4264</v>
      </c>
      <c r="G1523" s="9" t="s">
        <v>4265</v>
      </c>
      <c r="H1523" s="9" t="s">
        <v>4266</v>
      </c>
      <c r="I1523" s="10">
        <v>45509</v>
      </c>
    </row>
    <row r="1524" spans="1:9" x14ac:dyDescent="0.15">
      <c r="A1524" s="9">
        <v>1523</v>
      </c>
      <c r="B1524" s="9" t="s">
        <v>9</v>
      </c>
      <c r="C1524" s="9">
        <v>1910</v>
      </c>
      <c r="D1524" s="10">
        <v>45602</v>
      </c>
      <c r="E1524" s="13" t="str">
        <f>+HYPERLINK("http://trademark.i-assist.jp/data/china/image_1910th/80187380.pdf","80187380")</f>
        <v>80187380</v>
      </c>
      <c r="F1524" s="9" t="s">
        <v>4267</v>
      </c>
      <c r="G1524" s="9" t="s">
        <v>4268</v>
      </c>
      <c r="H1524" s="9" t="s">
        <v>4269</v>
      </c>
      <c r="I1524" s="10">
        <v>45509</v>
      </c>
    </row>
    <row r="1525" spans="1:9" x14ac:dyDescent="0.15">
      <c r="A1525" s="9">
        <v>1524</v>
      </c>
      <c r="B1525" s="9" t="s">
        <v>9</v>
      </c>
      <c r="C1525" s="9">
        <v>1910</v>
      </c>
      <c r="D1525" s="10">
        <v>45602</v>
      </c>
      <c r="E1525" s="13" t="str">
        <f>+HYPERLINK("http://trademark.i-assist.jp/data/china/image_1910th/80187452.pdf","80187452")</f>
        <v>80187452</v>
      </c>
      <c r="F1525" s="9" t="s">
        <v>4270</v>
      </c>
      <c r="G1525" s="11" t="s">
        <v>4271</v>
      </c>
      <c r="H1525" s="9" t="s">
        <v>4272</v>
      </c>
      <c r="I1525" s="10">
        <v>45509</v>
      </c>
    </row>
    <row r="1526" spans="1:9" x14ac:dyDescent="0.15">
      <c r="A1526" s="9">
        <v>1525</v>
      </c>
      <c r="B1526" s="9" t="s">
        <v>9</v>
      </c>
      <c r="C1526" s="9">
        <v>1910</v>
      </c>
      <c r="D1526" s="10">
        <v>45602</v>
      </c>
      <c r="E1526" s="13" t="str">
        <f>+HYPERLINK("http://trademark.i-assist.jp/data/china/image_1910th/80187486.pdf","80187486")</f>
        <v>80187486</v>
      </c>
      <c r="F1526" s="11" t="s">
        <v>4273</v>
      </c>
      <c r="G1526" s="11" t="s">
        <v>4274</v>
      </c>
      <c r="H1526" s="9" t="s">
        <v>4275</v>
      </c>
      <c r="I1526" s="10">
        <v>45509</v>
      </c>
    </row>
    <row r="1527" spans="1:9" x14ac:dyDescent="0.15">
      <c r="A1527" s="9">
        <v>1526</v>
      </c>
      <c r="B1527" s="9" t="s">
        <v>9</v>
      </c>
      <c r="C1527" s="9">
        <v>1910</v>
      </c>
      <c r="D1527" s="10">
        <v>45602</v>
      </c>
      <c r="E1527" s="13" t="str">
        <f>+HYPERLINK("http://trademark.i-assist.jp/data/china/image_1910th/80187502.pdf","80187502")</f>
        <v>80187502</v>
      </c>
      <c r="F1527" s="9" t="s">
        <v>4276</v>
      </c>
      <c r="G1527" s="9" t="s">
        <v>4277</v>
      </c>
      <c r="H1527" s="11" t="s">
        <v>4278</v>
      </c>
      <c r="I1527" s="10">
        <v>45509</v>
      </c>
    </row>
    <row r="1528" spans="1:9" x14ac:dyDescent="0.15">
      <c r="A1528" s="9">
        <v>1527</v>
      </c>
      <c r="B1528" s="9" t="s">
        <v>9</v>
      </c>
      <c r="C1528" s="9">
        <v>1910</v>
      </c>
      <c r="D1528" s="10">
        <v>45602</v>
      </c>
      <c r="E1528" s="13" t="str">
        <f>+HYPERLINK("http://trademark.i-assist.jp/data/china/image_1910th/80187599.pdf","80187599")</f>
        <v>80187599</v>
      </c>
      <c r="F1528" s="9" t="s">
        <v>4279</v>
      </c>
      <c r="G1528" s="9" t="s">
        <v>4280</v>
      </c>
      <c r="H1528" s="9" t="s">
        <v>4281</v>
      </c>
      <c r="I1528" s="10">
        <v>45509</v>
      </c>
    </row>
    <row r="1529" spans="1:9" x14ac:dyDescent="0.15">
      <c r="A1529" s="9">
        <v>1528</v>
      </c>
      <c r="B1529" s="9" t="s">
        <v>9</v>
      </c>
      <c r="C1529" s="9">
        <v>1910</v>
      </c>
      <c r="D1529" s="10">
        <v>45602</v>
      </c>
      <c r="E1529" s="13" t="str">
        <f>+HYPERLINK("http://trademark.i-assist.jp/data/china/image_1910th/80187603.pdf","80187603")</f>
        <v>80187603</v>
      </c>
      <c r="F1529" s="9" t="s">
        <v>4282</v>
      </c>
      <c r="G1529" s="11" t="s">
        <v>4283</v>
      </c>
      <c r="H1529" s="9" t="s">
        <v>4284</v>
      </c>
      <c r="I1529" s="10">
        <v>45509</v>
      </c>
    </row>
    <row r="1530" spans="1:9" x14ac:dyDescent="0.15">
      <c r="A1530" s="9">
        <v>1529</v>
      </c>
      <c r="B1530" s="9" t="s">
        <v>9</v>
      </c>
      <c r="C1530" s="9">
        <v>1910</v>
      </c>
      <c r="D1530" s="10">
        <v>45602</v>
      </c>
      <c r="E1530" s="13" t="str">
        <f>+HYPERLINK("http://trademark.i-assist.jp/data/china/image_1910th/80187866.pdf","80187866")</f>
        <v>80187866</v>
      </c>
      <c r="F1530" s="9" t="s">
        <v>4285</v>
      </c>
      <c r="G1530" s="9" t="s">
        <v>4286</v>
      </c>
      <c r="H1530" s="9" t="s">
        <v>4287</v>
      </c>
      <c r="I1530" s="10">
        <v>45509</v>
      </c>
    </row>
    <row r="1531" spans="1:9" x14ac:dyDescent="0.15">
      <c r="A1531" s="9">
        <v>1530</v>
      </c>
      <c r="B1531" s="9" t="s">
        <v>9</v>
      </c>
      <c r="C1531" s="9">
        <v>1910</v>
      </c>
      <c r="D1531" s="10">
        <v>45602</v>
      </c>
      <c r="E1531" s="13" t="str">
        <f>+HYPERLINK("http://trademark.i-assist.jp/data/china/image_1910th/80188059.pdf","80188059")</f>
        <v>80188059</v>
      </c>
      <c r="F1531" s="9" t="s">
        <v>4288</v>
      </c>
      <c r="G1531" s="9" t="s">
        <v>4289</v>
      </c>
      <c r="H1531" s="9" t="s">
        <v>4290</v>
      </c>
      <c r="I1531" s="10">
        <v>45509</v>
      </c>
    </row>
    <row r="1532" spans="1:9" x14ac:dyDescent="0.15">
      <c r="A1532" s="9">
        <v>1531</v>
      </c>
      <c r="B1532" s="9" t="s">
        <v>9</v>
      </c>
      <c r="C1532" s="9">
        <v>1910</v>
      </c>
      <c r="D1532" s="10">
        <v>45602</v>
      </c>
      <c r="E1532" s="13" t="str">
        <f>+HYPERLINK("http://trademark.i-assist.jp/data/china/image_1910th/80188369.pdf","80188369")</f>
        <v>80188369</v>
      </c>
      <c r="F1532" s="9" t="s">
        <v>4291</v>
      </c>
      <c r="G1532" s="9" t="s">
        <v>4292</v>
      </c>
      <c r="H1532" s="9" t="s">
        <v>4293</v>
      </c>
      <c r="I1532" s="10">
        <v>45509</v>
      </c>
    </row>
    <row r="1533" spans="1:9" x14ac:dyDescent="0.15">
      <c r="A1533" s="9">
        <v>1532</v>
      </c>
      <c r="B1533" s="9" t="s">
        <v>9</v>
      </c>
      <c r="C1533" s="9">
        <v>1910</v>
      </c>
      <c r="D1533" s="10">
        <v>45602</v>
      </c>
      <c r="E1533" s="13" t="str">
        <f>+HYPERLINK("http://trademark.i-assist.jp/data/china/image_1910th/80188404.pdf","80188404")</f>
        <v>80188404</v>
      </c>
      <c r="F1533" s="9" t="s">
        <v>4294</v>
      </c>
      <c r="G1533" s="9" t="s">
        <v>4295</v>
      </c>
      <c r="H1533" s="11" t="s">
        <v>4296</v>
      </c>
      <c r="I1533" s="10">
        <v>45509</v>
      </c>
    </row>
    <row r="1534" spans="1:9" x14ac:dyDescent="0.15">
      <c r="A1534" s="9">
        <v>1533</v>
      </c>
      <c r="B1534" s="9" t="s">
        <v>9</v>
      </c>
      <c r="C1534" s="9">
        <v>1910</v>
      </c>
      <c r="D1534" s="10">
        <v>45602</v>
      </c>
      <c r="E1534" s="13" t="str">
        <f>+HYPERLINK("http://trademark.i-assist.jp/data/china/image_1910th/80188437.pdf","80188437")</f>
        <v>80188437</v>
      </c>
      <c r="F1534" s="9" t="s">
        <v>4297</v>
      </c>
      <c r="G1534" s="11" t="s">
        <v>4117</v>
      </c>
      <c r="H1534" s="9" t="s">
        <v>4298</v>
      </c>
      <c r="I1534" s="10">
        <v>45509</v>
      </c>
    </row>
    <row r="1535" spans="1:9" x14ac:dyDescent="0.15">
      <c r="A1535" s="9">
        <v>1534</v>
      </c>
      <c r="B1535" s="9" t="s">
        <v>9</v>
      </c>
      <c r="C1535" s="9">
        <v>1910</v>
      </c>
      <c r="D1535" s="10">
        <v>45602</v>
      </c>
      <c r="E1535" s="13" t="str">
        <f>+HYPERLINK("http://trademark.i-assist.jp/data/china/image_1910th/80188682.pdf","80188682")</f>
        <v>80188682</v>
      </c>
      <c r="F1535" s="9" t="s">
        <v>4299</v>
      </c>
      <c r="G1535" s="9" t="s">
        <v>4082</v>
      </c>
      <c r="H1535" s="9" t="s">
        <v>4300</v>
      </c>
      <c r="I1535" s="10">
        <v>45509</v>
      </c>
    </row>
    <row r="1536" spans="1:9" x14ac:dyDescent="0.15">
      <c r="A1536" s="9">
        <v>1535</v>
      </c>
      <c r="B1536" s="9" t="s">
        <v>9</v>
      </c>
      <c r="C1536" s="9">
        <v>1910</v>
      </c>
      <c r="D1536" s="10">
        <v>45602</v>
      </c>
      <c r="E1536" s="13" t="str">
        <f>+HYPERLINK("http://trademark.i-assist.jp/data/china/image_1910th/80189205.pdf","80189205")</f>
        <v>80189205</v>
      </c>
      <c r="F1536" s="11" t="s">
        <v>4301</v>
      </c>
      <c r="G1536" s="11" t="s">
        <v>4302</v>
      </c>
      <c r="H1536" s="9" t="s">
        <v>4303</v>
      </c>
      <c r="I1536" s="10">
        <v>45509</v>
      </c>
    </row>
    <row r="1537" spans="1:9" x14ac:dyDescent="0.15">
      <c r="A1537" s="9">
        <v>1536</v>
      </c>
      <c r="B1537" s="9" t="s">
        <v>9</v>
      </c>
      <c r="C1537" s="9">
        <v>1910</v>
      </c>
      <c r="D1537" s="10">
        <v>45602</v>
      </c>
      <c r="E1537" s="13" t="str">
        <f>+HYPERLINK("http://trademark.i-assist.jp/data/china/image_1910th/80189246.pdf","80189246")</f>
        <v>80189246</v>
      </c>
      <c r="F1537" s="11" t="s">
        <v>4304</v>
      </c>
      <c r="G1537" s="11" t="s">
        <v>4097</v>
      </c>
      <c r="H1537" s="9" t="s">
        <v>4305</v>
      </c>
      <c r="I1537" s="10">
        <v>45509</v>
      </c>
    </row>
    <row r="1538" spans="1:9" x14ac:dyDescent="0.15">
      <c r="A1538" s="9">
        <v>1537</v>
      </c>
      <c r="B1538" s="9" t="s">
        <v>9</v>
      </c>
      <c r="C1538" s="9">
        <v>1910</v>
      </c>
      <c r="D1538" s="10">
        <v>45602</v>
      </c>
      <c r="E1538" s="13" t="str">
        <f>+HYPERLINK("http://trademark.i-assist.jp/data/china/image_1910th/80189561.pdf","80189561")</f>
        <v>80189561</v>
      </c>
      <c r="F1538" s="11" t="s">
        <v>4306</v>
      </c>
      <c r="G1538" s="9" t="s">
        <v>4307</v>
      </c>
      <c r="H1538" s="9" t="s">
        <v>4308</v>
      </c>
      <c r="I1538" s="10">
        <v>45509</v>
      </c>
    </row>
    <row r="1539" spans="1:9" x14ac:dyDescent="0.15">
      <c r="A1539" s="9">
        <v>1538</v>
      </c>
      <c r="B1539" s="9" t="s">
        <v>9</v>
      </c>
      <c r="C1539" s="9">
        <v>1910</v>
      </c>
      <c r="D1539" s="10">
        <v>45602</v>
      </c>
      <c r="E1539" s="13" t="str">
        <f>+HYPERLINK("http://trademark.i-assist.jp/data/china/image_1910th/80189616.pdf","80189616")</f>
        <v>80189616</v>
      </c>
      <c r="F1539" s="11" t="s">
        <v>4309</v>
      </c>
      <c r="G1539" s="9" t="s">
        <v>4310</v>
      </c>
      <c r="H1539" s="9" t="s">
        <v>4311</v>
      </c>
      <c r="I1539" s="10">
        <v>45509</v>
      </c>
    </row>
    <row r="1540" spans="1:9" x14ac:dyDescent="0.15">
      <c r="A1540" s="9">
        <v>1539</v>
      </c>
      <c r="B1540" s="9" t="s">
        <v>9</v>
      </c>
      <c r="C1540" s="9">
        <v>1910</v>
      </c>
      <c r="D1540" s="10">
        <v>45602</v>
      </c>
      <c r="E1540" s="13" t="str">
        <f>+HYPERLINK("http://trademark.i-assist.jp/data/china/image_1910th/80189858.pdf","80189858")</f>
        <v>80189858</v>
      </c>
      <c r="F1540" s="9" t="s">
        <v>4312</v>
      </c>
      <c r="G1540" s="11" t="s">
        <v>4313</v>
      </c>
      <c r="H1540" s="9" t="s">
        <v>4314</v>
      </c>
      <c r="I1540" s="10">
        <v>45509</v>
      </c>
    </row>
    <row r="1541" spans="1:9" x14ac:dyDescent="0.15">
      <c r="A1541" s="9">
        <v>1540</v>
      </c>
      <c r="B1541" s="9" t="s">
        <v>9</v>
      </c>
      <c r="C1541" s="9">
        <v>1910</v>
      </c>
      <c r="D1541" s="10">
        <v>45602</v>
      </c>
      <c r="E1541" s="13" t="str">
        <f>+HYPERLINK("http://trademark.i-assist.jp/data/china/image_1910th/80189901.pdf","80189901")</f>
        <v>80189901</v>
      </c>
      <c r="F1541" s="9" t="s">
        <v>4315</v>
      </c>
      <c r="G1541" s="11" t="s">
        <v>4316</v>
      </c>
      <c r="H1541" s="9" t="s">
        <v>4317</v>
      </c>
      <c r="I1541" s="10">
        <v>45509</v>
      </c>
    </row>
    <row r="1542" spans="1:9" x14ac:dyDescent="0.15">
      <c r="A1542" s="9">
        <v>1541</v>
      </c>
      <c r="B1542" s="9" t="s">
        <v>9</v>
      </c>
      <c r="C1542" s="9">
        <v>1910</v>
      </c>
      <c r="D1542" s="10">
        <v>45602</v>
      </c>
      <c r="E1542" s="13" t="str">
        <f>+HYPERLINK("http://trademark.i-assist.jp/data/china/image_1910th/80189913.pdf","80189913")</f>
        <v>80189913</v>
      </c>
      <c r="F1542" s="9" t="s">
        <v>4318</v>
      </c>
      <c r="G1542" s="11" t="s">
        <v>4319</v>
      </c>
      <c r="H1542" s="11" t="s">
        <v>4320</v>
      </c>
      <c r="I1542" s="10">
        <v>45509</v>
      </c>
    </row>
    <row r="1543" spans="1:9" x14ac:dyDescent="0.15">
      <c r="A1543" s="9">
        <v>1542</v>
      </c>
      <c r="B1543" s="9" t="s">
        <v>9</v>
      </c>
      <c r="C1543" s="9">
        <v>1910</v>
      </c>
      <c r="D1543" s="10">
        <v>45602</v>
      </c>
      <c r="E1543" s="13" t="str">
        <f>+HYPERLINK("http://trademark.i-assist.jp/data/china/image_1910th/80189950.pdf","80189950")</f>
        <v>80189950</v>
      </c>
      <c r="F1543" s="9" t="s">
        <v>4321</v>
      </c>
      <c r="G1543" s="11" t="s">
        <v>4058</v>
      </c>
      <c r="H1543" s="9" t="s">
        <v>4322</v>
      </c>
      <c r="I1543" s="10">
        <v>45509</v>
      </c>
    </row>
    <row r="1544" spans="1:9" x14ac:dyDescent="0.15">
      <c r="A1544" s="9">
        <v>1543</v>
      </c>
      <c r="B1544" s="9" t="s">
        <v>9</v>
      </c>
      <c r="C1544" s="9">
        <v>1910</v>
      </c>
      <c r="D1544" s="10">
        <v>45602</v>
      </c>
      <c r="E1544" s="13" t="str">
        <f>+HYPERLINK("http://trademark.i-assist.jp/data/china/image_1910th/80190048.pdf","80190048")</f>
        <v>80190048</v>
      </c>
      <c r="F1544" s="11" t="s">
        <v>19</v>
      </c>
      <c r="G1544" s="9" t="s">
        <v>155</v>
      </c>
      <c r="H1544" s="9" t="s">
        <v>4323</v>
      </c>
      <c r="I1544" s="10">
        <v>45509</v>
      </c>
    </row>
    <row r="1545" spans="1:9" x14ac:dyDescent="0.15">
      <c r="A1545" s="9">
        <v>1544</v>
      </c>
      <c r="B1545" s="9" t="s">
        <v>9</v>
      </c>
      <c r="C1545" s="9">
        <v>1910</v>
      </c>
      <c r="D1545" s="10">
        <v>45602</v>
      </c>
      <c r="E1545" s="13" t="str">
        <f>+HYPERLINK("http://trademark.i-assist.jp/data/china/image_1910th/80190186.pdf","80190186")</f>
        <v>80190186</v>
      </c>
      <c r="F1545" s="9" t="s">
        <v>4324</v>
      </c>
      <c r="G1545" s="11" t="s">
        <v>65</v>
      </c>
      <c r="H1545" s="9" t="s">
        <v>4325</v>
      </c>
      <c r="I1545" s="10">
        <v>45509</v>
      </c>
    </row>
    <row r="1546" spans="1:9" x14ac:dyDescent="0.15">
      <c r="A1546" s="9">
        <v>1545</v>
      </c>
      <c r="B1546" s="9" t="s">
        <v>9</v>
      </c>
      <c r="C1546" s="9">
        <v>1910</v>
      </c>
      <c r="D1546" s="10">
        <v>45602</v>
      </c>
      <c r="E1546" s="13" t="str">
        <f>+HYPERLINK("http://trademark.i-assist.jp/data/china/image_1910th/80190195.pdf","80190195")</f>
        <v>80190195</v>
      </c>
      <c r="F1546" s="9" t="s">
        <v>4326</v>
      </c>
      <c r="G1546" s="9" t="s">
        <v>4327</v>
      </c>
      <c r="H1546" s="9" t="s">
        <v>4328</v>
      </c>
      <c r="I1546" s="10">
        <v>45509</v>
      </c>
    </row>
    <row r="1547" spans="1:9" x14ac:dyDescent="0.15">
      <c r="A1547" s="9">
        <v>1546</v>
      </c>
      <c r="B1547" s="9" t="s">
        <v>9</v>
      </c>
      <c r="C1547" s="9">
        <v>1910</v>
      </c>
      <c r="D1547" s="10">
        <v>45602</v>
      </c>
      <c r="E1547" s="13" t="str">
        <f>+HYPERLINK("http://trademark.i-assist.jp/data/china/image_1910th/80190580.pdf","80190580")</f>
        <v>80190580</v>
      </c>
      <c r="F1547" s="9" t="s">
        <v>4329</v>
      </c>
      <c r="G1547" s="9" t="s">
        <v>4330</v>
      </c>
      <c r="H1547" s="9" t="s">
        <v>4331</v>
      </c>
      <c r="I1547" s="10">
        <v>45509</v>
      </c>
    </row>
    <row r="1548" spans="1:9" x14ac:dyDescent="0.15">
      <c r="A1548" s="9">
        <v>1547</v>
      </c>
      <c r="B1548" s="9" t="s">
        <v>9</v>
      </c>
      <c r="C1548" s="9">
        <v>1910</v>
      </c>
      <c r="D1548" s="10">
        <v>45602</v>
      </c>
      <c r="E1548" s="13" t="str">
        <f>+HYPERLINK("http://trademark.i-assist.jp/data/china/image_1910th/80190834.pdf","80190834")</f>
        <v>80190834</v>
      </c>
      <c r="F1548" s="9" t="s">
        <v>4332</v>
      </c>
      <c r="G1548" s="11" t="s">
        <v>4333</v>
      </c>
      <c r="H1548" s="9" t="s">
        <v>4334</v>
      </c>
      <c r="I1548" s="10">
        <v>45509</v>
      </c>
    </row>
    <row r="1549" spans="1:9" x14ac:dyDescent="0.15">
      <c r="A1549" s="9">
        <v>1548</v>
      </c>
      <c r="B1549" s="9" t="s">
        <v>9</v>
      </c>
      <c r="C1549" s="9">
        <v>1910</v>
      </c>
      <c r="D1549" s="10">
        <v>45602</v>
      </c>
      <c r="E1549" s="13" t="str">
        <f>+HYPERLINK("http://trademark.i-assist.jp/data/china/image_1910th/80191074.pdf","80191074")</f>
        <v>80191074</v>
      </c>
      <c r="F1549" s="11" t="s">
        <v>4335</v>
      </c>
      <c r="G1549" s="9" t="s">
        <v>4336</v>
      </c>
      <c r="H1549" s="9" t="s">
        <v>4337</v>
      </c>
      <c r="I1549" s="10">
        <v>45509</v>
      </c>
    </row>
    <row r="1550" spans="1:9" x14ac:dyDescent="0.15">
      <c r="A1550" s="9">
        <v>1549</v>
      </c>
      <c r="B1550" s="9" t="s">
        <v>9</v>
      </c>
      <c r="C1550" s="9">
        <v>1910</v>
      </c>
      <c r="D1550" s="10">
        <v>45602</v>
      </c>
      <c r="E1550" s="13" t="str">
        <f>+HYPERLINK("http://trademark.i-assist.jp/data/china/image_1910th/80191333.pdf","80191333")</f>
        <v>80191333</v>
      </c>
      <c r="F1550" s="9" t="s">
        <v>4338</v>
      </c>
      <c r="G1550" s="9" t="s">
        <v>4339</v>
      </c>
      <c r="H1550" s="9" t="s">
        <v>4340</v>
      </c>
      <c r="I1550" s="10">
        <v>45509</v>
      </c>
    </row>
    <row r="1551" spans="1:9" x14ac:dyDescent="0.15">
      <c r="A1551" s="9">
        <v>1550</v>
      </c>
      <c r="B1551" s="9" t="s">
        <v>9</v>
      </c>
      <c r="C1551" s="9">
        <v>1910</v>
      </c>
      <c r="D1551" s="10">
        <v>45602</v>
      </c>
      <c r="E1551" s="13" t="str">
        <f>+HYPERLINK("http://trademark.i-assist.jp/data/china/image_1910th/80191533.pdf","80191533")</f>
        <v>80191533</v>
      </c>
      <c r="F1551" s="9" t="s">
        <v>4341</v>
      </c>
      <c r="G1551" s="9" t="s">
        <v>4342</v>
      </c>
      <c r="H1551" s="11" t="s">
        <v>4343</v>
      </c>
      <c r="I1551" s="10">
        <v>45509</v>
      </c>
    </row>
    <row r="1552" spans="1:9" x14ac:dyDescent="0.15">
      <c r="A1552" s="9">
        <v>1551</v>
      </c>
      <c r="B1552" s="9" t="s">
        <v>9</v>
      </c>
      <c r="C1552" s="9">
        <v>1910</v>
      </c>
      <c r="D1552" s="10">
        <v>45602</v>
      </c>
      <c r="E1552" s="13" t="str">
        <f>+HYPERLINK("http://trademark.i-assist.jp/data/china/image_1910th/80191653.pdf","80191653")</f>
        <v>80191653</v>
      </c>
      <c r="F1552" s="11" t="s">
        <v>4344</v>
      </c>
      <c r="G1552" s="9" t="s">
        <v>4345</v>
      </c>
      <c r="H1552" s="9" t="s">
        <v>4346</v>
      </c>
      <c r="I1552" s="10">
        <v>45509</v>
      </c>
    </row>
    <row r="1553" spans="1:9" x14ac:dyDescent="0.15">
      <c r="A1553" s="9">
        <v>1552</v>
      </c>
      <c r="B1553" s="9" t="s">
        <v>9</v>
      </c>
      <c r="C1553" s="9">
        <v>1910</v>
      </c>
      <c r="D1553" s="10">
        <v>45602</v>
      </c>
      <c r="E1553" s="13" t="str">
        <f>+HYPERLINK("http://trademark.i-assist.jp/data/china/image_1910th/80191672.pdf","80191672")</f>
        <v>80191672</v>
      </c>
      <c r="F1553" s="11" t="s">
        <v>4347</v>
      </c>
      <c r="G1553" s="9" t="s">
        <v>4348</v>
      </c>
      <c r="H1553" s="9" t="s">
        <v>4349</v>
      </c>
      <c r="I1553" s="10">
        <v>45509</v>
      </c>
    </row>
    <row r="1554" spans="1:9" x14ac:dyDescent="0.15">
      <c r="A1554" s="9">
        <v>1553</v>
      </c>
      <c r="B1554" s="9" t="s">
        <v>9</v>
      </c>
      <c r="C1554" s="9">
        <v>1910</v>
      </c>
      <c r="D1554" s="10">
        <v>45602</v>
      </c>
      <c r="E1554" s="13" t="str">
        <f>+HYPERLINK("http://trademark.i-assist.jp/data/china/image_1910th/80191803.pdf","80191803")</f>
        <v>80191803</v>
      </c>
      <c r="F1554" s="9" t="s">
        <v>4350</v>
      </c>
      <c r="G1554" s="9" t="s">
        <v>4351</v>
      </c>
      <c r="H1554" s="9" t="s">
        <v>4352</v>
      </c>
      <c r="I1554" s="10">
        <v>45509</v>
      </c>
    </row>
    <row r="1555" spans="1:9" x14ac:dyDescent="0.15">
      <c r="A1555" s="9">
        <v>1554</v>
      </c>
      <c r="B1555" s="9" t="s">
        <v>9</v>
      </c>
      <c r="C1555" s="9">
        <v>1910</v>
      </c>
      <c r="D1555" s="10">
        <v>45602</v>
      </c>
      <c r="E1555" s="13" t="str">
        <f>+HYPERLINK("http://trademark.i-assist.jp/data/china/image_1910th/80191898.pdf","80191898")</f>
        <v>80191898</v>
      </c>
      <c r="F1555" s="11" t="s">
        <v>4353</v>
      </c>
      <c r="G1555" s="9" t="s">
        <v>4354</v>
      </c>
      <c r="H1555" s="9" t="s">
        <v>4355</v>
      </c>
      <c r="I1555" s="10">
        <v>45509</v>
      </c>
    </row>
    <row r="1556" spans="1:9" x14ac:dyDescent="0.15">
      <c r="A1556" s="9">
        <v>1555</v>
      </c>
      <c r="B1556" s="9" t="s">
        <v>9</v>
      </c>
      <c r="C1556" s="9">
        <v>1910</v>
      </c>
      <c r="D1556" s="10">
        <v>45602</v>
      </c>
      <c r="E1556" s="13" t="str">
        <f>+HYPERLINK("http://trademark.i-assist.jp/data/china/image_1910th/80191902.pdf","80191902")</f>
        <v>80191902</v>
      </c>
      <c r="F1556" s="9" t="s">
        <v>4356</v>
      </c>
      <c r="G1556" s="9" t="s">
        <v>4339</v>
      </c>
      <c r="H1556" s="9" t="s">
        <v>4357</v>
      </c>
      <c r="I1556" s="10">
        <v>45509</v>
      </c>
    </row>
    <row r="1557" spans="1:9" x14ac:dyDescent="0.15">
      <c r="A1557" s="9">
        <v>1556</v>
      </c>
      <c r="B1557" s="9" t="s">
        <v>9</v>
      </c>
      <c r="C1557" s="9">
        <v>1910</v>
      </c>
      <c r="D1557" s="10">
        <v>45602</v>
      </c>
      <c r="E1557" s="13" t="str">
        <f>+HYPERLINK("http://trademark.i-assist.jp/data/china/image_1910th/80192062.pdf","80192062")</f>
        <v>80192062</v>
      </c>
      <c r="F1557" s="11" t="s">
        <v>19</v>
      </c>
      <c r="G1557" s="9" t="s">
        <v>165</v>
      </c>
      <c r="H1557" s="9" t="s">
        <v>4358</v>
      </c>
      <c r="I1557" s="10">
        <v>45509</v>
      </c>
    </row>
    <row r="1558" spans="1:9" x14ac:dyDescent="0.15">
      <c r="A1558" s="9">
        <v>1557</v>
      </c>
      <c r="B1558" s="9" t="s">
        <v>9</v>
      </c>
      <c r="C1558" s="9">
        <v>1910</v>
      </c>
      <c r="D1558" s="10">
        <v>45602</v>
      </c>
      <c r="E1558" s="13" t="str">
        <f>+HYPERLINK("http://trademark.i-assist.jp/data/china/image_1910th/80192147.pdf","80192147")</f>
        <v>80192147</v>
      </c>
      <c r="F1558" s="9" t="s">
        <v>4359</v>
      </c>
      <c r="G1558" s="9" t="s">
        <v>4360</v>
      </c>
      <c r="H1558" s="11" t="s">
        <v>4361</v>
      </c>
      <c r="I1558" s="10">
        <v>45509</v>
      </c>
    </row>
    <row r="1559" spans="1:9" x14ac:dyDescent="0.15">
      <c r="A1559" s="9">
        <v>1558</v>
      </c>
      <c r="B1559" s="9" t="s">
        <v>9</v>
      </c>
      <c r="C1559" s="9">
        <v>1910</v>
      </c>
      <c r="D1559" s="10">
        <v>45602</v>
      </c>
      <c r="E1559" s="13" t="str">
        <f>+HYPERLINK("http://trademark.i-assist.jp/data/china/image_1910th/80192188.pdf","80192188")</f>
        <v>80192188</v>
      </c>
      <c r="F1559" s="11" t="s">
        <v>19</v>
      </c>
      <c r="G1559" s="9" t="s">
        <v>4362</v>
      </c>
      <c r="H1559" s="9" t="s">
        <v>4363</v>
      </c>
      <c r="I1559" s="10">
        <v>45509</v>
      </c>
    </row>
    <row r="1560" spans="1:9" x14ac:dyDescent="0.15">
      <c r="A1560" s="9">
        <v>1559</v>
      </c>
      <c r="B1560" s="9" t="s">
        <v>9</v>
      </c>
      <c r="C1560" s="9">
        <v>1910</v>
      </c>
      <c r="D1560" s="10">
        <v>45602</v>
      </c>
      <c r="E1560" s="13" t="str">
        <f>+HYPERLINK("http://trademark.i-assist.jp/data/china/image_1910th/80192262.pdf","80192262")</f>
        <v>80192262</v>
      </c>
      <c r="F1560" s="11" t="s">
        <v>4364</v>
      </c>
      <c r="G1560" s="9" t="s">
        <v>153</v>
      </c>
      <c r="H1560" s="9" t="s">
        <v>4365</v>
      </c>
      <c r="I1560" s="10">
        <v>45509</v>
      </c>
    </row>
    <row r="1561" spans="1:9" x14ac:dyDescent="0.15">
      <c r="A1561" s="9">
        <v>1560</v>
      </c>
      <c r="B1561" s="9" t="s">
        <v>9</v>
      </c>
      <c r="C1561" s="9">
        <v>1910</v>
      </c>
      <c r="D1561" s="10">
        <v>45602</v>
      </c>
      <c r="E1561" s="13" t="str">
        <f>+HYPERLINK("http://trademark.i-assist.jp/data/china/image_1910th/80192282.pdf","80192282")</f>
        <v>80192282</v>
      </c>
      <c r="F1561" s="11" t="s">
        <v>4366</v>
      </c>
      <c r="G1561" s="9" t="s">
        <v>4367</v>
      </c>
      <c r="H1561" s="11" t="s">
        <v>4368</v>
      </c>
      <c r="I1561" s="10">
        <v>45509</v>
      </c>
    </row>
    <row r="1562" spans="1:9" x14ac:dyDescent="0.15">
      <c r="A1562" s="9">
        <v>1561</v>
      </c>
      <c r="B1562" s="9" t="s">
        <v>9</v>
      </c>
      <c r="C1562" s="9">
        <v>1910</v>
      </c>
      <c r="D1562" s="10">
        <v>45602</v>
      </c>
      <c r="E1562" s="13" t="str">
        <f>+HYPERLINK("http://trademark.i-assist.jp/data/china/image_1910th/80192371.pdf","80192371")</f>
        <v>80192371</v>
      </c>
      <c r="F1562" s="11" t="s">
        <v>4369</v>
      </c>
      <c r="G1562" s="9" t="s">
        <v>4370</v>
      </c>
      <c r="H1562" s="9" t="s">
        <v>4371</v>
      </c>
      <c r="I1562" s="10">
        <v>45509</v>
      </c>
    </row>
    <row r="1563" spans="1:9" x14ac:dyDescent="0.15">
      <c r="A1563" s="9">
        <v>1562</v>
      </c>
      <c r="B1563" s="9" t="s">
        <v>9</v>
      </c>
      <c r="C1563" s="9">
        <v>1910</v>
      </c>
      <c r="D1563" s="10">
        <v>45602</v>
      </c>
      <c r="E1563" s="13" t="str">
        <f>+HYPERLINK("http://trademark.i-assist.jp/data/china/image_1910th/80192403.pdf","80192403")</f>
        <v>80192403</v>
      </c>
      <c r="F1563" s="11" t="s">
        <v>4372</v>
      </c>
      <c r="G1563" s="11" t="s">
        <v>4206</v>
      </c>
      <c r="H1563" s="9" t="s">
        <v>4373</v>
      </c>
      <c r="I1563" s="10">
        <v>45509</v>
      </c>
    </row>
    <row r="1564" spans="1:9" x14ac:dyDescent="0.15">
      <c r="A1564" s="9">
        <v>1563</v>
      </c>
      <c r="B1564" s="9" t="s">
        <v>9</v>
      </c>
      <c r="C1564" s="9">
        <v>1910</v>
      </c>
      <c r="D1564" s="10">
        <v>45602</v>
      </c>
      <c r="E1564" s="13" t="str">
        <f>+HYPERLINK("http://trademark.i-assist.jp/data/china/image_1910th/80192428.pdf","80192428")</f>
        <v>80192428</v>
      </c>
      <c r="F1564" s="9" t="s">
        <v>4374</v>
      </c>
      <c r="G1564" s="9" t="s">
        <v>4375</v>
      </c>
      <c r="H1564" s="9" t="s">
        <v>4376</v>
      </c>
      <c r="I1564" s="10">
        <v>45509</v>
      </c>
    </row>
    <row r="1565" spans="1:9" x14ac:dyDescent="0.15">
      <c r="A1565" s="9">
        <v>1564</v>
      </c>
      <c r="B1565" s="9" t="s">
        <v>9</v>
      </c>
      <c r="C1565" s="9">
        <v>1910</v>
      </c>
      <c r="D1565" s="10">
        <v>45602</v>
      </c>
      <c r="E1565" s="13" t="str">
        <f>+HYPERLINK("http://trademark.i-assist.jp/data/china/image_1910th/80192432.pdf","80192432")</f>
        <v>80192432</v>
      </c>
      <c r="F1565" s="9" t="s">
        <v>4377</v>
      </c>
      <c r="G1565" s="11" t="s">
        <v>4378</v>
      </c>
      <c r="H1565" s="9" t="s">
        <v>4379</v>
      </c>
      <c r="I1565" s="10">
        <v>45509</v>
      </c>
    </row>
    <row r="1566" spans="1:9" x14ac:dyDescent="0.15">
      <c r="A1566" s="9">
        <v>1565</v>
      </c>
      <c r="B1566" s="9" t="s">
        <v>9</v>
      </c>
      <c r="C1566" s="9">
        <v>1910</v>
      </c>
      <c r="D1566" s="10">
        <v>45602</v>
      </c>
      <c r="E1566" s="13" t="str">
        <f>+HYPERLINK("http://trademark.i-assist.jp/data/china/image_1910th/80192440.pdf","80192440")</f>
        <v>80192440</v>
      </c>
      <c r="F1566" s="9" t="s">
        <v>4380</v>
      </c>
      <c r="G1566" s="9" t="s">
        <v>4381</v>
      </c>
      <c r="H1566" s="9" t="s">
        <v>4382</v>
      </c>
      <c r="I1566" s="10">
        <v>45509</v>
      </c>
    </row>
    <row r="1567" spans="1:9" x14ac:dyDescent="0.15">
      <c r="A1567" s="9">
        <v>1566</v>
      </c>
      <c r="B1567" s="9" t="s">
        <v>9</v>
      </c>
      <c r="C1567" s="9">
        <v>1910</v>
      </c>
      <c r="D1567" s="10">
        <v>45602</v>
      </c>
      <c r="E1567" s="13" t="str">
        <f>+HYPERLINK("http://trademark.i-assist.jp/data/china/image_1910th/80192841.pdf","80192841")</f>
        <v>80192841</v>
      </c>
      <c r="F1567" s="9" t="s">
        <v>4383</v>
      </c>
      <c r="G1567" s="11" t="s">
        <v>4384</v>
      </c>
      <c r="H1567" s="9" t="s">
        <v>4385</v>
      </c>
      <c r="I1567" s="10">
        <v>45509</v>
      </c>
    </row>
    <row r="1568" spans="1:9" x14ac:dyDescent="0.15">
      <c r="A1568" s="9">
        <v>1567</v>
      </c>
      <c r="B1568" s="9" t="s">
        <v>9</v>
      </c>
      <c r="C1568" s="9">
        <v>1910</v>
      </c>
      <c r="D1568" s="10">
        <v>45602</v>
      </c>
      <c r="E1568" s="13" t="str">
        <f>+HYPERLINK("http://trademark.i-assist.jp/data/china/image_1910th/80192989.pdf","80192989")</f>
        <v>80192989</v>
      </c>
      <c r="F1568" s="11" t="s">
        <v>19</v>
      </c>
      <c r="G1568" s="9" t="s">
        <v>4229</v>
      </c>
      <c r="H1568" s="9" t="s">
        <v>4386</v>
      </c>
      <c r="I1568" s="10">
        <v>45509</v>
      </c>
    </row>
    <row r="1569" spans="1:9" x14ac:dyDescent="0.15">
      <c r="A1569" s="9">
        <v>1568</v>
      </c>
      <c r="B1569" s="9" t="s">
        <v>9</v>
      </c>
      <c r="C1569" s="9">
        <v>1910</v>
      </c>
      <c r="D1569" s="10">
        <v>45602</v>
      </c>
      <c r="E1569" s="13" t="str">
        <f>+HYPERLINK("http://trademark.i-assist.jp/data/china/image_1910th/80193196.pdf","80193196")</f>
        <v>80193196</v>
      </c>
      <c r="F1569" s="9" t="s">
        <v>4387</v>
      </c>
      <c r="G1569" s="11" t="s">
        <v>4388</v>
      </c>
      <c r="H1569" s="9" t="s">
        <v>4389</v>
      </c>
      <c r="I1569" s="10">
        <v>45509</v>
      </c>
    </row>
    <row r="1570" spans="1:9" x14ac:dyDescent="0.15">
      <c r="A1570" s="9">
        <v>1569</v>
      </c>
      <c r="B1570" s="9" t="s">
        <v>9</v>
      </c>
      <c r="C1570" s="9">
        <v>1910</v>
      </c>
      <c r="D1570" s="10">
        <v>45602</v>
      </c>
      <c r="E1570" s="13" t="str">
        <f>+HYPERLINK("http://trademark.i-assist.jp/data/china/image_1910th/80193440.pdf","80193440")</f>
        <v>80193440</v>
      </c>
      <c r="F1570" s="9" t="s">
        <v>4390</v>
      </c>
      <c r="G1570" s="11" t="s">
        <v>4117</v>
      </c>
      <c r="H1570" s="9" t="s">
        <v>4391</v>
      </c>
      <c r="I1570" s="10">
        <v>45509</v>
      </c>
    </row>
    <row r="1571" spans="1:9" x14ac:dyDescent="0.15">
      <c r="A1571" s="9">
        <v>1570</v>
      </c>
      <c r="B1571" s="9" t="s">
        <v>9</v>
      </c>
      <c r="C1571" s="9">
        <v>1910</v>
      </c>
      <c r="D1571" s="10">
        <v>45602</v>
      </c>
      <c r="E1571" s="13" t="str">
        <f>+HYPERLINK("http://trademark.i-assist.jp/data/china/image_1910th/80193950.pdf","80193950")</f>
        <v>80193950</v>
      </c>
      <c r="F1571" s="9" t="s">
        <v>4392</v>
      </c>
      <c r="G1571" s="11" t="s">
        <v>160</v>
      </c>
      <c r="H1571" s="9" t="s">
        <v>4393</v>
      </c>
      <c r="I1571" s="10">
        <v>45509</v>
      </c>
    </row>
    <row r="1572" spans="1:9" x14ac:dyDescent="0.15">
      <c r="A1572" s="9">
        <v>1571</v>
      </c>
      <c r="B1572" s="9" t="s">
        <v>9</v>
      </c>
      <c r="C1572" s="9">
        <v>1910</v>
      </c>
      <c r="D1572" s="10">
        <v>45602</v>
      </c>
      <c r="E1572" s="13" t="str">
        <f>+HYPERLINK("http://trademark.i-assist.jp/data/china/image_1910th/80194177.pdf","80194177")</f>
        <v>80194177</v>
      </c>
      <c r="F1572" s="11" t="s">
        <v>4394</v>
      </c>
      <c r="G1572" s="9" t="s">
        <v>4395</v>
      </c>
      <c r="H1572" s="9" t="s">
        <v>4396</v>
      </c>
      <c r="I1572" s="10">
        <v>45509</v>
      </c>
    </row>
    <row r="1573" spans="1:9" x14ac:dyDescent="0.15">
      <c r="A1573" s="9">
        <v>1572</v>
      </c>
      <c r="B1573" s="9" t="s">
        <v>9</v>
      </c>
      <c r="C1573" s="9">
        <v>1910</v>
      </c>
      <c r="D1573" s="10">
        <v>45602</v>
      </c>
      <c r="E1573" s="13" t="str">
        <f>+HYPERLINK("http://trademark.i-assist.jp/data/china/image_1910th/80194225.pdf","80194225")</f>
        <v>80194225</v>
      </c>
      <c r="F1573" s="9" t="s">
        <v>4397</v>
      </c>
      <c r="G1573" s="11" t="s">
        <v>4398</v>
      </c>
      <c r="H1573" s="9" t="s">
        <v>4399</v>
      </c>
      <c r="I1573" s="10">
        <v>45509</v>
      </c>
    </row>
    <row r="1574" spans="1:9" x14ac:dyDescent="0.15">
      <c r="A1574" s="9">
        <v>1573</v>
      </c>
      <c r="B1574" s="9" t="s">
        <v>9</v>
      </c>
      <c r="C1574" s="9">
        <v>1910</v>
      </c>
      <c r="D1574" s="10">
        <v>45602</v>
      </c>
      <c r="E1574" s="13" t="str">
        <f>+HYPERLINK("http://trademark.i-assist.jp/data/china/image_1910th/80194232.pdf","80194232")</f>
        <v>80194232</v>
      </c>
      <c r="F1574" s="9" t="s">
        <v>4400</v>
      </c>
      <c r="G1574" s="9" t="s">
        <v>4401</v>
      </c>
      <c r="H1574" s="11" t="s">
        <v>4402</v>
      </c>
      <c r="I1574" s="10">
        <v>45509</v>
      </c>
    </row>
    <row r="1575" spans="1:9" x14ac:dyDescent="0.15">
      <c r="A1575" s="9">
        <v>1574</v>
      </c>
      <c r="B1575" s="9" t="s">
        <v>9</v>
      </c>
      <c r="C1575" s="9">
        <v>1910</v>
      </c>
      <c r="D1575" s="10">
        <v>45602</v>
      </c>
      <c r="E1575" s="13" t="str">
        <f>+HYPERLINK("http://trademark.i-assist.jp/data/china/image_1910th/80194437.pdf","80194437")</f>
        <v>80194437</v>
      </c>
      <c r="F1575" s="9" t="s">
        <v>4403</v>
      </c>
      <c r="G1575" s="9" t="s">
        <v>4404</v>
      </c>
      <c r="H1575" s="9" t="s">
        <v>4405</v>
      </c>
      <c r="I1575" s="10">
        <v>45509</v>
      </c>
    </row>
    <row r="1576" spans="1:9" x14ac:dyDescent="0.15">
      <c r="A1576" s="9">
        <v>1575</v>
      </c>
      <c r="B1576" s="9" t="s">
        <v>9</v>
      </c>
      <c r="C1576" s="9">
        <v>1910</v>
      </c>
      <c r="D1576" s="10">
        <v>45602</v>
      </c>
      <c r="E1576" s="13" t="str">
        <f>+HYPERLINK("http://trademark.i-assist.jp/data/china/image_1910th/80195374.pdf","80195374")</f>
        <v>80195374</v>
      </c>
      <c r="F1576" s="9" t="s">
        <v>4406</v>
      </c>
      <c r="G1576" s="9" t="s">
        <v>4407</v>
      </c>
      <c r="H1576" s="9" t="s">
        <v>4408</v>
      </c>
      <c r="I1576" s="10">
        <v>45509</v>
      </c>
    </row>
    <row r="1577" spans="1:9" x14ac:dyDescent="0.15">
      <c r="A1577" s="9">
        <v>1576</v>
      </c>
      <c r="B1577" s="9" t="s">
        <v>9</v>
      </c>
      <c r="C1577" s="9">
        <v>1910</v>
      </c>
      <c r="D1577" s="10">
        <v>45602</v>
      </c>
      <c r="E1577" s="13" t="str">
        <f>+HYPERLINK("http://trademark.i-assist.jp/data/china/image_1910th/80195412.pdf","80195412")</f>
        <v>80195412</v>
      </c>
      <c r="F1577" s="9" t="s">
        <v>4409</v>
      </c>
      <c r="G1577" s="11" t="s">
        <v>4410</v>
      </c>
      <c r="H1577" s="9" t="s">
        <v>4411</v>
      </c>
      <c r="I1577" s="10">
        <v>45509</v>
      </c>
    </row>
    <row r="1578" spans="1:9" x14ac:dyDescent="0.15">
      <c r="A1578" s="9">
        <v>1577</v>
      </c>
      <c r="B1578" s="9" t="s">
        <v>9</v>
      </c>
      <c r="C1578" s="9">
        <v>1910</v>
      </c>
      <c r="D1578" s="10">
        <v>45602</v>
      </c>
      <c r="E1578" s="13" t="str">
        <f>+HYPERLINK("http://trademark.i-assist.jp/data/china/image_1910th/80195477.pdf","80195477")</f>
        <v>80195477</v>
      </c>
      <c r="F1578" s="9" t="s">
        <v>4412</v>
      </c>
      <c r="G1578" s="9" t="s">
        <v>4413</v>
      </c>
      <c r="H1578" s="9" t="s">
        <v>4414</v>
      </c>
      <c r="I1578" s="10">
        <v>45509</v>
      </c>
    </row>
    <row r="1579" spans="1:9" x14ac:dyDescent="0.15">
      <c r="A1579" s="9">
        <v>1578</v>
      </c>
      <c r="B1579" s="9" t="s">
        <v>9</v>
      </c>
      <c r="C1579" s="9">
        <v>1910</v>
      </c>
      <c r="D1579" s="10">
        <v>45602</v>
      </c>
      <c r="E1579" s="13" t="str">
        <f>+HYPERLINK("http://trademark.i-assist.jp/data/china/image_1910th/80195519.pdf","80195519")</f>
        <v>80195519</v>
      </c>
      <c r="F1579" s="9" t="s">
        <v>4415</v>
      </c>
      <c r="G1579" s="9" t="s">
        <v>4416</v>
      </c>
      <c r="H1579" s="9" t="s">
        <v>4417</v>
      </c>
      <c r="I1579" s="10">
        <v>45509</v>
      </c>
    </row>
    <row r="1580" spans="1:9" x14ac:dyDescent="0.15">
      <c r="A1580" s="9">
        <v>1579</v>
      </c>
      <c r="B1580" s="9" t="s">
        <v>9</v>
      </c>
      <c r="C1580" s="9">
        <v>1910</v>
      </c>
      <c r="D1580" s="10">
        <v>45602</v>
      </c>
      <c r="E1580" s="13" t="str">
        <f>+HYPERLINK("http://trademark.i-assist.jp/data/china/image_1910th/80195894.pdf","80195894")</f>
        <v>80195894</v>
      </c>
      <c r="F1580" s="9" t="s">
        <v>4418</v>
      </c>
      <c r="G1580" s="9" t="s">
        <v>4111</v>
      </c>
      <c r="H1580" s="9" t="s">
        <v>4419</v>
      </c>
      <c r="I1580" s="10">
        <v>45509</v>
      </c>
    </row>
    <row r="1581" spans="1:9" x14ac:dyDescent="0.15">
      <c r="A1581" s="9">
        <v>1580</v>
      </c>
      <c r="B1581" s="9" t="s">
        <v>9</v>
      </c>
      <c r="C1581" s="9">
        <v>1910</v>
      </c>
      <c r="D1581" s="10">
        <v>45602</v>
      </c>
      <c r="E1581" s="13" t="str">
        <f>+HYPERLINK("http://trademark.i-assist.jp/data/china/image_1910th/80196156.pdf","80196156")</f>
        <v>80196156</v>
      </c>
      <c r="F1581" s="9" t="s">
        <v>4420</v>
      </c>
      <c r="G1581" s="9" t="s">
        <v>4171</v>
      </c>
      <c r="H1581" s="9" t="s">
        <v>4421</v>
      </c>
      <c r="I1581" s="10">
        <v>45509</v>
      </c>
    </row>
    <row r="1582" spans="1:9" x14ac:dyDescent="0.15">
      <c r="A1582" s="9">
        <v>1581</v>
      </c>
      <c r="B1582" s="9" t="s">
        <v>9</v>
      </c>
      <c r="C1582" s="9">
        <v>1910</v>
      </c>
      <c r="D1582" s="10">
        <v>45602</v>
      </c>
      <c r="E1582" s="13" t="str">
        <f>+HYPERLINK("http://trademark.i-assist.jp/data/china/image_1910th/80196285.pdf","80196285")</f>
        <v>80196285</v>
      </c>
      <c r="F1582" s="9" t="s">
        <v>4422</v>
      </c>
      <c r="G1582" s="9" t="s">
        <v>4423</v>
      </c>
      <c r="H1582" s="9" t="s">
        <v>4424</v>
      </c>
      <c r="I1582" s="10">
        <v>45510</v>
      </c>
    </row>
    <row r="1583" spans="1:9" x14ac:dyDescent="0.15">
      <c r="A1583" s="9">
        <v>1582</v>
      </c>
      <c r="B1583" s="9" t="s">
        <v>9</v>
      </c>
      <c r="C1583" s="9">
        <v>1910</v>
      </c>
      <c r="D1583" s="10">
        <v>45602</v>
      </c>
      <c r="E1583" s="13" t="str">
        <f>+HYPERLINK("http://trademark.i-assist.jp/data/china/image_1910th/80196379.pdf","80196379")</f>
        <v>80196379</v>
      </c>
      <c r="F1583" s="11" t="s">
        <v>4425</v>
      </c>
      <c r="G1583" s="11" t="s">
        <v>4426</v>
      </c>
      <c r="H1583" s="9" t="s">
        <v>4427</v>
      </c>
      <c r="I1583" s="10">
        <v>45510</v>
      </c>
    </row>
    <row r="1584" spans="1:9" x14ac:dyDescent="0.15">
      <c r="A1584" s="9">
        <v>1583</v>
      </c>
      <c r="B1584" s="9" t="s">
        <v>9</v>
      </c>
      <c r="C1584" s="9">
        <v>1910</v>
      </c>
      <c r="D1584" s="10">
        <v>45602</v>
      </c>
      <c r="E1584" s="13" t="str">
        <f>+HYPERLINK("http://trademark.i-assist.jp/data/china/image_1910th/80196385.pdf","80196385")</f>
        <v>80196385</v>
      </c>
      <c r="F1584" s="9" t="s">
        <v>4428</v>
      </c>
      <c r="G1584" s="9" t="s">
        <v>4429</v>
      </c>
      <c r="H1584" s="9" t="s">
        <v>4430</v>
      </c>
      <c r="I1584" s="10">
        <v>45510</v>
      </c>
    </row>
    <row r="1585" spans="1:9" x14ac:dyDescent="0.15">
      <c r="A1585" s="9">
        <v>1584</v>
      </c>
      <c r="B1585" s="9" t="s">
        <v>9</v>
      </c>
      <c r="C1585" s="9">
        <v>1910</v>
      </c>
      <c r="D1585" s="10">
        <v>45602</v>
      </c>
      <c r="E1585" s="13" t="str">
        <f>+HYPERLINK("http://trademark.i-assist.jp/data/china/image_1910th/80196497.pdf","80196497")</f>
        <v>80196497</v>
      </c>
      <c r="F1585" s="9" t="s">
        <v>4431</v>
      </c>
      <c r="G1585" s="11" t="s">
        <v>4432</v>
      </c>
      <c r="H1585" s="9" t="s">
        <v>4433</v>
      </c>
      <c r="I1585" s="10">
        <v>45510</v>
      </c>
    </row>
    <row r="1586" spans="1:9" x14ac:dyDescent="0.15">
      <c r="A1586" s="9">
        <v>1585</v>
      </c>
      <c r="B1586" s="9" t="s">
        <v>9</v>
      </c>
      <c r="C1586" s="9">
        <v>1910</v>
      </c>
      <c r="D1586" s="10">
        <v>45602</v>
      </c>
      <c r="E1586" s="13" t="str">
        <f>+HYPERLINK("http://trademark.i-assist.jp/data/china/image_1910th/80196561.pdf","80196561")</f>
        <v>80196561</v>
      </c>
      <c r="F1586" s="9" t="s">
        <v>4434</v>
      </c>
      <c r="G1586" s="11" t="s">
        <v>4435</v>
      </c>
      <c r="H1586" s="9" t="s">
        <v>4436</v>
      </c>
      <c r="I1586" s="10">
        <v>45510</v>
      </c>
    </row>
    <row r="1587" spans="1:9" x14ac:dyDescent="0.15">
      <c r="A1587" s="9">
        <v>1586</v>
      </c>
      <c r="B1587" s="9" t="s">
        <v>9</v>
      </c>
      <c r="C1587" s="9">
        <v>1910</v>
      </c>
      <c r="D1587" s="10">
        <v>45602</v>
      </c>
      <c r="E1587" s="13" t="str">
        <f>+HYPERLINK("http://trademark.i-assist.jp/data/china/image_1910th/80196610.pdf","80196610")</f>
        <v>80196610</v>
      </c>
      <c r="F1587" s="9" t="s">
        <v>4437</v>
      </c>
      <c r="G1587" s="9" t="s">
        <v>4438</v>
      </c>
      <c r="H1587" s="9" t="s">
        <v>4439</v>
      </c>
      <c r="I1587" s="10">
        <v>45510</v>
      </c>
    </row>
    <row r="1588" spans="1:9" x14ac:dyDescent="0.15">
      <c r="A1588" s="9">
        <v>1587</v>
      </c>
      <c r="B1588" s="9" t="s">
        <v>9</v>
      </c>
      <c r="C1588" s="9">
        <v>1910</v>
      </c>
      <c r="D1588" s="10">
        <v>45602</v>
      </c>
      <c r="E1588" s="13" t="str">
        <f>+HYPERLINK("http://trademark.i-assist.jp/data/china/image_1910th/80196723.pdf","80196723")</f>
        <v>80196723</v>
      </c>
      <c r="F1588" s="9" t="s">
        <v>4440</v>
      </c>
      <c r="G1588" s="9" t="s">
        <v>4441</v>
      </c>
      <c r="H1588" s="9" t="s">
        <v>4442</v>
      </c>
      <c r="I1588" s="10">
        <v>45510</v>
      </c>
    </row>
    <row r="1589" spans="1:9" x14ac:dyDescent="0.15">
      <c r="A1589" s="9">
        <v>1588</v>
      </c>
      <c r="B1589" s="9" t="s">
        <v>9</v>
      </c>
      <c r="C1589" s="9">
        <v>1910</v>
      </c>
      <c r="D1589" s="10">
        <v>45602</v>
      </c>
      <c r="E1589" s="13" t="str">
        <f>+HYPERLINK("http://trademark.i-assist.jp/data/china/image_1910th/80196752.pdf","80196752")</f>
        <v>80196752</v>
      </c>
      <c r="F1589" s="9" t="s">
        <v>4443</v>
      </c>
      <c r="G1589" s="9" t="s">
        <v>4444</v>
      </c>
      <c r="H1589" s="9" t="s">
        <v>4445</v>
      </c>
      <c r="I1589" s="10">
        <v>45510</v>
      </c>
    </row>
    <row r="1590" spans="1:9" x14ac:dyDescent="0.15">
      <c r="A1590" s="9">
        <v>1589</v>
      </c>
      <c r="B1590" s="9" t="s">
        <v>9</v>
      </c>
      <c r="C1590" s="9">
        <v>1910</v>
      </c>
      <c r="D1590" s="10">
        <v>45602</v>
      </c>
      <c r="E1590" s="13" t="str">
        <f>+HYPERLINK("http://trademark.i-assist.jp/data/china/image_1910th/80196758.pdf","80196758")</f>
        <v>80196758</v>
      </c>
      <c r="F1590" s="11" t="s">
        <v>4446</v>
      </c>
      <c r="G1590" s="11" t="s">
        <v>4447</v>
      </c>
      <c r="H1590" s="9" t="s">
        <v>4448</v>
      </c>
      <c r="I1590" s="10">
        <v>45510</v>
      </c>
    </row>
    <row r="1591" spans="1:9" x14ac:dyDescent="0.15">
      <c r="A1591" s="9">
        <v>1590</v>
      </c>
      <c r="B1591" s="9" t="s">
        <v>9</v>
      </c>
      <c r="C1591" s="9">
        <v>1910</v>
      </c>
      <c r="D1591" s="10">
        <v>45602</v>
      </c>
      <c r="E1591" s="13" t="str">
        <f>+HYPERLINK("http://trademark.i-assist.jp/data/china/image_1910th/80196764.pdf","80196764")</f>
        <v>80196764</v>
      </c>
      <c r="F1591" s="11" t="s">
        <v>4449</v>
      </c>
      <c r="G1591" s="11" t="s">
        <v>4447</v>
      </c>
      <c r="H1591" s="9" t="s">
        <v>4450</v>
      </c>
      <c r="I1591" s="10">
        <v>45510</v>
      </c>
    </row>
    <row r="1592" spans="1:9" x14ac:dyDescent="0.15">
      <c r="A1592" s="9">
        <v>1591</v>
      </c>
      <c r="B1592" s="9" t="s">
        <v>9</v>
      </c>
      <c r="C1592" s="9">
        <v>1910</v>
      </c>
      <c r="D1592" s="10">
        <v>45602</v>
      </c>
      <c r="E1592" s="13" t="str">
        <f>+HYPERLINK("http://trademark.i-assist.jp/data/china/image_1910th/80197023.pdf","80197023")</f>
        <v>80197023</v>
      </c>
      <c r="F1592" s="9" t="s">
        <v>4451</v>
      </c>
      <c r="G1592" s="11" t="s">
        <v>4452</v>
      </c>
      <c r="H1592" s="9" t="s">
        <v>4453</v>
      </c>
      <c r="I1592" s="10">
        <v>45510</v>
      </c>
    </row>
    <row r="1593" spans="1:9" x14ac:dyDescent="0.15">
      <c r="A1593" s="9">
        <v>1592</v>
      </c>
      <c r="B1593" s="9" t="s">
        <v>9</v>
      </c>
      <c r="C1593" s="9">
        <v>1910</v>
      </c>
      <c r="D1593" s="10">
        <v>45602</v>
      </c>
      <c r="E1593" s="13" t="str">
        <f>+HYPERLINK("http://trademark.i-assist.jp/data/china/image_1910th/80197132.pdf","80197132")</f>
        <v>80197132</v>
      </c>
      <c r="F1593" s="9" t="s">
        <v>4454</v>
      </c>
      <c r="G1593" s="9" t="s">
        <v>4455</v>
      </c>
      <c r="H1593" s="11" t="s">
        <v>4456</v>
      </c>
      <c r="I1593" s="10">
        <v>45510</v>
      </c>
    </row>
    <row r="1594" spans="1:9" x14ac:dyDescent="0.15">
      <c r="A1594" s="9">
        <v>1593</v>
      </c>
      <c r="B1594" s="9" t="s">
        <v>9</v>
      </c>
      <c r="C1594" s="9">
        <v>1910</v>
      </c>
      <c r="D1594" s="10">
        <v>45602</v>
      </c>
      <c r="E1594" s="13" t="str">
        <f>+HYPERLINK("http://trademark.i-assist.jp/data/china/image_1910th/80197389.pdf","80197389")</f>
        <v>80197389</v>
      </c>
      <c r="F1594" s="9" t="s">
        <v>4457</v>
      </c>
      <c r="G1594" s="9" t="s">
        <v>4458</v>
      </c>
      <c r="H1594" s="9" t="s">
        <v>4459</v>
      </c>
      <c r="I1594" s="10">
        <v>45510</v>
      </c>
    </row>
    <row r="1595" spans="1:9" x14ac:dyDescent="0.15">
      <c r="A1595" s="9">
        <v>1594</v>
      </c>
      <c r="B1595" s="9" t="s">
        <v>9</v>
      </c>
      <c r="C1595" s="9">
        <v>1910</v>
      </c>
      <c r="D1595" s="10">
        <v>45602</v>
      </c>
      <c r="E1595" s="13" t="str">
        <f>+HYPERLINK("http://trademark.i-assist.jp/data/china/image_1910th/80198027.pdf","80198027")</f>
        <v>80198027</v>
      </c>
      <c r="F1595" s="9" t="s">
        <v>4460</v>
      </c>
      <c r="G1595" s="9" t="s">
        <v>4461</v>
      </c>
      <c r="H1595" s="9" t="s">
        <v>4462</v>
      </c>
      <c r="I1595" s="10">
        <v>45510</v>
      </c>
    </row>
    <row r="1596" spans="1:9" x14ac:dyDescent="0.15">
      <c r="A1596" s="9">
        <v>1595</v>
      </c>
      <c r="B1596" s="9" t="s">
        <v>9</v>
      </c>
      <c r="C1596" s="9">
        <v>1910</v>
      </c>
      <c r="D1596" s="10">
        <v>45602</v>
      </c>
      <c r="E1596" s="13" t="str">
        <f>+HYPERLINK("http://trademark.i-assist.jp/data/china/image_1910th/80198091.pdf","80198091")</f>
        <v>80198091</v>
      </c>
      <c r="F1596" s="9" t="s">
        <v>4463</v>
      </c>
      <c r="G1596" s="9" t="s">
        <v>4464</v>
      </c>
      <c r="H1596" s="9" t="s">
        <v>4465</v>
      </c>
      <c r="I1596" s="10">
        <v>45510</v>
      </c>
    </row>
    <row r="1597" spans="1:9" x14ac:dyDescent="0.15">
      <c r="A1597" s="9">
        <v>1596</v>
      </c>
      <c r="B1597" s="9" t="s">
        <v>9</v>
      </c>
      <c r="C1597" s="9">
        <v>1910</v>
      </c>
      <c r="D1597" s="10">
        <v>45602</v>
      </c>
      <c r="E1597" s="13" t="str">
        <f>+HYPERLINK("http://trademark.i-assist.jp/data/china/image_1910th/80198103.pdf","80198103")</f>
        <v>80198103</v>
      </c>
      <c r="F1597" s="11" t="s">
        <v>4466</v>
      </c>
      <c r="G1597" s="9" t="s">
        <v>4464</v>
      </c>
      <c r="H1597" s="9" t="s">
        <v>4467</v>
      </c>
      <c r="I1597" s="10">
        <v>45510</v>
      </c>
    </row>
    <row r="1598" spans="1:9" x14ac:dyDescent="0.15">
      <c r="A1598" s="9">
        <v>1597</v>
      </c>
      <c r="B1598" s="9" t="s">
        <v>9</v>
      </c>
      <c r="C1598" s="9">
        <v>1910</v>
      </c>
      <c r="D1598" s="10">
        <v>45602</v>
      </c>
      <c r="E1598" s="13" t="str">
        <f>+HYPERLINK("http://trademark.i-assist.jp/data/china/image_1910th/80198297.pdf","80198297")</f>
        <v>80198297</v>
      </c>
      <c r="F1598" s="9" t="s">
        <v>4468</v>
      </c>
      <c r="G1598" s="9" t="s">
        <v>163</v>
      </c>
      <c r="H1598" s="9" t="s">
        <v>4469</v>
      </c>
      <c r="I1598" s="10">
        <v>45510</v>
      </c>
    </row>
    <row r="1599" spans="1:9" x14ac:dyDescent="0.15">
      <c r="A1599" s="9">
        <v>1598</v>
      </c>
      <c r="B1599" s="9" t="s">
        <v>9</v>
      </c>
      <c r="C1599" s="9">
        <v>1910</v>
      </c>
      <c r="D1599" s="10">
        <v>45602</v>
      </c>
      <c r="E1599" s="13" t="str">
        <f>+HYPERLINK("http://trademark.i-assist.jp/data/china/image_1910th/80198427.pdf","80198427")</f>
        <v>80198427</v>
      </c>
      <c r="F1599" s="11" t="s">
        <v>4470</v>
      </c>
      <c r="G1599" s="9" t="s">
        <v>4471</v>
      </c>
      <c r="H1599" s="9" t="s">
        <v>4472</v>
      </c>
      <c r="I1599" s="10">
        <v>45510</v>
      </c>
    </row>
    <row r="1600" spans="1:9" x14ac:dyDescent="0.15">
      <c r="A1600" s="9">
        <v>1599</v>
      </c>
      <c r="B1600" s="9" t="s">
        <v>9</v>
      </c>
      <c r="C1600" s="9">
        <v>1910</v>
      </c>
      <c r="D1600" s="10">
        <v>45602</v>
      </c>
      <c r="E1600" s="13" t="str">
        <f>+HYPERLINK("http://trademark.i-assist.jp/data/china/image_1910th/80198459.pdf","80198459")</f>
        <v>80198459</v>
      </c>
      <c r="F1600" s="9" t="s">
        <v>4473</v>
      </c>
      <c r="G1600" s="11" t="s">
        <v>50</v>
      </c>
      <c r="H1600" s="9" t="s">
        <v>4474</v>
      </c>
      <c r="I1600" s="10">
        <v>45510</v>
      </c>
    </row>
    <row r="1601" spans="1:9" x14ac:dyDescent="0.15">
      <c r="A1601" s="9">
        <v>1600</v>
      </c>
      <c r="B1601" s="9" t="s">
        <v>9</v>
      </c>
      <c r="C1601" s="9">
        <v>1910</v>
      </c>
      <c r="D1601" s="10">
        <v>45602</v>
      </c>
      <c r="E1601" s="13" t="str">
        <f>+HYPERLINK("http://trademark.i-assist.jp/data/china/image_1910th/80198579.pdf","80198579")</f>
        <v>80198579</v>
      </c>
      <c r="F1601" s="9" t="s">
        <v>4475</v>
      </c>
      <c r="G1601" s="9" t="s">
        <v>4476</v>
      </c>
      <c r="H1601" s="9" t="s">
        <v>4477</v>
      </c>
      <c r="I1601" s="10">
        <v>45510</v>
      </c>
    </row>
    <row r="1602" spans="1:9" x14ac:dyDescent="0.15">
      <c r="A1602" s="9">
        <v>1601</v>
      </c>
      <c r="B1602" s="9" t="s">
        <v>9</v>
      </c>
      <c r="C1602" s="9">
        <v>1910</v>
      </c>
      <c r="D1602" s="10">
        <v>45602</v>
      </c>
      <c r="E1602" s="13" t="str">
        <f>+HYPERLINK("http://trademark.i-assist.jp/data/china/image_1910th/80198676.pdf","80198676")</f>
        <v>80198676</v>
      </c>
      <c r="F1602" s="9" t="s">
        <v>4478</v>
      </c>
      <c r="G1602" s="11" t="s">
        <v>4479</v>
      </c>
      <c r="H1602" s="9" t="s">
        <v>4480</v>
      </c>
      <c r="I1602" s="10">
        <v>45510</v>
      </c>
    </row>
    <row r="1603" spans="1:9" x14ac:dyDescent="0.15">
      <c r="A1603" s="9">
        <v>1602</v>
      </c>
      <c r="B1603" s="9" t="s">
        <v>9</v>
      </c>
      <c r="C1603" s="9">
        <v>1910</v>
      </c>
      <c r="D1603" s="10">
        <v>45602</v>
      </c>
      <c r="E1603" s="13" t="str">
        <f>+HYPERLINK("http://trademark.i-assist.jp/data/china/image_1910th/80198784.pdf","80198784")</f>
        <v>80198784</v>
      </c>
      <c r="F1603" s="9" t="s">
        <v>4481</v>
      </c>
      <c r="G1603" s="11" t="s">
        <v>4482</v>
      </c>
      <c r="H1603" s="9" t="s">
        <v>4483</v>
      </c>
      <c r="I1603" s="10">
        <v>45510</v>
      </c>
    </row>
    <row r="1604" spans="1:9" x14ac:dyDescent="0.15">
      <c r="A1604" s="9">
        <v>1603</v>
      </c>
      <c r="B1604" s="9" t="s">
        <v>9</v>
      </c>
      <c r="C1604" s="9">
        <v>1910</v>
      </c>
      <c r="D1604" s="10">
        <v>45602</v>
      </c>
      <c r="E1604" s="13" t="str">
        <f>+HYPERLINK("http://trademark.i-assist.jp/data/china/image_1910th/80198969.pdf","80198969")</f>
        <v>80198969</v>
      </c>
      <c r="F1604" s="9" t="s">
        <v>4484</v>
      </c>
      <c r="G1604" s="9" t="s">
        <v>4485</v>
      </c>
      <c r="H1604" s="9" t="s">
        <v>4486</v>
      </c>
      <c r="I1604" s="10">
        <v>45510</v>
      </c>
    </row>
    <row r="1605" spans="1:9" x14ac:dyDescent="0.15">
      <c r="A1605" s="9">
        <v>1604</v>
      </c>
      <c r="B1605" s="9" t="s">
        <v>9</v>
      </c>
      <c r="C1605" s="9">
        <v>1910</v>
      </c>
      <c r="D1605" s="10">
        <v>45602</v>
      </c>
      <c r="E1605" s="13" t="str">
        <f>+HYPERLINK("http://trademark.i-assist.jp/data/china/image_1910th/80199089.pdf","80199089")</f>
        <v>80199089</v>
      </c>
      <c r="F1605" s="9" t="s">
        <v>4487</v>
      </c>
      <c r="G1605" s="9" t="s">
        <v>4488</v>
      </c>
      <c r="H1605" s="9" t="s">
        <v>4489</v>
      </c>
      <c r="I1605" s="10">
        <v>45510</v>
      </c>
    </row>
    <row r="1606" spans="1:9" x14ac:dyDescent="0.15">
      <c r="A1606" s="9">
        <v>1605</v>
      </c>
      <c r="B1606" s="9" t="s">
        <v>9</v>
      </c>
      <c r="C1606" s="9">
        <v>1910</v>
      </c>
      <c r="D1606" s="10">
        <v>45602</v>
      </c>
      <c r="E1606" s="13" t="str">
        <f>+HYPERLINK("http://trademark.i-assist.jp/data/china/image_1910th/80199227.pdf","80199227")</f>
        <v>80199227</v>
      </c>
      <c r="F1606" s="9" t="s">
        <v>4490</v>
      </c>
      <c r="G1606" s="11" t="s">
        <v>4491</v>
      </c>
      <c r="H1606" s="9" t="s">
        <v>4492</v>
      </c>
      <c r="I1606" s="10">
        <v>45510</v>
      </c>
    </row>
    <row r="1607" spans="1:9" x14ac:dyDescent="0.15">
      <c r="A1607" s="9">
        <v>1606</v>
      </c>
      <c r="B1607" s="9" t="s">
        <v>9</v>
      </c>
      <c r="C1607" s="9">
        <v>1910</v>
      </c>
      <c r="D1607" s="10">
        <v>45602</v>
      </c>
      <c r="E1607" s="13" t="str">
        <f>+HYPERLINK("http://trademark.i-assist.jp/data/china/image_1910th/80199325.pdf","80199325")</f>
        <v>80199325</v>
      </c>
      <c r="F1607" s="11" t="s">
        <v>19</v>
      </c>
      <c r="G1607" s="9" t="s">
        <v>4493</v>
      </c>
      <c r="H1607" s="9" t="s">
        <v>4494</v>
      </c>
      <c r="I1607" s="10">
        <v>45510</v>
      </c>
    </row>
    <row r="1608" spans="1:9" x14ac:dyDescent="0.15">
      <c r="A1608" s="9">
        <v>1607</v>
      </c>
      <c r="B1608" s="9" t="s">
        <v>9</v>
      </c>
      <c r="C1608" s="9">
        <v>1910</v>
      </c>
      <c r="D1608" s="10">
        <v>45602</v>
      </c>
      <c r="E1608" s="13" t="str">
        <f>+HYPERLINK("http://trademark.i-assist.jp/data/china/image_1910th/80199524.pdf","80199524")</f>
        <v>80199524</v>
      </c>
      <c r="F1608" s="9" t="s">
        <v>4495</v>
      </c>
      <c r="G1608" s="9" t="s">
        <v>4496</v>
      </c>
      <c r="H1608" s="9" t="s">
        <v>4497</v>
      </c>
      <c r="I1608" s="10">
        <v>45510</v>
      </c>
    </row>
    <row r="1609" spans="1:9" x14ac:dyDescent="0.15">
      <c r="A1609" s="9">
        <v>1608</v>
      </c>
      <c r="B1609" s="9" t="s">
        <v>9</v>
      </c>
      <c r="C1609" s="9">
        <v>1910</v>
      </c>
      <c r="D1609" s="10">
        <v>45602</v>
      </c>
      <c r="E1609" s="13" t="str">
        <f>+HYPERLINK("http://trademark.i-assist.jp/data/china/image_1910th/80199569.pdf","80199569")</f>
        <v>80199569</v>
      </c>
      <c r="F1609" s="11" t="s">
        <v>4498</v>
      </c>
      <c r="G1609" s="9" t="s">
        <v>4499</v>
      </c>
      <c r="H1609" s="9" t="s">
        <v>4500</v>
      </c>
      <c r="I1609" s="10">
        <v>45510</v>
      </c>
    </row>
    <row r="1610" spans="1:9" x14ac:dyDescent="0.15">
      <c r="A1610" s="9">
        <v>1609</v>
      </c>
      <c r="B1610" s="9" t="s">
        <v>9</v>
      </c>
      <c r="C1610" s="9">
        <v>1910</v>
      </c>
      <c r="D1610" s="10">
        <v>45602</v>
      </c>
      <c r="E1610" s="13" t="str">
        <f>+HYPERLINK("http://trademark.i-assist.jp/data/china/image_1910th/80199650.pdf","80199650")</f>
        <v>80199650</v>
      </c>
      <c r="F1610" s="11" t="s">
        <v>4501</v>
      </c>
      <c r="G1610" s="9" t="s">
        <v>4502</v>
      </c>
      <c r="H1610" s="9" t="s">
        <v>4503</v>
      </c>
      <c r="I1610" s="10">
        <v>45510</v>
      </c>
    </row>
    <row r="1611" spans="1:9" x14ac:dyDescent="0.15">
      <c r="A1611" s="9">
        <v>1610</v>
      </c>
      <c r="B1611" s="9" t="s">
        <v>9</v>
      </c>
      <c r="C1611" s="9">
        <v>1910</v>
      </c>
      <c r="D1611" s="10">
        <v>45602</v>
      </c>
      <c r="E1611" s="13" t="str">
        <f>+HYPERLINK("http://trademark.i-assist.jp/data/china/image_1910th/80199988.pdf","80199988")</f>
        <v>80199988</v>
      </c>
      <c r="F1611" s="9" t="s">
        <v>4504</v>
      </c>
      <c r="G1611" s="9" t="s">
        <v>4505</v>
      </c>
      <c r="H1611" s="9" t="s">
        <v>4506</v>
      </c>
      <c r="I1611" s="10">
        <v>45510</v>
      </c>
    </row>
    <row r="1612" spans="1:9" x14ac:dyDescent="0.15">
      <c r="A1612" s="9">
        <v>1611</v>
      </c>
      <c r="B1612" s="9" t="s">
        <v>9</v>
      </c>
      <c r="C1612" s="9">
        <v>1910</v>
      </c>
      <c r="D1612" s="10">
        <v>45602</v>
      </c>
      <c r="E1612" s="13" t="str">
        <f>+HYPERLINK("http://trademark.i-assist.jp/data/china/image_1910th/80200194.pdf","80200194")</f>
        <v>80200194</v>
      </c>
      <c r="F1612" s="9" t="s">
        <v>4507</v>
      </c>
      <c r="G1612" s="9" t="s">
        <v>99</v>
      </c>
      <c r="H1612" s="9" t="s">
        <v>4508</v>
      </c>
      <c r="I1612" s="10">
        <v>45510</v>
      </c>
    </row>
    <row r="1613" spans="1:9" x14ac:dyDescent="0.15">
      <c r="A1613" s="9">
        <v>1612</v>
      </c>
      <c r="B1613" s="9" t="s">
        <v>9</v>
      </c>
      <c r="C1613" s="9">
        <v>1910</v>
      </c>
      <c r="D1613" s="10">
        <v>45602</v>
      </c>
      <c r="E1613" s="13" t="str">
        <f>+HYPERLINK("http://trademark.i-assist.jp/data/china/image_1910th/80200618.pdf","80200618")</f>
        <v>80200618</v>
      </c>
      <c r="F1613" s="11" t="s">
        <v>4509</v>
      </c>
      <c r="G1613" s="11" t="s">
        <v>4447</v>
      </c>
      <c r="H1613" s="9" t="s">
        <v>4510</v>
      </c>
      <c r="I1613" s="10">
        <v>45510</v>
      </c>
    </row>
    <row r="1614" spans="1:9" x14ac:dyDescent="0.15">
      <c r="A1614" s="9">
        <v>1613</v>
      </c>
      <c r="B1614" s="9" t="s">
        <v>9</v>
      </c>
      <c r="C1614" s="9">
        <v>1910</v>
      </c>
      <c r="D1614" s="10">
        <v>45602</v>
      </c>
      <c r="E1614" s="13" t="str">
        <f>+HYPERLINK("http://trademark.i-assist.jp/data/china/image_1910th/80200949.pdf","80200949")</f>
        <v>80200949</v>
      </c>
      <c r="F1614" s="9" t="s">
        <v>4511</v>
      </c>
      <c r="G1614" s="9" t="s">
        <v>4512</v>
      </c>
      <c r="H1614" s="9" t="s">
        <v>4513</v>
      </c>
      <c r="I1614" s="10">
        <v>45510</v>
      </c>
    </row>
    <row r="1615" spans="1:9" x14ac:dyDescent="0.15">
      <c r="A1615" s="9">
        <v>1614</v>
      </c>
      <c r="B1615" s="9" t="s">
        <v>9</v>
      </c>
      <c r="C1615" s="9">
        <v>1910</v>
      </c>
      <c r="D1615" s="10">
        <v>45602</v>
      </c>
      <c r="E1615" s="13" t="str">
        <f>+HYPERLINK("http://trademark.i-assist.jp/data/china/image_1910th/80201274.pdf","80201274")</f>
        <v>80201274</v>
      </c>
      <c r="F1615" s="11" t="s">
        <v>19</v>
      </c>
      <c r="G1615" s="11" t="s">
        <v>4514</v>
      </c>
      <c r="H1615" s="9" t="s">
        <v>4515</v>
      </c>
      <c r="I1615" s="10">
        <v>45510</v>
      </c>
    </row>
    <row r="1616" spans="1:9" x14ac:dyDescent="0.15">
      <c r="A1616" s="9">
        <v>1615</v>
      </c>
      <c r="B1616" s="9" t="s">
        <v>9</v>
      </c>
      <c r="C1616" s="9">
        <v>1910</v>
      </c>
      <c r="D1616" s="10">
        <v>45602</v>
      </c>
      <c r="E1616" s="13" t="str">
        <f>+HYPERLINK("http://trademark.i-assist.jp/data/china/image_1910th/80201358.pdf","80201358")</f>
        <v>80201358</v>
      </c>
      <c r="F1616" s="9" t="s">
        <v>4516</v>
      </c>
      <c r="G1616" s="9" t="s">
        <v>4517</v>
      </c>
      <c r="H1616" s="9" t="s">
        <v>4518</v>
      </c>
      <c r="I1616" s="10">
        <v>45510</v>
      </c>
    </row>
    <row r="1617" spans="1:9" x14ac:dyDescent="0.15">
      <c r="A1617" s="9">
        <v>1616</v>
      </c>
      <c r="B1617" s="9" t="s">
        <v>9</v>
      </c>
      <c r="C1617" s="9">
        <v>1910</v>
      </c>
      <c r="D1617" s="10">
        <v>45602</v>
      </c>
      <c r="E1617" s="13" t="str">
        <f>+HYPERLINK("http://trademark.i-assist.jp/data/china/image_1910th/80201477.pdf","80201477")</f>
        <v>80201477</v>
      </c>
      <c r="F1617" s="9" t="s">
        <v>4519</v>
      </c>
      <c r="G1617" s="11" t="s">
        <v>4520</v>
      </c>
      <c r="H1617" s="9" t="s">
        <v>4521</v>
      </c>
      <c r="I1617" s="10">
        <v>45510</v>
      </c>
    </row>
    <row r="1618" spans="1:9" x14ac:dyDescent="0.15">
      <c r="A1618" s="9">
        <v>1617</v>
      </c>
      <c r="B1618" s="9" t="s">
        <v>9</v>
      </c>
      <c r="C1618" s="9">
        <v>1910</v>
      </c>
      <c r="D1618" s="10">
        <v>45602</v>
      </c>
      <c r="E1618" s="13" t="str">
        <f>+HYPERLINK("http://trademark.i-assist.jp/data/china/image_1910th/80201923.pdf","80201923")</f>
        <v>80201923</v>
      </c>
      <c r="F1618" s="9" t="s">
        <v>4522</v>
      </c>
      <c r="G1618" s="9" t="s">
        <v>4523</v>
      </c>
      <c r="H1618" s="9" t="s">
        <v>4524</v>
      </c>
      <c r="I1618" s="10">
        <v>45510</v>
      </c>
    </row>
    <row r="1619" spans="1:9" x14ac:dyDescent="0.15">
      <c r="A1619" s="9">
        <v>1618</v>
      </c>
      <c r="B1619" s="9" t="s">
        <v>9</v>
      </c>
      <c r="C1619" s="9">
        <v>1910</v>
      </c>
      <c r="D1619" s="10">
        <v>45602</v>
      </c>
      <c r="E1619" s="13" t="str">
        <f>+HYPERLINK("http://trademark.i-assist.jp/data/china/image_1910th/80202450.pdf","80202450")</f>
        <v>80202450</v>
      </c>
      <c r="F1619" s="9" t="s">
        <v>4525</v>
      </c>
      <c r="G1619" s="11" t="s">
        <v>4526</v>
      </c>
      <c r="H1619" s="9" t="s">
        <v>4527</v>
      </c>
      <c r="I1619" s="10">
        <v>45510</v>
      </c>
    </row>
    <row r="1620" spans="1:9" x14ac:dyDescent="0.15">
      <c r="A1620" s="9">
        <v>1619</v>
      </c>
      <c r="B1620" s="9" t="s">
        <v>9</v>
      </c>
      <c r="C1620" s="9">
        <v>1910</v>
      </c>
      <c r="D1620" s="10">
        <v>45602</v>
      </c>
      <c r="E1620" s="13" t="str">
        <f>+HYPERLINK("http://trademark.i-assist.jp/data/china/image_1910th/80202452.pdf","80202452")</f>
        <v>80202452</v>
      </c>
      <c r="F1620" s="11" t="s">
        <v>4528</v>
      </c>
      <c r="G1620" s="11" t="s">
        <v>4529</v>
      </c>
      <c r="H1620" s="9" t="s">
        <v>4530</v>
      </c>
      <c r="I1620" s="10">
        <v>45510</v>
      </c>
    </row>
    <row r="1621" spans="1:9" x14ac:dyDescent="0.15">
      <c r="A1621" s="9">
        <v>1620</v>
      </c>
      <c r="B1621" s="9" t="s">
        <v>9</v>
      </c>
      <c r="C1621" s="9">
        <v>1910</v>
      </c>
      <c r="D1621" s="10">
        <v>45602</v>
      </c>
      <c r="E1621" s="13" t="str">
        <f>+HYPERLINK("http://trademark.i-assist.jp/data/china/image_1910th/80202970.pdf","80202970")</f>
        <v>80202970</v>
      </c>
      <c r="F1621" s="9" t="s">
        <v>4531</v>
      </c>
      <c r="G1621" s="11" t="s">
        <v>65</v>
      </c>
      <c r="H1621" s="9" t="s">
        <v>100</v>
      </c>
      <c r="I1621" s="10">
        <v>45510</v>
      </c>
    </row>
    <row r="1622" spans="1:9" x14ac:dyDescent="0.15">
      <c r="A1622" s="9">
        <v>1621</v>
      </c>
      <c r="B1622" s="9" t="s">
        <v>9</v>
      </c>
      <c r="C1622" s="9">
        <v>1910</v>
      </c>
      <c r="D1622" s="10">
        <v>45602</v>
      </c>
      <c r="E1622" s="13" t="str">
        <f>+HYPERLINK("http://trademark.i-assist.jp/data/china/image_1910th/80202978.pdf","80202978")</f>
        <v>80202978</v>
      </c>
      <c r="F1622" s="9" t="s">
        <v>4532</v>
      </c>
      <c r="G1622" s="9" t="s">
        <v>4533</v>
      </c>
      <c r="H1622" s="9" t="s">
        <v>4534</v>
      </c>
      <c r="I1622" s="10">
        <v>45510</v>
      </c>
    </row>
    <row r="1623" spans="1:9" x14ac:dyDescent="0.15">
      <c r="A1623" s="9">
        <v>1622</v>
      </c>
      <c r="B1623" s="9" t="s">
        <v>9</v>
      </c>
      <c r="C1623" s="9">
        <v>1910</v>
      </c>
      <c r="D1623" s="10">
        <v>45602</v>
      </c>
      <c r="E1623" s="13" t="str">
        <f>+HYPERLINK("http://trademark.i-assist.jp/data/china/image_1910th/80202989.pdf","80202989")</f>
        <v>80202989</v>
      </c>
      <c r="F1623" s="9" t="s">
        <v>4535</v>
      </c>
      <c r="G1623" s="9" t="s">
        <v>4536</v>
      </c>
      <c r="H1623" s="9" t="s">
        <v>4537</v>
      </c>
      <c r="I1623" s="10">
        <v>45510</v>
      </c>
    </row>
    <row r="1624" spans="1:9" x14ac:dyDescent="0.15">
      <c r="A1624" s="9">
        <v>1623</v>
      </c>
      <c r="B1624" s="9" t="s">
        <v>9</v>
      </c>
      <c r="C1624" s="9">
        <v>1910</v>
      </c>
      <c r="D1624" s="10">
        <v>45602</v>
      </c>
      <c r="E1624" s="13" t="str">
        <f>+HYPERLINK("http://trademark.i-assist.jp/data/china/image_1910th/80203090.pdf","80203090")</f>
        <v>80203090</v>
      </c>
      <c r="F1624" s="9" t="s">
        <v>4538</v>
      </c>
      <c r="G1624" s="9" t="s">
        <v>4539</v>
      </c>
      <c r="H1624" s="9" t="s">
        <v>4540</v>
      </c>
      <c r="I1624" s="10">
        <v>45510</v>
      </c>
    </row>
    <row r="1625" spans="1:9" x14ac:dyDescent="0.15">
      <c r="A1625" s="9">
        <v>1624</v>
      </c>
      <c r="B1625" s="9" t="s">
        <v>9</v>
      </c>
      <c r="C1625" s="9">
        <v>1910</v>
      </c>
      <c r="D1625" s="10">
        <v>45602</v>
      </c>
      <c r="E1625" s="13" t="str">
        <f>+HYPERLINK("http://trademark.i-assist.jp/data/china/image_1910th/80203128.pdf","80203128")</f>
        <v>80203128</v>
      </c>
      <c r="F1625" s="11" t="s">
        <v>4541</v>
      </c>
      <c r="G1625" s="11" t="s">
        <v>4542</v>
      </c>
      <c r="H1625" s="9" t="s">
        <v>4543</v>
      </c>
      <c r="I1625" s="10">
        <v>45510</v>
      </c>
    </row>
    <row r="1626" spans="1:9" x14ac:dyDescent="0.15">
      <c r="A1626" s="9">
        <v>1625</v>
      </c>
      <c r="B1626" s="9" t="s">
        <v>9</v>
      </c>
      <c r="C1626" s="9">
        <v>1910</v>
      </c>
      <c r="D1626" s="10">
        <v>45602</v>
      </c>
      <c r="E1626" s="13" t="str">
        <f>+HYPERLINK("http://trademark.i-assist.jp/data/china/image_1910th/80203227.pdf","80203227")</f>
        <v>80203227</v>
      </c>
      <c r="F1626" s="11" t="s">
        <v>4544</v>
      </c>
      <c r="G1626" s="9" t="s">
        <v>4512</v>
      </c>
      <c r="H1626" s="9" t="s">
        <v>4545</v>
      </c>
      <c r="I1626" s="10">
        <v>45510</v>
      </c>
    </row>
    <row r="1627" spans="1:9" x14ac:dyDescent="0.15">
      <c r="A1627" s="9">
        <v>1626</v>
      </c>
      <c r="B1627" s="9" t="s">
        <v>9</v>
      </c>
      <c r="C1627" s="9">
        <v>1910</v>
      </c>
      <c r="D1627" s="10">
        <v>45602</v>
      </c>
      <c r="E1627" s="13" t="str">
        <f>+HYPERLINK("http://trademark.i-assist.jp/data/china/image_1910th/80203231.pdf","80203231")</f>
        <v>80203231</v>
      </c>
      <c r="F1627" s="9" t="s">
        <v>4546</v>
      </c>
      <c r="G1627" s="9" t="s">
        <v>4547</v>
      </c>
      <c r="H1627" s="9" t="s">
        <v>4548</v>
      </c>
      <c r="I1627" s="10">
        <v>45510</v>
      </c>
    </row>
    <row r="1628" spans="1:9" x14ac:dyDescent="0.15">
      <c r="A1628" s="9">
        <v>1627</v>
      </c>
      <c r="B1628" s="9" t="s">
        <v>9</v>
      </c>
      <c r="C1628" s="9">
        <v>1910</v>
      </c>
      <c r="D1628" s="10">
        <v>45602</v>
      </c>
      <c r="E1628" s="13" t="str">
        <f>+HYPERLINK("http://trademark.i-assist.jp/data/china/image_1910th/80203311.pdf","80203311")</f>
        <v>80203311</v>
      </c>
      <c r="F1628" s="9" t="s">
        <v>4549</v>
      </c>
      <c r="G1628" s="9" t="s">
        <v>4550</v>
      </c>
      <c r="H1628" s="9" t="s">
        <v>4551</v>
      </c>
      <c r="I1628" s="10">
        <v>45510</v>
      </c>
    </row>
    <row r="1629" spans="1:9" x14ac:dyDescent="0.15">
      <c r="A1629" s="9">
        <v>1628</v>
      </c>
      <c r="B1629" s="9" t="s">
        <v>9</v>
      </c>
      <c r="C1629" s="9">
        <v>1910</v>
      </c>
      <c r="D1629" s="10">
        <v>45602</v>
      </c>
      <c r="E1629" s="13" t="str">
        <f>+HYPERLINK("http://trademark.i-assist.jp/data/china/image_1910th/80203477.pdf","80203477")</f>
        <v>80203477</v>
      </c>
      <c r="F1629" s="9" t="s">
        <v>4552</v>
      </c>
      <c r="G1629" s="11" t="s">
        <v>4553</v>
      </c>
      <c r="H1629" s="9" t="s">
        <v>4554</v>
      </c>
      <c r="I1629" s="10">
        <v>45510</v>
      </c>
    </row>
    <row r="1630" spans="1:9" x14ac:dyDescent="0.15">
      <c r="A1630" s="9">
        <v>1629</v>
      </c>
      <c r="B1630" s="9" t="s">
        <v>9</v>
      </c>
      <c r="C1630" s="9">
        <v>1910</v>
      </c>
      <c r="D1630" s="10">
        <v>45602</v>
      </c>
      <c r="E1630" s="13" t="str">
        <f>+HYPERLINK("http://trademark.i-assist.jp/data/china/image_1910th/80203667.pdf","80203667")</f>
        <v>80203667</v>
      </c>
      <c r="F1630" s="9" t="s">
        <v>4555</v>
      </c>
      <c r="G1630" s="11" t="s">
        <v>4556</v>
      </c>
      <c r="H1630" s="9" t="s">
        <v>4557</v>
      </c>
      <c r="I1630" s="10">
        <v>45510</v>
      </c>
    </row>
    <row r="1631" spans="1:9" x14ac:dyDescent="0.15">
      <c r="A1631" s="9">
        <v>1630</v>
      </c>
      <c r="B1631" s="9" t="s">
        <v>9</v>
      </c>
      <c r="C1631" s="9">
        <v>1910</v>
      </c>
      <c r="D1631" s="10">
        <v>45602</v>
      </c>
      <c r="E1631" s="13" t="str">
        <f>+HYPERLINK("http://trademark.i-assist.jp/data/china/image_1910th/80203765.pdf","80203765")</f>
        <v>80203765</v>
      </c>
      <c r="F1631" s="9" t="s">
        <v>4558</v>
      </c>
      <c r="G1631" s="11" t="s">
        <v>4559</v>
      </c>
      <c r="H1631" s="9" t="s">
        <v>4560</v>
      </c>
      <c r="I1631" s="10">
        <v>45510</v>
      </c>
    </row>
    <row r="1632" spans="1:9" x14ac:dyDescent="0.15">
      <c r="A1632" s="9">
        <v>1631</v>
      </c>
      <c r="B1632" s="9" t="s">
        <v>9</v>
      </c>
      <c r="C1632" s="9">
        <v>1910</v>
      </c>
      <c r="D1632" s="10">
        <v>45602</v>
      </c>
      <c r="E1632" s="13" t="str">
        <f>+HYPERLINK("http://trademark.i-assist.jp/data/china/image_1910th/80203813.pdf","80203813")</f>
        <v>80203813</v>
      </c>
      <c r="F1632" s="9" t="s">
        <v>4561</v>
      </c>
      <c r="G1632" s="11" t="s">
        <v>4562</v>
      </c>
      <c r="H1632" s="9" t="s">
        <v>4563</v>
      </c>
      <c r="I1632" s="10">
        <v>45510</v>
      </c>
    </row>
    <row r="1633" spans="1:9" x14ac:dyDescent="0.15">
      <c r="A1633" s="9">
        <v>1632</v>
      </c>
      <c r="B1633" s="9" t="s">
        <v>9</v>
      </c>
      <c r="C1633" s="9">
        <v>1910</v>
      </c>
      <c r="D1633" s="10">
        <v>45602</v>
      </c>
      <c r="E1633" s="13" t="str">
        <f>+HYPERLINK("http://trademark.i-assist.jp/data/china/image_1910th/80203834.pdf","80203834")</f>
        <v>80203834</v>
      </c>
      <c r="F1633" s="9" t="s">
        <v>4564</v>
      </c>
      <c r="G1633" s="9" t="s">
        <v>4565</v>
      </c>
      <c r="H1633" s="9" t="s">
        <v>4566</v>
      </c>
      <c r="I1633" s="10">
        <v>45510</v>
      </c>
    </row>
    <row r="1634" spans="1:9" x14ac:dyDescent="0.15">
      <c r="A1634" s="9">
        <v>1633</v>
      </c>
      <c r="B1634" s="9" t="s">
        <v>9</v>
      </c>
      <c r="C1634" s="9">
        <v>1910</v>
      </c>
      <c r="D1634" s="10">
        <v>45602</v>
      </c>
      <c r="E1634" s="13" t="str">
        <f>+HYPERLINK("http://trademark.i-assist.jp/data/china/image_1910th/80203884.pdf","80203884")</f>
        <v>80203884</v>
      </c>
      <c r="F1634" s="9" t="s">
        <v>4567</v>
      </c>
      <c r="G1634" s="9" t="s">
        <v>4568</v>
      </c>
      <c r="H1634" s="9" t="s">
        <v>4569</v>
      </c>
      <c r="I1634" s="10">
        <v>45510</v>
      </c>
    </row>
    <row r="1635" spans="1:9" x14ac:dyDescent="0.15">
      <c r="A1635" s="9">
        <v>1634</v>
      </c>
      <c r="B1635" s="9" t="s">
        <v>9</v>
      </c>
      <c r="C1635" s="9">
        <v>1910</v>
      </c>
      <c r="D1635" s="10">
        <v>45602</v>
      </c>
      <c r="E1635" s="13" t="str">
        <f>+HYPERLINK("http://trademark.i-assist.jp/data/china/image_1910th/80204388.pdf","80204388")</f>
        <v>80204388</v>
      </c>
      <c r="F1635" s="9" t="s">
        <v>4570</v>
      </c>
      <c r="G1635" s="9" t="s">
        <v>4571</v>
      </c>
      <c r="H1635" s="9" t="s">
        <v>4572</v>
      </c>
      <c r="I1635" s="10">
        <v>45510</v>
      </c>
    </row>
    <row r="1636" spans="1:9" x14ac:dyDescent="0.15">
      <c r="A1636" s="9">
        <v>1635</v>
      </c>
      <c r="B1636" s="9" t="s">
        <v>9</v>
      </c>
      <c r="C1636" s="9">
        <v>1910</v>
      </c>
      <c r="D1636" s="10">
        <v>45602</v>
      </c>
      <c r="E1636" s="13" t="str">
        <f>+HYPERLINK("http://trademark.i-assist.jp/data/china/image_1910th/80204968.pdf","80204968")</f>
        <v>80204968</v>
      </c>
      <c r="F1636" s="9" t="s">
        <v>4573</v>
      </c>
      <c r="G1636" s="9" t="s">
        <v>4517</v>
      </c>
      <c r="H1636" s="9" t="s">
        <v>4574</v>
      </c>
      <c r="I1636" s="10">
        <v>45510</v>
      </c>
    </row>
    <row r="1637" spans="1:9" x14ac:dyDescent="0.15">
      <c r="A1637" s="9">
        <v>1636</v>
      </c>
      <c r="B1637" s="9" t="s">
        <v>9</v>
      </c>
      <c r="C1637" s="9">
        <v>1910</v>
      </c>
      <c r="D1637" s="10">
        <v>45602</v>
      </c>
      <c r="E1637" s="13" t="str">
        <f>+HYPERLINK("http://trademark.i-assist.jp/data/china/image_1910th/80204999.pdf","80204999")</f>
        <v>80204999</v>
      </c>
      <c r="F1637" s="9" t="s">
        <v>4575</v>
      </c>
      <c r="G1637" s="11" t="s">
        <v>4576</v>
      </c>
      <c r="H1637" s="11" t="s">
        <v>4577</v>
      </c>
      <c r="I1637" s="10">
        <v>45510</v>
      </c>
    </row>
    <row r="1638" spans="1:9" x14ac:dyDescent="0.15">
      <c r="A1638" s="9">
        <v>1637</v>
      </c>
      <c r="B1638" s="9" t="s">
        <v>9</v>
      </c>
      <c r="C1638" s="9">
        <v>1910</v>
      </c>
      <c r="D1638" s="10">
        <v>45602</v>
      </c>
      <c r="E1638" s="13" t="str">
        <f>+HYPERLINK("http://trademark.i-assist.jp/data/china/image_1910th/80205034.pdf","80205034")</f>
        <v>80205034</v>
      </c>
      <c r="F1638" s="11" t="s">
        <v>4578</v>
      </c>
      <c r="G1638" s="11" t="s">
        <v>4447</v>
      </c>
      <c r="H1638" s="9" t="s">
        <v>4579</v>
      </c>
      <c r="I1638" s="10">
        <v>45510</v>
      </c>
    </row>
    <row r="1639" spans="1:9" x14ac:dyDescent="0.15">
      <c r="A1639" s="9">
        <v>1638</v>
      </c>
      <c r="B1639" s="9" t="s">
        <v>9</v>
      </c>
      <c r="C1639" s="9">
        <v>1910</v>
      </c>
      <c r="D1639" s="10">
        <v>45602</v>
      </c>
      <c r="E1639" s="13" t="str">
        <f>+HYPERLINK("http://trademark.i-assist.jp/data/china/image_1910th/80205039.pdf","80205039")</f>
        <v>80205039</v>
      </c>
      <c r="F1639" s="11" t="s">
        <v>4580</v>
      </c>
      <c r="G1639" s="11" t="s">
        <v>4447</v>
      </c>
      <c r="H1639" s="9" t="s">
        <v>4581</v>
      </c>
      <c r="I1639" s="10">
        <v>45510</v>
      </c>
    </row>
    <row r="1640" spans="1:9" x14ac:dyDescent="0.15">
      <c r="A1640" s="9">
        <v>1639</v>
      </c>
      <c r="B1640" s="9" t="s">
        <v>9</v>
      </c>
      <c r="C1640" s="9">
        <v>1910</v>
      </c>
      <c r="D1640" s="10">
        <v>45602</v>
      </c>
      <c r="E1640" s="13" t="str">
        <f>+HYPERLINK("http://trademark.i-assist.jp/data/china/image_1910th/80205069.pdf","80205069")</f>
        <v>80205069</v>
      </c>
      <c r="F1640" s="9" t="s">
        <v>4582</v>
      </c>
      <c r="G1640" s="9" t="s">
        <v>4583</v>
      </c>
      <c r="H1640" s="9" t="s">
        <v>4584</v>
      </c>
      <c r="I1640" s="10">
        <v>45510</v>
      </c>
    </row>
    <row r="1641" spans="1:9" x14ac:dyDescent="0.15">
      <c r="A1641" s="9">
        <v>1640</v>
      </c>
      <c r="B1641" s="9" t="s">
        <v>9</v>
      </c>
      <c r="C1641" s="9">
        <v>1910</v>
      </c>
      <c r="D1641" s="10">
        <v>45602</v>
      </c>
      <c r="E1641" s="13" t="str">
        <f>+HYPERLINK("http://trademark.i-assist.jp/data/china/image_1910th/80205292.pdf","80205292")</f>
        <v>80205292</v>
      </c>
      <c r="F1641" s="9" t="s">
        <v>4585</v>
      </c>
      <c r="G1641" s="9" t="s">
        <v>4586</v>
      </c>
      <c r="H1641" s="11" t="s">
        <v>4587</v>
      </c>
      <c r="I1641" s="10">
        <v>45510</v>
      </c>
    </row>
    <row r="1642" spans="1:9" x14ac:dyDescent="0.15">
      <c r="A1642" s="9">
        <v>1641</v>
      </c>
      <c r="B1642" s="9" t="s">
        <v>9</v>
      </c>
      <c r="C1642" s="9">
        <v>1910</v>
      </c>
      <c r="D1642" s="10">
        <v>45602</v>
      </c>
      <c r="E1642" s="13" t="str">
        <f>+HYPERLINK("http://trademark.i-assist.jp/data/china/image_1910th/80205316.pdf","80205316")</f>
        <v>80205316</v>
      </c>
      <c r="F1642" s="9" t="s">
        <v>4588</v>
      </c>
      <c r="G1642" s="9" t="s">
        <v>170</v>
      </c>
      <c r="H1642" s="9" t="s">
        <v>4589</v>
      </c>
      <c r="I1642" s="10">
        <v>45510</v>
      </c>
    </row>
    <row r="1643" spans="1:9" x14ac:dyDescent="0.15">
      <c r="A1643" s="9">
        <v>1642</v>
      </c>
      <c r="B1643" s="9" t="s">
        <v>9</v>
      </c>
      <c r="C1643" s="9">
        <v>1910</v>
      </c>
      <c r="D1643" s="10">
        <v>45602</v>
      </c>
      <c r="E1643" s="13" t="str">
        <f>+HYPERLINK("http://trademark.i-assist.jp/data/china/image_1910th/80205375.pdf","80205375")</f>
        <v>80205375</v>
      </c>
      <c r="F1643" s="9" t="s">
        <v>4590</v>
      </c>
      <c r="G1643" s="9" t="s">
        <v>4591</v>
      </c>
      <c r="H1643" s="9" t="s">
        <v>4592</v>
      </c>
      <c r="I1643" s="10">
        <v>45510</v>
      </c>
    </row>
    <row r="1644" spans="1:9" x14ac:dyDescent="0.15">
      <c r="A1644" s="9">
        <v>1643</v>
      </c>
      <c r="B1644" s="9" t="s">
        <v>9</v>
      </c>
      <c r="C1644" s="9">
        <v>1910</v>
      </c>
      <c r="D1644" s="10">
        <v>45602</v>
      </c>
      <c r="E1644" s="13" t="str">
        <f>+HYPERLINK("http://trademark.i-assist.jp/data/china/image_1910th/80205513.pdf","80205513")</f>
        <v>80205513</v>
      </c>
      <c r="F1644" s="9" t="s">
        <v>4593</v>
      </c>
      <c r="G1644" s="9" t="s">
        <v>2777</v>
      </c>
      <c r="H1644" s="9" t="s">
        <v>4594</v>
      </c>
      <c r="I1644" s="10">
        <v>45510</v>
      </c>
    </row>
    <row r="1645" spans="1:9" x14ac:dyDescent="0.15">
      <c r="A1645" s="9">
        <v>1644</v>
      </c>
      <c r="B1645" s="9" t="s">
        <v>9</v>
      </c>
      <c r="C1645" s="9">
        <v>1910</v>
      </c>
      <c r="D1645" s="10">
        <v>45602</v>
      </c>
      <c r="E1645" s="13" t="str">
        <f>+HYPERLINK("http://trademark.i-assist.jp/data/china/image_1910th/80205684.pdf","80205684")</f>
        <v>80205684</v>
      </c>
      <c r="F1645" s="9" t="s">
        <v>4595</v>
      </c>
      <c r="G1645" s="9" t="s">
        <v>4596</v>
      </c>
      <c r="H1645" s="11" t="s">
        <v>4597</v>
      </c>
      <c r="I1645" s="10">
        <v>45510</v>
      </c>
    </row>
    <row r="1646" spans="1:9" x14ac:dyDescent="0.15">
      <c r="A1646" s="9">
        <v>1645</v>
      </c>
      <c r="B1646" s="9" t="s">
        <v>9</v>
      </c>
      <c r="C1646" s="9">
        <v>1910</v>
      </c>
      <c r="D1646" s="10">
        <v>45602</v>
      </c>
      <c r="E1646" s="13" t="str">
        <f>+HYPERLINK("http://trademark.i-assist.jp/data/china/image_1910th/80205836.pdf","80205836")</f>
        <v>80205836</v>
      </c>
      <c r="F1646" s="11" t="s">
        <v>4598</v>
      </c>
      <c r="G1646" s="9" t="s">
        <v>4599</v>
      </c>
      <c r="H1646" s="9" t="s">
        <v>4600</v>
      </c>
      <c r="I1646" s="10">
        <v>45510</v>
      </c>
    </row>
    <row r="1647" spans="1:9" x14ac:dyDescent="0.15">
      <c r="A1647" s="9">
        <v>1646</v>
      </c>
      <c r="B1647" s="9" t="s">
        <v>9</v>
      </c>
      <c r="C1647" s="9">
        <v>1910</v>
      </c>
      <c r="D1647" s="10">
        <v>45602</v>
      </c>
      <c r="E1647" s="13" t="str">
        <f>+HYPERLINK("http://trademark.i-assist.jp/data/china/image_1910th/80205926.pdf","80205926")</f>
        <v>80205926</v>
      </c>
      <c r="F1647" s="9" t="s">
        <v>4601</v>
      </c>
      <c r="G1647" s="9" t="s">
        <v>4602</v>
      </c>
      <c r="H1647" s="9" t="s">
        <v>4603</v>
      </c>
      <c r="I1647" s="10">
        <v>45510</v>
      </c>
    </row>
    <row r="1648" spans="1:9" x14ac:dyDescent="0.15">
      <c r="A1648" s="9">
        <v>1647</v>
      </c>
      <c r="B1648" s="9" t="s">
        <v>9</v>
      </c>
      <c r="C1648" s="9">
        <v>1910</v>
      </c>
      <c r="D1648" s="10">
        <v>45602</v>
      </c>
      <c r="E1648" s="13" t="str">
        <f>+HYPERLINK("http://trademark.i-assist.jp/data/china/image_1910th/80205962.pdf","80205962")</f>
        <v>80205962</v>
      </c>
      <c r="F1648" s="9" t="s">
        <v>4604</v>
      </c>
      <c r="G1648" s="11" t="s">
        <v>4605</v>
      </c>
      <c r="H1648" s="9" t="s">
        <v>4606</v>
      </c>
      <c r="I1648" s="10">
        <v>45510</v>
      </c>
    </row>
    <row r="1649" spans="1:9" x14ac:dyDescent="0.15">
      <c r="A1649" s="9">
        <v>1648</v>
      </c>
      <c r="B1649" s="9" t="s">
        <v>9</v>
      </c>
      <c r="C1649" s="9">
        <v>1910</v>
      </c>
      <c r="D1649" s="10">
        <v>45602</v>
      </c>
      <c r="E1649" s="13" t="str">
        <f>+HYPERLINK("http://trademark.i-assist.jp/data/china/image_1910th/80206078.pdf","80206078")</f>
        <v>80206078</v>
      </c>
      <c r="F1649" s="9" t="s">
        <v>4607</v>
      </c>
      <c r="G1649" s="9" t="s">
        <v>4461</v>
      </c>
      <c r="H1649" s="9" t="s">
        <v>4608</v>
      </c>
      <c r="I1649" s="10">
        <v>45510</v>
      </c>
    </row>
    <row r="1650" spans="1:9" x14ac:dyDescent="0.15">
      <c r="A1650" s="9">
        <v>1649</v>
      </c>
      <c r="B1650" s="9" t="s">
        <v>9</v>
      </c>
      <c r="C1650" s="9">
        <v>1910</v>
      </c>
      <c r="D1650" s="10">
        <v>45602</v>
      </c>
      <c r="E1650" s="13" t="str">
        <f>+HYPERLINK("http://trademark.i-assist.jp/data/china/image_1910th/80206142.pdf","80206142")</f>
        <v>80206142</v>
      </c>
      <c r="F1650" s="9" t="s">
        <v>4609</v>
      </c>
      <c r="G1650" s="9" t="s">
        <v>4464</v>
      </c>
      <c r="H1650" s="9" t="s">
        <v>4610</v>
      </c>
      <c r="I1650" s="10">
        <v>45510</v>
      </c>
    </row>
    <row r="1651" spans="1:9" x14ac:dyDescent="0.15">
      <c r="A1651" s="9">
        <v>1650</v>
      </c>
      <c r="B1651" s="9" t="s">
        <v>9</v>
      </c>
      <c r="C1651" s="9">
        <v>1910</v>
      </c>
      <c r="D1651" s="10">
        <v>45602</v>
      </c>
      <c r="E1651" s="13" t="str">
        <f>+HYPERLINK("http://trademark.i-assist.jp/data/china/image_1910th/80206145.pdf","80206145")</f>
        <v>80206145</v>
      </c>
      <c r="F1651" s="9" t="s">
        <v>4611</v>
      </c>
      <c r="G1651" s="9" t="s">
        <v>4464</v>
      </c>
      <c r="H1651" s="9" t="s">
        <v>4612</v>
      </c>
      <c r="I1651" s="10">
        <v>45510</v>
      </c>
    </row>
    <row r="1652" spans="1:9" x14ac:dyDescent="0.15">
      <c r="A1652" s="9">
        <v>1651</v>
      </c>
      <c r="B1652" s="9" t="s">
        <v>9</v>
      </c>
      <c r="C1652" s="9">
        <v>1910</v>
      </c>
      <c r="D1652" s="10">
        <v>45602</v>
      </c>
      <c r="E1652" s="13" t="str">
        <f>+HYPERLINK("http://trademark.i-assist.jp/data/china/image_1910th/80206330.pdf","80206330")</f>
        <v>80206330</v>
      </c>
      <c r="F1652" s="9" t="s">
        <v>4613</v>
      </c>
      <c r="G1652" s="9" t="s">
        <v>4614</v>
      </c>
      <c r="H1652" s="11" t="s">
        <v>4615</v>
      </c>
      <c r="I1652" s="10">
        <v>45510</v>
      </c>
    </row>
    <row r="1653" spans="1:9" x14ac:dyDescent="0.15">
      <c r="A1653" s="9">
        <v>1652</v>
      </c>
      <c r="B1653" s="9" t="s">
        <v>9</v>
      </c>
      <c r="C1653" s="9">
        <v>1910</v>
      </c>
      <c r="D1653" s="10">
        <v>45602</v>
      </c>
      <c r="E1653" s="13" t="str">
        <f>+HYPERLINK("http://trademark.i-assist.jp/data/china/image_1910th/80206469.pdf","80206469")</f>
        <v>80206469</v>
      </c>
      <c r="F1653" s="9" t="s">
        <v>4616</v>
      </c>
      <c r="G1653" s="9" t="s">
        <v>4583</v>
      </c>
      <c r="H1653" s="9" t="s">
        <v>4617</v>
      </c>
      <c r="I1653" s="10">
        <v>45510</v>
      </c>
    </row>
    <row r="1654" spans="1:9" x14ac:dyDescent="0.15">
      <c r="A1654" s="9">
        <v>1653</v>
      </c>
      <c r="B1654" s="9" t="s">
        <v>9</v>
      </c>
      <c r="C1654" s="9">
        <v>1910</v>
      </c>
      <c r="D1654" s="10">
        <v>45602</v>
      </c>
      <c r="E1654" s="13" t="str">
        <f>+HYPERLINK("http://trademark.i-assist.jp/data/china/image_1910th/80206478.pdf","80206478")</f>
        <v>80206478</v>
      </c>
      <c r="F1654" s="9" t="s">
        <v>4618</v>
      </c>
      <c r="G1654" s="9" t="s">
        <v>4619</v>
      </c>
      <c r="H1654" s="9" t="s">
        <v>4620</v>
      </c>
      <c r="I1654" s="10">
        <v>45510</v>
      </c>
    </row>
    <row r="1655" spans="1:9" x14ac:dyDescent="0.15">
      <c r="A1655" s="9">
        <v>1654</v>
      </c>
      <c r="B1655" s="9" t="s">
        <v>9</v>
      </c>
      <c r="C1655" s="9">
        <v>1910</v>
      </c>
      <c r="D1655" s="10">
        <v>45602</v>
      </c>
      <c r="E1655" s="13" t="str">
        <f>+HYPERLINK("http://trademark.i-assist.jp/data/china/image_1910th/80206733.pdf","80206733")</f>
        <v>80206733</v>
      </c>
      <c r="F1655" s="9" t="s">
        <v>4621</v>
      </c>
      <c r="G1655" s="9" t="s">
        <v>39</v>
      </c>
      <c r="H1655" s="9" t="s">
        <v>4622</v>
      </c>
      <c r="I1655" s="10">
        <v>45510</v>
      </c>
    </row>
    <row r="1656" spans="1:9" x14ac:dyDescent="0.15">
      <c r="A1656" s="9">
        <v>1655</v>
      </c>
      <c r="B1656" s="9" t="s">
        <v>9</v>
      </c>
      <c r="C1656" s="9">
        <v>1910</v>
      </c>
      <c r="D1656" s="10">
        <v>45602</v>
      </c>
      <c r="E1656" s="13" t="str">
        <f>+HYPERLINK("http://trademark.i-assist.jp/data/china/image_1910th/80206747.pdf","80206747")</f>
        <v>80206747</v>
      </c>
      <c r="F1656" s="9" t="s">
        <v>4623</v>
      </c>
      <c r="G1656" s="9" t="s">
        <v>4624</v>
      </c>
      <c r="H1656" s="9" t="s">
        <v>4625</v>
      </c>
      <c r="I1656" s="10">
        <v>45510</v>
      </c>
    </row>
    <row r="1657" spans="1:9" x14ac:dyDescent="0.15">
      <c r="A1657" s="9">
        <v>1656</v>
      </c>
      <c r="B1657" s="9" t="s">
        <v>9</v>
      </c>
      <c r="C1657" s="9">
        <v>1910</v>
      </c>
      <c r="D1657" s="10">
        <v>45602</v>
      </c>
      <c r="E1657" s="13" t="str">
        <f>+HYPERLINK("http://trademark.i-assist.jp/data/china/image_1910th/80206765.pdf","80206765")</f>
        <v>80206765</v>
      </c>
      <c r="F1657" s="9" t="s">
        <v>4626</v>
      </c>
      <c r="G1657" s="9" t="s">
        <v>4624</v>
      </c>
      <c r="H1657" s="9" t="s">
        <v>4627</v>
      </c>
      <c r="I1657" s="10">
        <v>45510</v>
      </c>
    </row>
    <row r="1658" spans="1:9" x14ac:dyDescent="0.15">
      <c r="A1658" s="9">
        <v>1657</v>
      </c>
      <c r="B1658" s="9" t="s">
        <v>9</v>
      </c>
      <c r="C1658" s="9">
        <v>1910</v>
      </c>
      <c r="D1658" s="10">
        <v>45602</v>
      </c>
      <c r="E1658" s="13" t="str">
        <f>+HYPERLINK("http://trademark.i-assist.jp/data/china/image_1910th/80206818.pdf","80206818")</f>
        <v>80206818</v>
      </c>
      <c r="F1658" s="11" t="s">
        <v>4628</v>
      </c>
      <c r="G1658" s="11" t="s">
        <v>4447</v>
      </c>
      <c r="H1658" s="9" t="s">
        <v>4629</v>
      </c>
      <c r="I1658" s="10">
        <v>45510</v>
      </c>
    </row>
    <row r="1659" spans="1:9" x14ac:dyDescent="0.15">
      <c r="A1659" s="9">
        <v>1658</v>
      </c>
      <c r="B1659" s="9" t="s">
        <v>9</v>
      </c>
      <c r="C1659" s="9">
        <v>1910</v>
      </c>
      <c r="D1659" s="10">
        <v>45602</v>
      </c>
      <c r="E1659" s="13" t="str">
        <f>+HYPERLINK("http://trademark.i-assist.jp/data/china/image_1910th/80206911.pdf","80206911")</f>
        <v>80206911</v>
      </c>
      <c r="F1659" s="9" t="s">
        <v>4630</v>
      </c>
      <c r="G1659" s="11" t="s">
        <v>20</v>
      </c>
      <c r="H1659" s="9" t="s">
        <v>4631</v>
      </c>
      <c r="I1659" s="10">
        <v>45510</v>
      </c>
    </row>
    <row r="1660" spans="1:9" x14ac:dyDescent="0.15">
      <c r="A1660" s="9">
        <v>1659</v>
      </c>
      <c r="B1660" s="9" t="s">
        <v>9</v>
      </c>
      <c r="C1660" s="9">
        <v>1910</v>
      </c>
      <c r="D1660" s="10">
        <v>45602</v>
      </c>
      <c r="E1660" s="13" t="str">
        <f>+HYPERLINK("http://trademark.i-assist.jp/data/china/image_1910th/80206933.pdf","80206933")</f>
        <v>80206933</v>
      </c>
      <c r="F1660" s="9" t="s">
        <v>4632</v>
      </c>
      <c r="G1660" s="9" t="s">
        <v>4633</v>
      </c>
      <c r="H1660" s="9" t="s">
        <v>4634</v>
      </c>
      <c r="I1660" s="10">
        <v>45510</v>
      </c>
    </row>
    <row r="1661" spans="1:9" x14ac:dyDescent="0.15">
      <c r="A1661" s="9">
        <v>1660</v>
      </c>
      <c r="B1661" s="9" t="s">
        <v>9</v>
      </c>
      <c r="C1661" s="9">
        <v>1910</v>
      </c>
      <c r="D1661" s="10">
        <v>45602</v>
      </c>
      <c r="E1661" s="13" t="str">
        <f>+HYPERLINK("http://trademark.i-assist.jp/data/china/image_1910th/80207053.pdf","80207053")</f>
        <v>80207053</v>
      </c>
      <c r="F1661" s="11" t="s">
        <v>19</v>
      </c>
      <c r="G1661" s="9" t="s">
        <v>166</v>
      </c>
      <c r="H1661" s="11" t="s">
        <v>4635</v>
      </c>
      <c r="I1661" s="10">
        <v>45510</v>
      </c>
    </row>
    <row r="1662" spans="1:9" x14ac:dyDescent="0.15">
      <c r="A1662" s="9">
        <v>1661</v>
      </c>
      <c r="B1662" s="9" t="s">
        <v>9</v>
      </c>
      <c r="C1662" s="9">
        <v>1910</v>
      </c>
      <c r="D1662" s="10">
        <v>45602</v>
      </c>
      <c r="E1662" s="13" t="str">
        <f>+HYPERLINK("http://trademark.i-assist.jp/data/china/image_1910th/80207311.pdf","80207311")</f>
        <v>80207311</v>
      </c>
      <c r="F1662" s="9" t="s">
        <v>4636</v>
      </c>
      <c r="G1662" s="9" t="s">
        <v>4637</v>
      </c>
      <c r="H1662" s="11" t="s">
        <v>4638</v>
      </c>
      <c r="I1662" s="10">
        <v>45510</v>
      </c>
    </row>
    <row r="1663" spans="1:9" x14ac:dyDescent="0.15">
      <c r="A1663" s="9">
        <v>1662</v>
      </c>
      <c r="B1663" s="9" t="s">
        <v>9</v>
      </c>
      <c r="C1663" s="9">
        <v>1910</v>
      </c>
      <c r="D1663" s="10">
        <v>45602</v>
      </c>
      <c r="E1663" s="13" t="str">
        <f>+HYPERLINK("http://trademark.i-assist.jp/data/china/image_1910th/80207312.pdf","80207312")</f>
        <v>80207312</v>
      </c>
      <c r="F1663" s="9" t="s">
        <v>4639</v>
      </c>
      <c r="G1663" s="11" t="s">
        <v>4432</v>
      </c>
      <c r="H1663" s="9" t="s">
        <v>4640</v>
      </c>
      <c r="I1663" s="10">
        <v>45510</v>
      </c>
    </row>
    <row r="1664" spans="1:9" x14ac:dyDescent="0.15">
      <c r="A1664" s="9">
        <v>1663</v>
      </c>
      <c r="B1664" s="9" t="s">
        <v>9</v>
      </c>
      <c r="C1664" s="9">
        <v>1910</v>
      </c>
      <c r="D1664" s="10">
        <v>45602</v>
      </c>
      <c r="E1664" s="13" t="str">
        <f>+HYPERLINK("http://trademark.i-assist.jp/data/china/image_1910th/80207473.pdf","80207473")</f>
        <v>80207473</v>
      </c>
      <c r="F1664" s="9" t="s">
        <v>4495</v>
      </c>
      <c r="G1664" s="9" t="s">
        <v>4496</v>
      </c>
      <c r="H1664" s="11" t="s">
        <v>4641</v>
      </c>
      <c r="I1664" s="10">
        <v>45510</v>
      </c>
    </row>
    <row r="1665" spans="1:9" x14ac:dyDescent="0.15">
      <c r="A1665" s="9">
        <v>1664</v>
      </c>
      <c r="B1665" s="9" t="s">
        <v>9</v>
      </c>
      <c r="C1665" s="9">
        <v>1910</v>
      </c>
      <c r="D1665" s="10">
        <v>45602</v>
      </c>
      <c r="E1665" s="13" t="str">
        <f>+HYPERLINK("http://trademark.i-assist.jp/data/china/image_1910th/80207649.pdf","80207649")</f>
        <v>80207649</v>
      </c>
      <c r="F1665" s="9" t="s">
        <v>4642</v>
      </c>
      <c r="G1665" s="11" t="s">
        <v>4479</v>
      </c>
      <c r="H1665" s="9" t="s">
        <v>4643</v>
      </c>
      <c r="I1665" s="10">
        <v>45510</v>
      </c>
    </row>
    <row r="1666" spans="1:9" x14ac:dyDescent="0.15">
      <c r="A1666" s="9">
        <v>1665</v>
      </c>
      <c r="B1666" s="9" t="s">
        <v>9</v>
      </c>
      <c r="C1666" s="9">
        <v>1910</v>
      </c>
      <c r="D1666" s="10">
        <v>45602</v>
      </c>
      <c r="E1666" s="13" t="str">
        <f>+HYPERLINK("http://trademark.i-assist.jp/data/china/image_1910th/80207704.pdf","80207704")</f>
        <v>80207704</v>
      </c>
      <c r="F1666" s="9" t="s">
        <v>4644</v>
      </c>
      <c r="G1666" s="9" t="s">
        <v>4645</v>
      </c>
      <c r="H1666" s="9" t="s">
        <v>4646</v>
      </c>
      <c r="I1666" s="10">
        <v>45510</v>
      </c>
    </row>
    <row r="1667" spans="1:9" x14ac:dyDescent="0.15">
      <c r="A1667" s="9">
        <v>1666</v>
      </c>
      <c r="B1667" s="9" t="s">
        <v>9</v>
      </c>
      <c r="C1667" s="9">
        <v>1910</v>
      </c>
      <c r="D1667" s="10">
        <v>45602</v>
      </c>
      <c r="E1667" s="13" t="str">
        <f>+HYPERLINK("http://trademark.i-assist.jp/data/china/image_1910th/80208066.pdf","80208066")</f>
        <v>80208066</v>
      </c>
      <c r="F1667" s="9" t="s">
        <v>4647</v>
      </c>
      <c r="G1667" s="11" t="s">
        <v>4648</v>
      </c>
      <c r="H1667" s="9" t="s">
        <v>4649</v>
      </c>
      <c r="I1667" s="10">
        <v>45510</v>
      </c>
    </row>
    <row r="1668" spans="1:9" x14ac:dyDescent="0.15">
      <c r="A1668" s="9">
        <v>1667</v>
      </c>
      <c r="B1668" s="9" t="s">
        <v>9</v>
      </c>
      <c r="C1668" s="9">
        <v>1910</v>
      </c>
      <c r="D1668" s="10">
        <v>45602</v>
      </c>
      <c r="E1668" s="13" t="str">
        <f>+HYPERLINK("http://trademark.i-assist.jp/data/china/image_1910th/80208117.pdf","80208117")</f>
        <v>80208117</v>
      </c>
      <c r="F1668" s="9" t="s">
        <v>4650</v>
      </c>
      <c r="G1668" s="9" t="s">
        <v>4651</v>
      </c>
      <c r="H1668" s="9" t="s">
        <v>4652</v>
      </c>
      <c r="I1668" s="10">
        <v>45510</v>
      </c>
    </row>
    <row r="1669" spans="1:9" x14ac:dyDescent="0.15">
      <c r="A1669" s="9">
        <v>1668</v>
      </c>
      <c r="B1669" s="9" t="s">
        <v>9</v>
      </c>
      <c r="C1669" s="9">
        <v>1910</v>
      </c>
      <c r="D1669" s="10">
        <v>45602</v>
      </c>
      <c r="E1669" s="13" t="str">
        <f>+HYPERLINK("http://trademark.i-assist.jp/data/china/image_1910th/80208185.pdf","80208185")</f>
        <v>80208185</v>
      </c>
      <c r="F1669" s="9" t="s">
        <v>4653</v>
      </c>
      <c r="G1669" s="9" t="s">
        <v>4654</v>
      </c>
      <c r="H1669" s="9" t="s">
        <v>4655</v>
      </c>
      <c r="I1669" s="10">
        <v>45510</v>
      </c>
    </row>
    <row r="1670" spans="1:9" x14ac:dyDescent="0.15">
      <c r="A1670" s="9">
        <v>1669</v>
      </c>
      <c r="B1670" s="9" t="s">
        <v>9</v>
      </c>
      <c r="C1670" s="9">
        <v>1910</v>
      </c>
      <c r="D1670" s="10">
        <v>45602</v>
      </c>
      <c r="E1670" s="13" t="str">
        <f>+HYPERLINK("http://trademark.i-assist.jp/data/china/image_1910th/80208279.pdf","80208279")</f>
        <v>80208279</v>
      </c>
      <c r="F1670" s="9" t="s">
        <v>4656</v>
      </c>
      <c r="G1670" s="9" t="s">
        <v>4657</v>
      </c>
      <c r="H1670" s="11" t="s">
        <v>4658</v>
      </c>
      <c r="I1670" s="10">
        <v>45510</v>
      </c>
    </row>
    <row r="1671" spans="1:9" x14ac:dyDescent="0.15">
      <c r="A1671" s="9">
        <v>1670</v>
      </c>
      <c r="B1671" s="9" t="s">
        <v>9</v>
      </c>
      <c r="C1671" s="9">
        <v>1910</v>
      </c>
      <c r="D1671" s="10">
        <v>45602</v>
      </c>
      <c r="E1671" s="13" t="str">
        <f>+HYPERLINK("http://trademark.i-assist.jp/data/china/image_1910th/80208291.pdf","80208291")</f>
        <v>80208291</v>
      </c>
      <c r="F1671" s="9" t="s">
        <v>4659</v>
      </c>
      <c r="G1671" s="11" t="s">
        <v>4452</v>
      </c>
      <c r="H1671" s="9" t="s">
        <v>4660</v>
      </c>
      <c r="I1671" s="10">
        <v>45510</v>
      </c>
    </row>
    <row r="1672" spans="1:9" x14ac:dyDescent="0.15">
      <c r="A1672" s="9">
        <v>1671</v>
      </c>
      <c r="B1672" s="9" t="s">
        <v>9</v>
      </c>
      <c r="C1672" s="9">
        <v>1910</v>
      </c>
      <c r="D1672" s="10">
        <v>45602</v>
      </c>
      <c r="E1672" s="13" t="str">
        <f>+HYPERLINK("http://trademark.i-assist.jp/data/china/image_1910th/80208568.pdf","80208568")</f>
        <v>80208568</v>
      </c>
      <c r="F1672" s="9" t="s">
        <v>4661</v>
      </c>
      <c r="G1672" s="11" t="s">
        <v>4662</v>
      </c>
      <c r="H1672" s="9" t="s">
        <v>4663</v>
      </c>
      <c r="I1672" s="10">
        <v>45510</v>
      </c>
    </row>
    <row r="1673" spans="1:9" x14ac:dyDescent="0.15">
      <c r="A1673" s="9">
        <v>1672</v>
      </c>
      <c r="B1673" s="9" t="s">
        <v>9</v>
      </c>
      <c r="C1673" s="9">
        <v>1910</v>
      </c>
      <c r="D1673" s="10">
        <v>45602</v>
      </c>
      <c r="E1673" s="13" t="str">
        <f>+HYPERLINK("http://trademark.i-assist.jp/data/china/image_1910th/80208814.pdf","80208814")</f>
        <v>80208814</v>
      </c>
      <c r="F1673" s="11" t="s">
        <v>19</v>
      </c>
      <c r="G1673" s="9" t="s">
        <v>4664</v>
      </c>
      <c r="H1673" s="9" t="s">
        <v>4665</v>
      </c>
      <c r="I1673" s="10">
        <v>45510</v>
      </c>
    </row>
    <row r="1674" spans="1:9" x14ac:dyDescent="0.15">
      <c r="A1674" s="9">
        <v>1673</v>
      </c>
      <c r="B1674" s="9" t="s">
        <v>9</v>
      </c>
      <c r="C1674" s="9">
        <v>1910</v>
      </c>
      <c r="D1674" s="10">
        <v>45602</v>
      </c>
      <c r="E1674" s="13" t="str">
        <f>+HYPERLINK("http://trademark.i-assist.jp/data/china/image_1910th/80209028.pdf","80209028")</f>
        <v>80209028</v>
      </c>
      <c r="F1674" s="11" t="s">
        <v>4666</v>
      </c>
      <c r="G1674" s="9" t="s">
        <v>4667</v>
      </c>
      <c r="H1674" s="9" t="s">
        <v>4668</v>
      </c>
      <c r="I1674" s="10">
        <v>45510</v>
      </c>
    </row>
    <row r="1675" spans="1:9" x14ac:dyDescent="0.15">
      <c r="A1675" s="9">
        <v>1674</v>
      </c>
      <c r="B1675" s="9" t="s">
        <v>9</v>
      </c>
      <c r="C1675" s="9">
        <v>1910</v>
      </c>
      <c r="D1675" s="10">
        <v>45602</v>
      </c>
      <c r="E1675" s="13" t="str">
        <f>+HYPERLINK("http://trademark.i-assist.jp/data/china/image_1910th/80209041.pdf","80209041")</f>
        <v>80209041</v>
      </c>
      <c r="F1675" s="9" t="s">
        <v>4669</v>
      </c>
      <c r="G1675" s="9" t="s">
        <v>4670</v>
      </c>
      <c r="H1675" s="9" t="s">
        <v>4671</v>
      </c>
      <c r="I1675" s="10">
        <v>45510</v>
      </c>
    </row>
    <row r="1676" spans="1:9" x14ac:dyDescent="0.15">
      <c r="A1676" s="9">
        <v>1675</v>
      </c>
      <c r="B1676" s="9" t="s">
        <v>9</v>
      </c>
      <c r="C1676" s="9">
        <v>1910</v>
      </c>
      <c r="D1676" s="10">
        <v>45602</v>
      </c>
      <c r="E1676" s="13" t="str">
        <f>+HYPERLINK("http://trademark.i-assist.jp/data/china/image_1910th/80209150.pdf","80209150")</f>
        <v>80209150</v>
      </c>
      <c r="F1676" s="9" t="s">
        <v>4672</v>
      </c>
      <c r="G1676" s="9" t="s">
        <v>4673</v>
      </c>
      <c r="H1676" s="9" t="s">
        <v>4674</v>
      </c>
      <c r="I1676" s="10">
        <v>45510</v>
      </c>
    </row>
    <row r="1677" spans="1:9" x14ac:dyDescent="0.15">
      <c r="A1677" s="9">
        <v>1676</v>
      </c>
      <c r="B1677" s="9" t="s">
        <v>9</v>
      </c>
      <c r="C1677" s="9">
        <v>1910</v>
      </c>
      <c r="D1677" s="10">
        <v>45602</v>
      </c>
      <c r="E1677" s="13" t="str">
        <f>+HYPERLINK("http://trademark.i-assist.jp/data/china/image_1910th/80209157.pdf","80209157")</f>
        <v>80209157</v>
      </c>
      <c r="F1677" s="9" t="s">
        <v>4675</v>
      </c>
      <c r="G1677" s="9" t="s">
        <v>4673</v>
      </c>
      <c r="H1677" s="9" t="s">
        <v>4676</v>
      </c>
      <c r="I1677" s="10">
        <v>45510</v>
      </c>
    </row>
    <row r="1678" spans="1:9" x14ac:dyDescent="0.15">
      <c r="A1678" s="9">
        <v>1677</v>
      </c>
      <c r="B1678" s="9" t="s">
        <v>9</v>
      </c>
      <c r="C1678" s="9">
        <v>1910</v>
      </c>
      <c r="D1678" s="10">
        <v>45602</v>
      </c>
      <c r="E1678" s="13" t="str">
        <f>+HYPERLINK("http://trademark.i-assist.jp/data/china/image_1910th/80209200.pdf","80209200")</f>
        <v>80209200</v>
      </c>
      <c r="F1678" s="9" t="s">
        <v>4677</v>
      </c>
      <c r="G1678" s="9" t="s">
        <v>4678</v>
      </c>
      <c r="H1678" s="9" t="s">
        <v>4679</v>
      </c>
      <c r="I1678" s="10">
        <v>45510</v>
      </c>
    </row>
    <row r="1679" spans="1:9" x14ac:dyDescent="0.15">
      <c r="A1679" s="9">
        <v>1678</v>
      </c>
      <c r="B1679" s="9" t="s">
        <v>9</v>
      </c>
      <c r="C1679" s="9">
        <v>1910</v>
      </c>
      <c r="D1679" s="10">
        <v>45602</v>
      </c>
      <c r="E1679" s="13" t="str">
        <f>+HYPERLINK("http://trademark.i-assist.jp/data/china/image_1910th/80209203.pdf","80209203")</f>
        <v>80209203</v>
      </c>
      <c r="F1679" s="9" t="s">
        <v>4680</v>
      </c>
      <c r="G1679" s="9" t="s">
        <v>4681</v>
      </c>
      <c r="H1679" s="9" t="s">
        <v>4682</v>
      </c>
      <c r="I1679" s="10">
        <v>45510</v>
      </c>
    </row>
    <row r="1680" spans="1:9" x14ac:dyDescent="0.15">
      <c r="A1680" s="9">
        <v>1679</v>
      </c>
      <c r="B1680" s="9" t="s">
        <v>9</v>
      </c>
      <c r="C1680" s="9">
        <v>1910</v>
      </c>
      <c r="D1680" s="10">
        <v>45602</v>
      </c>
      <c r="E1680" s="13" t="str">
        <f>+HYPERLINK("http://trademark.i-assist.jp/data/china/image_1910th/80209379.pdf","80209379")</f>
        <v>80209379</v>
      </c>
      <c r="F1680" s="9" t="s">
        <v>4683</v>
      </c>
      <c r="G1680" s="9" t="s">
        <v>168</v>
      </c>
      <c r="H1680" s="9" t="s">
        <v>4684</v>
      </c>
      <c r="I1680" s="10">
        <v>45510</v>
      </c>
    </row>
    <row r="1681" spans="1:9" x14ac:dyDescent="0.15">
      <c r="A1681" s="9">
        <v>1680</v>
      </c>
      <c r="B1681" s="9" t="s">
        <v>9</v>
      </c>
      <c r="C1681" s="9">
        <v>1910</v>
      </c>
      <c r="D1681" s="10">
        <v>45602</v>
      </c>
      <c r="E1681" s="13" t="str">
        <f>+HYPERLINK("http://trademark.i-assist.jp/data/china/image_1910th/80209442.pdf","80209442")</f>
        <v>80209442</v>
      </c>
      <c r="F1681" s="9" t="s">
        <v>4685</v>
      </c>
      <c r="G1681" s="11" t="s">
        <v>108</v>
      </c>
      <c r="H1681" s="9" t="s">
        <v>4686</v>
      </c>
      <c r="I1681" s="10">
        <v>45510</v>
      </c>
    </row>
    <row r="1682" spans="1:9" x14ac:dyDescent="0.15">
      <c r="A1682" s="9">
        <v>1681</v>
      </c>
      <c r="B1682" s="9" t="s">
        <v>9</v>
      </c>
      <c r="C1682" s="9">
        <v>1910</v>
      </c>
      <c r="D1682" s="10">
        <v>45602</v>
      </c>
      <c r="E1682" s="13" t="str">
        <f>+HYPERLINK("http://trademark.i-assist.jp/data/china/image_1910th/80209536.pdf","80209536")</f>
        <v>80209536</v>
      </c>
      <c r="F1682" s="12" t="s">
        <v>4687</v>
      </c>
      <c r="G1682" s="9" t="s">
        <v>4688</v>
      </c>
      <c r="H1682" s="9" t="s">
        <v>4689</v>
      </c>
      <c r="I1682" s="10">
        <v>45510</v>
      </c>
    </row>
    <row r="1683" spans="1:9" x14ac:dyDescent="0.15">
      <c r="A1683" s="9">
        <v>1682</v>
      </c>
      <c r="B1683" s="9" t="s">
        <v>9</v>
      </c>
      <c r="C1683" s="9">
        <v>1910</v>
      </c>
      <c r="D1683" s="10">
        <v>45602</v>
      </c>
      <c r="E1683" s="13" t="str">
        <f>+HYPERLINK("http://trademark.i-assist.jp/data/china/image_1910th/80209567.pdf","80209567")</f>
        <v>80209567</v>
      </c>
      <c r="F1683" s="11" t="s">
        <v>4690</v>
      </c>
      <c r="G1683" s="9" t="s">
        <v>4691</v>
      </c>
      <c r="H1683" s="9" t="s">
        <v>4692</v>
      </c>
      <c r="I1683" s="10">
        <v>45510</v>
      </c>
    </row>
    <row r="1684" spans="1:9" x14ac:dyDescent="0.15">
      <c r="A1684" s="9">
        <v>1683</v>
      </c>
      <c r="B1684" s="9" t="s">
        <v>9</v>
      </c>
      <c r="C1684" s="9">
        <v>1910</v>
      </c>
      <c r="D1684" s="10">
        <v>45602</v>
      </c>
      <c r="E1684" s="13" t="str">
        <f>+HYPERLINK("http://trademark.i-assist.jp/data/china/image_1910th/80209803.pdf","80209803")</f>
        <v>80209803</v>
      </c>
      <c r="F1684" s="11" t="s">
        <v>4693</v>
      </c>
      <c r="G1684" s="9" t="s">
        <v>4694</v>
      </c>
      <c r="H1684" s="9" t="s">
        <v>4695</v>
      </c>
      <c r="I1684" s="10">
        <v>45510</v>
      </c>
    </row>
    <row r="1685" spans="1:9" x14ac:dyDescent="0.15">
      <c r="A1685" s="9">
        <v>1684</v>
      </c>
      <c r="B1685" s="9" t="s">
        <v>9</v>
      </c>
      <c r="C1685" s="9">
        <v>1910</v>
      </c>
      <c r="D1685" s="10">
        <v>45602</v>
      </c>
      <c r="E1685" s="13" t="str">
        <f>+HYPERLINK("http://trademark.i-assist.jp/data/china/image_1910th/80210168.pdf","80210168")</f>
        <v>80210168</v>
      </c>
      <c r="F1685" s="9" t="s">
        <v>4696</v>
      </c>
      <c r="G1685" s="9" t="s">
        <v>4697</v>
      </c>
      <c r="H1685" s="9" t="s">
        <v>4698</v>
      </c>
      <c r="I1685" s="10">
        <v>45510</v>
      </c>
    </row>
    <row r="1686" spans="1:9" x14ac:dyDescent="0.15">
      <c r="A1686" s="9">
        <v>1685</v>
      </c>
      <c r="B1686" s="9" t="s">
        <v>9</v>
      </c>
      <c r="C1686" s="9">
        <v>1910</v>
      </c>
      <c r="D1686" s="10">
        <v>45602</v>
      </c>
      <c r="E1686" s="13" t="str">
        <f>+HYPERLINK("http://trademark.i-assist.jp/data/china/image_1910th/80210254.pdf","80210254")</f>
        <v>80210254</v>
      </c>
      <c r="F1686" s="11" t="s">
        <v>4699</v>
      </c>
      <c r="G1686" s="11" t="s">
        <v>4542</v>
      </c>
      <c r="H1686" s="9" t="s">
        <v>4700</v>
      </c>
      <c r="I1686" s="10">
        <v>45510</v>
      </c>
    </row>
    <row r="1687" spans="1:9" x14ac:dyDescent="0.15">
      <c r="A1687" s="9">
        <v>1686</v>
      </c>
      <c r="B1687" s="9" t="s">
        <v>9</v>
      </c>
      <c r="C1687" s="9">
        <v>1910</v>
      </c>
      <c r="D1687" s="10">
        <v>45602</v>
      </c>
      <c r="E1687" s="13" t="str">
        <f>+HYPERLINK("http://trademark.i-assist.jp/data/china/image_1910th/80210432.pdf","80210432")</f>
        <v>80210432</v>
      </c>
      <c r="F1687" s="9" t="s">
        <v>4701</v>
      </c>
      <c r="G1687" s="9" t="s">
        <v>4702</v>
      </c>
      <c r="H1687" s="9" t="s">
        <v>4703</v>
      </c>
      <c r="I1687" s="10">
        <v>45510</v>
      </c>
    </row>
    <row r="1688" spans="1:9" x14ac:dyDescent="0.15">
      <c r="A1688" s="9">
        <v>1687</v>
      </c>
      <c r="B1688" s="9" t="s">
        <v>9</v>
      </c>
      <c r="C1688" s="9">
        <v>1910</v>
      </c>
      <c r="D1688" s="10">
        <v>45602</v>
      </c>
      <c r="E1688" s="13" t="str">
        <f>+HYPERLINK("http://trademark.i-assist.jp/data/china/image_1910th/80210448.pdf","80210448")</f>
        <v>80210448</v>
      </c>
      <c r="F1688" s="9" t="s">
        <v>4704</v>
      </c>
      <c r="G1688" s="9" t="s">
        <v>4702</v>
      </c>
      <c r="H1688" s="9" t="s">
        <v>4705</v>
      </c>
      <c r="I1688" s="10">
        <v>45510</v>
      </c>
    </row>
    <row r="1689" spans="1:9" x14ac:dyDescent="0.15">
      <c r="A1689" s="9">
        <v>1688</v>
      </c>
      <c r="B1689" s="9" t="s">
        <v>9</v>
      </c>
      <c r="C1689" s="9">
        <v>1910</v>
      </c>
      <c r="D1689" s="10">
        <v>45602</v>
      </c>
      <c r="E1689" s="13" t="str">
        <f>+HYPERLINK("http://trademark.i-assist.jp/data/china/image_1910th/80210730.pdf","80210730")</f>
        <v>80210730</v>
      </c>
      <c r="F1689" s="9" t="s">
        <v>4706</v>
      </c>
      <c r="G1689" s="11" t="s">
        <v>65</v>
      </c>
      <c r="H1689" s="9" t="s">
        <v>4707</v>
      </c>
      <c r="I1689" s="10">
        <v>45510</v>
      </c>
    </row>
    <row r="1690" spans="1:9" x14ac:dyDescent="0.15">
      <c r="A1690" s="9">
        <v>1689</v>
      </c>
      <c r="B1690" s="9" t="s">
        <v>9</v>
      </c>
      <c r="C1690" s="9">
        <v>1910</v>
      </c>
      <c r="D1690" s="10">
        <v>45602</v>
      </c>
      <c r="E1690" s="13" t="str">
        <f>+HYPERLINK("http://trademark.i-assist.jp/data/china/image_1910th/80210750.pdf","80210750")</f>
        <v>80210750</v>
      </c>
      <c r="F1690" s="9" t="s">
        <v>4708</v>
      </c>
      <c r="G1690" s="11" t="s">
        <v>4709</v>
      </c>
      <c r="H1690" s="9" t="s">
        <v>4710</v>
      </c>
      <c r="I1690" s="10">
        <v>45510</v>
      </c>
    </row>
    <row r="1691" spans="1:9" x14ac:dyDescent="0.15">
      <c r="A1691" s="9">
        <v>1690</v>
      </c>
      <c r="B1691" s="9" t="s">
        <v>9</v>
      </c>
      <c r="C1691" s="9">
        <v>1910</v>
      </c>
      <c r="D1691" s="10">
        <v>45602</v>
      </c>
      <c r="E1691" s="13" t="str">
        <f>+HYPERLINK("http://trademark.i-assist.jp/data/china/image_1910th/80211061.pdf","80211061")</f>
        <v>80211061</v>
      </c>
      <c r="F1691" s="9" t="s">
        <v>4711</v>
      </c>
      <c r="G1691" s="9" t="s">
        <v>4583</v>
      </c>
      <c r="H1691" s="9" t="s">
        <v>4712</v>
      </c>
      <c r="I1691" s="10">
        <v>45510</v>
      </c>
    </row>
    <row r="1692" spans="1:9" x14ac:dyDescent="0.15">
      <c r="A1692" s="9">
        <v>1691</v>
      </c>
      <c r="B1692" s="9" t="s">
        <v>9</v>
      </c>
      <c r="C1692" s="9">
        <v>1910</v>
      </c>
      <c r="D1692" s="10">
        <v>45602</v>
      </c>
      <c r="E1692" s="13" t="str">
        <f>+HYPERLINK("http://trademark.i-assist.jp/data/china/image_1910th/80211273.pdf","80211273")</f>
        <v>80211273</v>
      </c>
      <c r="F1692" s="9" t="s">
        <v>4713</v>
      </c>
      <c r="G1692" s="9" t="s">
        <v>4714</v>
      </c>
      <c r="H1692" s="9" t="s">
        <v>4715</v>
      </c>
      <c r="I1692" s="10">
        <v>45510</v>
      </c>
    </row>
    <row r="1693" spans="1:9" x14ac:dyDescent="0.15">
      <c r="A1693" s="9">
        <v>1692</v>
      </c>
      <c r="B1693" s="9" t="s">
        <v>9</v>
      </c>
      <c r="C1693" s="9">
        <v>1910</v>
      </c>
      <c r="D1693" s="10">
        <v>45602</v>
      </c>
      <c r="E1693" s="13" t="str">
        <f>+HYPERLINK("http://trademark.i-assist.jp/data/china/image_1910th/80211384.pdf","80211384")</f>
        <v>80211384</v>
      </c>
      <c r="F1693" s="11" t="s">
        <v>4716</v>
      </c>
      <c r="G1693" s="11" t="s">
        <v>4447</v>
      </c>
      <c r="H1693" s="9" t="s">
        <v>4717</v>
      </c>
      <c r="I1693" s="10">
        <v>45510</v>
      </c>
    </row>
    <row r="1694" spans="1:9" x14ac:dyDescent="0.15">
      <c r="A1694" s="9">
        <v>1693</v>
      </c>
      <c r="B1694" s="9" t="s">
        <v>9</v>
      </c>
      <c r="C1694" s="9">
        <v>1910</v>
      </c>
      <c r="D1694" s="10">
        <v>45602</v>
      </c>
      <c r="E1694" s="13" t="str">
        <f>+HYPERLINK("http://trademark.i-assist.jp/data/china/image_1910th/80211434.pdf","80211434")</f>
        <v>80211434</v>
      </c>
      <c r="F1694" s="9" t="s">
        <v>4718</v>
      </c>
      <c r="G1694" s="9" t="s">
        <v>4719</v>
      </c>
      <c r="H1694" s="9" t="s">
        <v>4720</v>
      </c>
      <c r="I1694" s="10">
        <v>45510</v>
      </c>
    </row>
    <row r="1695" spans="1:9" x14ac:dyDescent="0.15">
      <c r="A1695" s="9">
        <v>1694</v>
      </c>
      <c r="B1695" s="9" t="s">
        <v>9</v>
      </c>
      <c r="C1695" s="9">
        <v>1910</v>
      </c>
      <c r="D1695" s="10">
        <v>45602</v>
      </c>
      <c r="E1695" s="13" t="str">
        <f>+HYPERLINK("http://trademark.i-assist.jp/data/china/image_1910th/80211758.pdf","80211758")</f>
        <v>80211758</v>
      </c>
      <c r="F1695" s="9" t="s">
        <v>4721</v>
      </c>
      <c r="G1695" s="9" t="s">
        <v>4722</v>
      </c>
      <c r="H1695" s="9" t="s">
        <v>4723</v>
      </c>
      <c r="I1695" s="10">
        <v>45510</v>
      </c>
    </row>
    <row r="1696" spans="1:9" x14ac:dyDescent="0.15">
      <c r="A1696" s="9">
        <v>1695</v>
      </c>
      <c r="B1696" s="9" t="s">
        <v>9</v>
      </c>
      <c r="C1696" s="9">
        <v>1910</v>
      </c>
      <c r="D1696" s="10">
        <v>45602</v>
      </c>
      <c r="E1696" s="13" t="str">
        <f>+HYPERLINK("http://trademark.i-assist.jp/data/china/image_1910th/80211886.pdf","80211886")</f>
        <v>80211886</v>
      </c>
      <c r="F1696" s="9" t="s">
        <v>4724</v>
      </c>
      <c r="G1696" s="9" t="s">
        <v>4725</v>
      </c>
      <c r="H1696" s="9" t="s">
        <v>4726</v>
      </c>
      <c r="I1696" s="10">
        <v>45510</v>
      </c>
    </row>
    <row r="1697" spans="1:9" x14ac:dyDescent="0.15">
      <c r="A1697" s="9">
        <v>1696</v>
      </c>
      <c r="B1697" s="9" t="s">
        <v>9</v>
      </c>
      <c r="C1697" s="9">
        <v>1910</v>
      </c>
      <c r="D1697" s="10">
        <v>45602</v>
      </c>
      <c r="E1697" s="13" t="str">
        <f>+HYPERLINK("http://trademark.i-assist.jp/data/china/image_1910th/80211904.pdf","80211904")</f>
        <v>80211904</v>
      </c>
      <c r="F1697" s="9" t="s">
        <v>4727</v>
      </c>
      <c r="G1697" s="9" t="s">
        <v>4728</v>
      </c>
      <c r="H1697" s="9" t="s">
        <v>4729</v>
      </c>
      <c r="I1697" s="10">
        <v>45510</v>
      </c>
    </row>
    <row r="1698" spans="1:9" x14ac:dyDescent="0.15">
      <c r="A1698" s="9">
        <v>1697</v>
      </c>
      <c r="B1698" s="9" t="s">
        <v>9</v>
      </c>
      <c r="C1698" s="9">
        <v>1910</v>
      </c>
      <c r="D1698" s="10">
        <v>45602</v>
      </c>
      <c r="E1698" s="13" t="str">
        <f>+HYPERLINK("http://trademark.i-assist.jp/data/china/image_1910th/80211932.pdf","80211932")</f>
        <v>80211932</v>
      </c>
      <c r="F1698" s="9" t="s">
        <v>4730</v>
      </c>
      <c r="G1698" s="9" t="s">
        <v>4673</v>
      </c>
      <c r="H1698" s="9" t="s">
        <v>4731</v>
      </c>
      <c r="I1698" s="10">
        <v>45510</v>
      </c>
    </row>
    <row r="1699" spans="1:9" x14ac:dyDescent="0.15">
      <c r="A1699" s="9">
        <v>1698</v>
      </c>
      <c r="B1699" s="9" t="s">
        <v>9</v>
      </c>
      <c r="C1699" s="9">
        <v>1910</v>
      </c>
      <c r="D1699" s="10">
        <v>45602</v>
      </c>
      <c r="E1699" s="13" t="str">
        <f>+HYPERLINK("http://trademark.i-assist.jp/data/china/image_1910th/80211968.pdf","80211968")</f>
        <v>80211968</v>
      </c>
      <c r="F1699" s="9" t="s">
        <v>4732</v>
      </c>
      <c r="G1699" s="11" t="s">
        <v>4733</v>
      </c>
      <c r="H1699" s="9" t="s">
        <v>4734</v>
      </c>
      <c r="I1699" s="10">
        <v>45510</v>
      </c>
    </row>
    <row r="1700" spans="1:9" x14ac:dyDescent="0.15">
      <c r="A1700" s="9">
        <v>1699</v>
      </c>
      <c r="B1700" s="9" t="s">
        <v>9</v>
      </c>
      <c r="C1700" s="9">
        <v>1910</v>
      </c>
      <c r="D1700" s="10">
        <v>45602</v>
      </c>
      <c r="E1700" s="13" t="str">
        <f>+HYPERLINK("http://trademark.i-assist.jp/data/china/image_1910th/80212075.pdf","80212075")</f>
        <v>80212075</v>
      </c>
      <c r="F1700" s="11" t="s">
        <v>4735</v>
      </c>
      <c r="G1700" s="9" t="s">
        <v>4736</v>
      </c>
      <c r="H1700" s="9" t="s">
        <v>4737</v>
      </c>
      <c r="I1700" s="10">
        <v>45510</v>
      </c>
    </row>
    <row r="1701" spans="1:9" x14ac:dyDescent="0.15">
      <c r="A1701" s="9">
        <v>1700</v>
      </c>
      <c r="B1701" s="9" t="s">
        <v>9</v>
      </c>
      <c r="C1701" s="9">
        <v>1910</v>
      </c>
      <c r="D1701" s="10">
        <v>45602</v>
      </c>
      <c r="E1701" s="13" t="str">
        <f>+HYPERLINK("http://trademark.i-assist.jp/data/china/image_1910th/80212324.pdf","80212324")</f>
        <v>80212324</v>
      </c>
      <c r="F1701" s="9" t="s">
        <v>4738</v>
      </c>
      <c r="G1701" s="9" t="s">
        <v>4739</v>
      </c>
      <c r="H1701" s="9" t="s">
        <v>4740</v>
      </c>
      <c r="I1701" s="10">
        <v>45510</v>
      </c>
    </row>
    <row r="1702" spans="1:9" x14ac:dyDescent="0.15">
      <c r="A1702" s="9">
        <v>1701</v>
      </c>
      <c r="B1702" s="9" t="s">
        <v>9</v>
      </c>
      <c r="C1702" s="9">
        <v>1910</v>
      </c>
      <c r="D1702" s="10">
        <v>45602</v>
      </c>
      <c r="E1702" s="13" t="str">
        <f>+HYPERLINK("http://trademark.i-assist.jp/data/china/image_1910th/80212362.pdf","80212362")</f>
        <v>80212362</v>
      </c>
      <c r="F1702" s="9" t="s">
        <v>4741</v>
      </c>
      <c r="G1702" s="9" t="s">
        <v>4464</v>
      </c>
      <c r="H1702" s="9" t="s">
        <v>4742</v>
      </c>
      <c r="I1702" s="10">
        <v>45510</v>
      </c>
    </row>
    <row r="1703" spans="1:9" x14ac:dyDescent="0.15">
      <c r="A1703" s="9">
        <v>1702</v>
      </c>
      <c r="B1703" s="9" t="s">
        <v>9</v>
      </c>
      <c r="C1703" s="9">
        <v>1910</v>
      </c>
      <c r="D1703" s="10">
        <v>45602</v>
      </c>
      <c r="E1703" s="13" t="str">
        <f>+HYPERLINK("http://trademark.i-assist.jp/data/china/image_1910th/80212745.pdf","80212745")</f>
        <v>80212745</v>
      </c>
      <c r="F1703" s="9" t="s">
        <v>4743</v>
      </c>
      <c r="G1703" s="9" t="s">
        <v>4744</v>
      </c>
      <c r="H1703" s="9" t="s">
        <v>4745</v>
      </c>
      <c r="I1703" s="10">
        <v>45510</v>
      </c>
    </row>
    <row r="1704" spans="1:9" x14ac:dyDescent="0.15">
      <c r="A1704" s="9">
        <v>1703</v>
      </c>
      <c r="B1704" s="9" t="s">
        <v>9</v>
      </c>
      <c r="C1704" s="9">
        <v>1910</v>
      </c>
      <c r="D1704" s="10">
        <v>45602</v>
      </c>
      <c r="E1704" s="13" t="str">
        <f>+HYPERLINK("http://trademark.i-assist.jp/data/china/image_1910th/80212762.pdf","80212762")</f>
        <v>80212762</v>
      </c>
      <c r="F1704" s="9" t="s">
        <v>4746</v>
      </c>
      <c r="G1704" s="11" t="s">
        <v>4435</v>
      </c>
      <c r="H1704" s="9" t="s">
        <v>4747</v>
      </c>
      <c r="I1704" s="10">
        <v>45510</v>
      </c>
    </row>
    <row r="1705" spans="1:9" x14ac:dyDescent="0.15">
      <c r="A1705" s="9">
        <v>1704</v>
      </c>
      <c r="B1705" s="9" t="s">
        <v>9</v>
      </c>
      <c r="C1705" s="9">
        <v>1910</v>
      </c>
      <c r="D1705" s="10">
        <v>45602</v>
      </c>
      <c r="E1705" s="13" t="str">
        <f>+HYPERLINK("http://trademark.i-assist.jp/data/china/image_1910th/80212878.pdf","80212878")</f>
        <v>80212878</v>
      </c>
      <c r="F1705" s="9" t="s">
        <v>4748</v>
      </c>
      <c r="G1705" s="9" t="s">
        <v>4749</v>
      </c>
      <c r="H1705" s="9" t="s">
        <v>4750</v>
      </c>
      <c r="I1705" s="10">
        <v>45510</v>
      </c>
    </row>
    <row r="1706" spans="1:9" x14ac:dyDescent="0.15">
      <c r="A1706" s="9">
        <v>1705</v>
      </c>
      <c r="B1706" s="9" t="s">
        <v>9</v>
      </c>
      <c r="C1706" s="9">
        <v>1910</v>
      </c>
      <c r="D1706" s="10">
        <v>45602</v>
      </c>
      <c r="E1706" s="13" t="str">
        <f>+HYPERLINK("http://trademark.i-assist.jp/data/china/image_1910th/80212888.pdf","80212888")</f>
        <v>80212888</v>
      </c>
      <c r="F1706" s="9" t="s">
        <v>4751</v>
      </c>
      <c r="G1706" s="11" t="s">
        <v>66</v>
      </c>
      <c r="H1706" s="9" t="s">
        <v>4752</v>
      </c>
      <c r="I1706" s="10">
        <v>45510</v>
      </c>
    </row>
    <row r="1707" spans="1:9" x14ac:dyDescent="0.15">
      <c r="A1707" s="9">
        <v>1706</v>
      </c>
      <c r="B1707" s="9" t="s">
        <v>9</v>
      </c>
      <c r="C1707" s="9">
        <v>1910</v>
      </c>
      <c r="D1707" s="10">
        <v>45602</v>
      </c>
      <c r="E1707" s="13" t="str">
        <f>+HYPERLINK("http://trademark.i-assist.jp/data/china/image_1910th/80213078.pdf","80213078")</f>
        <v>80213078</v>
      </c>
      <c r="F1707" s="9" t="s">
        <v>4753</v>
      </c>
      <c r="G1707" s="11" t="s">
        <v>4754</v>
      </c>
      <c r="H1707" s="9" t="s">
        <v>4755</v>
      </c>
      <c r="I1707" s="10">
        <v>45510</v>
      </c>
    </row>
    <row r="1708" spans="1:9" x14ac:dyDescent="0.15">
      <c r="A1708" s="9">
        <v>1707</v>
      </c>
      <c r="B1708" s="9" t="s">
        <v>9</v>
      </c>
      <c r="C1708" s="9">
        <v>1910</v>
      </c>
      <c r="D1708" s="10">
        <v>45602</v>
      </c>
      <c r="E1708" s="13" t="str">
        <f>+HYPERLINK("http://trademark.i-assist.jp/data/china/image_1910th/80213120.pdf","80213120")</f>
        <v>80213120</v>
      </c>
      <c r="F1708" s="9" t="s">
        <v>4756</v>
      </c>
      <c r="G1708" s="9" t="s">
        <v>39</v>
      </c>
      <c r="H1708" s="9" t="s">
        <v>4757</v>
      </c>
      <c r="I1708" s="10">
        <v>45510</v>
      </c>
    </row>
    <row r="1709" spans="1:9" x14ac:dyDescent="0.15">
      <c r="A1709" s="9">
        <v>1708</v>
      </c>
      <c r="B1709" s="9" t="s">
        <v>9</v>
      </c>
      <c r="C1709" s="9">
        <v>1910</v>
      </c>
      <c r="D1709" s="10">
        <v>45602</v>
      </c>
      <c r="E1709" s="13" t="str">
        <f>+HYPERLINK("http://trademark.i-assist.jp/data/china/image_1910th/80213186.pdf","80213186")</f>
        <v>80213186</v>
      </c>
      <c r="F1709" s="9" t="s">
        <v>4758</v>
      </c>
      <c r="G1709" s="11" t="s">
        <v>66</v>
      </c>
      <c r="H1709" s="9" t="s">
        <v>4759</v>
      </c>
      <c r="I1709" s="10">
        <v>45510</v>
      </c>
    </row>
    <row r="1710" spans="1:9" x14ac:dyDescent="0.15">
      <c r="A1710" s="9">
        <v>1709</v>
      </c>
      <c r="B1710" s="9" t="s">
        <v>9</v>
      </c>
      <c r="C1710" s="9">
        <v>1910</v>
      </c>
      <c r="D1710" s="10">
        <v>45602</v>
      </c>
      <c r="E1710" s="13" t="str">
        <f>+HYPERLINK("http://trademark.i-assist.jp/data/china/image_1910th/80213312.pdf","80213312")</f>
        <v>80213312</v>
      </c>
      <c r="F1710" s="9" t="s">
        <v>4760</v>
      </c>
      <c r="G1710" s="11" t="s">
        <v>4761</v>
      </c>
      <c r="H1710" s="9" t="s">
        <v>4762</v>
      </c>
      <c r="I1710" s="10">
        <v>45510</v>
      </c>
    </row>
    <row r="1711" spans="1:9" x14ac:dyDescent="0.15">
      <c r="A1711" s="9">
        <v>1710</v>
      </c>
      <c r="B1711" s="9" t="s">
        <v>9</v>
      </c>
      <c r="C1711" s="9">
        <v>1910</v>
      </c>
      <c r="D1711" s="10">
        <v>45602</v>
      </c>
      <c r="E1711" s="13" t="str">
        <f>+HYPERLINK("http://trademark.i-assist.jp/data/china/image_1910th/80213348.pdf","80213348")</f>
        <v>80213348</v>
      </c>
      <c r="F1711" s="9" t="s">
        <v>4763</v>
      </c>
      <c r="G1711" s="11" t="s">
        <v>4761</v>
      </c>
      <c r="H1711" s="9" t="s">
        <v>4764</v>
      </c>
      <c r="I1711" s="10">
        <v>45510</v>
      </c>
    </row>
    <row r="1712" spans="1:9" x14ac:dyDescent="0.15">
      <c r="A1712" s="9">
        <v>1711</v>
      </c>
      <c r="B1712" s="9" t="s">
        <v>9</v>
      </c>
      <c r="C1712" s="9">
        <v>1910</v>
      </c>
      <c r="D1712" s="10">
        <v>45602</v>
      </c>
      <c r="E1712" s="13" t="str">
        <f>+HYPERLINK("http://trademark.i-assist.jp/data/china/image_1910th/80213575.pdf","80213575")</f>
        <v>80213575</v>
      </c>
      <c r="F1712" s="9" t="s">
        <v>4765</v>
      </c>
      <c r="G1712" s="9" t="s">
        <v>4766</v>
      </c>
      <c r="H1712" s="9" t="s">
        <v>4767</v>
      </c>
      <c r="I1712" s="10">
        <v>45510</v>
      </c>
    </row>
    <row r="1713" spans="1:9" x14ac:dyDescent="0.15">
      <c r="A1713" s="9">
        <v>1712</v>
      </c>
      <c r="B1713" s="9" t="s">
        <v>9</v>
      </c>
      <c r="C1713" s="9">
        <v>1910</v>
      </c>
      <c r="D1713" s="10">
        <v>45602</v>
      </c>
      <c r="E1713" s="13" t="str">
        <f>+HYPERLINK("http://trademark.i-assist.jp/data/china/image_1910th/80213678.pdf","80213678")</f>
        <v>80213678</v>
      </c>
      <c r="F1713" s="9" t="s">
        <v>4768</v>
      </c>
      <c r="G1713" s="11" t="s">
        <v>4769</v>
      </c>
      <c r="H1713" s="9" t="s">
        <v>4770</v>
      </c>
      <c r="I1713" s="10">
        <v>45510</v>
      </c>
    </row>
    <row r="1714" spans="1:9" x14ac:dyDescent="0.15">
      <c r="A1714" s="9">
        <v>1713</v>
      </c>
      <c r="B1714" s="9" t="s">
        <v>9</v>
      </c>
      <c r="C1714" s="9">
        <v>1910</v>
      </c>
      <c r="D1714" s="10">
        <v>45602</v>
      </c>
      <c r="E1714" s="13" t="str">
        <f>+HYPERLINK("http://trademark.i-assist.jp/data/china/image_1910th/80213897.pdf","80213897")</f>
        <v>80213897</v>
      </c>
      <c r="F1714" s="11" t="s">
        <v>4771</v>
      </c>
      <c r="G1714" s="9" t="s">
        <v>4772</v>
      </c>
      <c r="H1714" s="9" t="s">
        <v>4773</v>
      </c>
      <c r="I1714" s="10">
        <v>45510</v>
      </c>
    </row>
    <row r="1715" spans="1:9" x14ac:dyDescent="0.15">
      <c r="A1715" s="9">
        <v>1714</v>
      </c>
      <c r="B1715" s="9" t="s">
        <v>9</v>
      </c>
      <c r="C1715" s="9">
        <v>1910</v>
      </c>
      <c r="D1715" s="10">
        <v>45602</v>
      </c>
      <c r="E1715" s="13" t="str">
        <f>+HYPERLINK("http://trademark.i-assist.jp/data/china/image_1910th/80213962.pdf","80213962")</f>
        <v>80213962</v>
      </c>
      <c r="F1715" s="11" t="s">
        <v>19</v>
      </c>
      <c r="G1715" s="9" t="s">
        <v>4774</v>
      </c>
      <c r="H1715" s="9" t="s">
        <v>4775</v>
      </c>
      <c r="I1715" s="10">
        <v>45510</v>
      </c>
    </row>
    <row r="1716" spans="1:9" x14ac:dyDescent="0.15">
      <c r="A1716" s="9">
        <v>1715</v>
      </c>
      <c r="B1716" s="9" t="s">
        <v>9</v>
      </c>
      <c r="C1716" s="9">
        <v>1910</v>
      </c>
      <c r="D1716" s="10">
        <v>45602</v>
      </c>
      <c r="E1716" s="13" t="str">
        <f>+HYPERLINK("http://trademark.i-assist.jp/data/china/image_1910th/80214113.pdf","80214113")</f>
        <v>80214113</v>
      </c>
      <c r="F1716" s="9" t="s">
        <v>4776</v>
      </c>
      <c r="G1716" s="9" t="s">
        <v>4517</v>
      </c>
      <c r="H1716" s="9" t="s">
        <v>4777</v>
      </c>
      <c r="I1716" s="10">
        <v>45510</v>
      </c>
    </row>
    <row r="1717" spans="1:9" x14ac:dyDescent="0.15">
      <c r="A1717" s="9">
        <v>1716</v>
      </c>
      <c r="B1717" s="9" t="s">
        <v>9</v>
      </c>
      <c r="C1717" s="9">
        <v>1910</v>
      </c>
      <c r="D1717" s="10">
        <v>45602</v>
      </c>
      <c r="E1717" s="13" t="str">
        <f>+HYPERLINK("http://trademark.i-assist.jp/data/china/image_1910th/80214177.pdf","80214177")</f>
        <v>80214177</v>
      </c>
      <c r="F1717" s="9" t="s">
        <v>4778</v>
      </c>
      <c r="G1717" s="9" t="s">
        <v>4779</v>
      </c>
      <c r="H1717" s="9" t="s">
        <v>4780</v>
      </c>
      <c r="I1717" s="10">
        <v>45510</v>
      </c>
    </row>
    <row r="1718" spans="1:9" x14ac:dyDescent="0.15">
      <c r="A1718" s="9">
        <v>1717</v>
      </c>
      <c r="B1718" s="9" t="s">
        <v>9</v>
      </c>
      <c r="C1718" s="9">
        <v>1910</v>
      </c>
      <c r="D1718" s="10">
        <v>45602</v>
      </c>
      <c r="E1718" s="13" t="str">
        <f>+HYPERLINK("http://trademark.i-assist.jp/data/china/image_1910th/80214238.pdf","80214238")</f>
        <v>80214238</v>
      </c>
      <c r="F1718" s="9" t="s">
        <v>4781</v>
      </c>
      <c r="G1718" s="9" t="s">
        <v>4782</v>
      </c>
      <c r="H1718" s="9" t="s">
        <v>4783</v>
      </c>
      <c r="I1718" s="10">
        <v>45510</v>
      </c>
    </row>
    <row r="1719" spans="1:9" x14ac:dyDescent="0.15">
      <c r="A1719" s="9">
        <v>1718</v>
      </c>
      <c r="B1719" s="9" t="s">
        <v>9</v>
      </c>
      <c r="C1719" s="9">
        <v>1910</v>
      </c>
      <c r="D1719" s="10">
        <v>45602</v>
      </c>
      <c r="E1719" s="13" t="str">
        <f>+HYPERLINK("http://trademark.i-assist.jp/data/china/image_1910th/80214284.pdf","80214284")</f>
        <v>80214284</v>
      </c>
      <c r="F1719" s="9" t="s">
        <v>4784</v>
      </c>
      <c r="G1719" s="9" t="s">
        <v>4785</v>
      </c>
      <c r="H1719" s="9" t="s">
        <v>4786</v>
      </c>
      <c r="I1719" s="10">
        <v>45510</v>
      </c>
    </row>
    <row r="1720" spans="1:9" x14ac:dyDescent="0.15">
      <c r="A1720" s="9">
        <v>1719</v>
      </c>
      <c r="B1720" s="9" t="s">
        <v>9</v>
      </c>
      <c r="C1720" s="9">
        <v>1910</v>
      </c>
      <c r="D1720" s="10">
        <v>45602</v>
      </c>
      <c r="E1720" s="13" t="str">
        <f>+HYPERLINK("http://trademark.i-assist.jp/data/china/image_1910th/80214390.pdf","80214390")</f>
        <v>80214390</v>
      </c>
      <c r="F1720" s="9" t="s">
        <v>4787</v>
      </c>
      <c r="G1720" s="9" t="s">
        <v>4788</v>
      </c>
      <c r="H1720" s="9" t="s">
        <v>4789</v>
      </c>
      <c r="I1720" s="10">
        <v>45510</v>
      </c>
    </row>
    <row r="1721" spans="1:9" x14ac:dyDescent="0.15">
      <c r="A1721" s="9">
        <v>1720</v>
      </c>
      <c r="B1721" s="9" t="s">
        <v>9</v>
      </c>
      <c r="C1721" s="9">
        <v>1910</v>
      </c>
      <c r="D1721" s="10">
        <v>45602</v>
      </c>
      <c r="E1721" s="13" t="str">
        <f>+HYPERLINK("http://trademark.i-assist.jp/data/china/image_1910th/80214398.pdf","80214398")</f>
        <v>80214398</v>
      </c>
      <c r="F1721" s="9" t="s">
        <v>4790</v>
      </c>
      <c r="G1721" s="9" t="s">
        <v>4791</v>
      </c>
      <c r="H1721" s="9" t="s">
        <v>4792</v>
      </c>
      <c r="I1721" s="10">
        <v>45510</v>
      </c>
    </row>
    <row r="1722" spans="1:9" x14ac:dyDescent="0.15">
      <c r="A1722" s="9">
        <v>1721</v>
      </c>
      <c r="B1722" s="9" t="s">
        <v>9</v>
      </c>
      <c r="C1722" s="9">
        <v>1910</v>
      </c>
      <c r="D1722" s="10">
        <v>45602</v>
      </c>
      <c r="E1722" s="13" t="str">
        <f>+HYPERLINK("http://trademark.i-assist.jp/data/china/image_1910th/80214399.pdf","80214399")</f>
        <v>80214399</v>
      </c>
      <c r="F1722" s="9" t="s">
        <v>4793</v>
      </c>
      <c r="G1722" s="9" t="s">
        <v>4493</v>
      </c>
      <c r="H1722" s="9" t="s">
        <v>4794</v>
      </c>
      <c r="I1722" s="10">
        <v>45510</v>
      </c>
    </row>
    <row r="1723" spans="1:9" x14ac:dyDescent="0.15">
      <c r="A1723" s="9">
        <v>1722</v>
      </c>
      <c r="B1723" s="9" t="s">
        <v>9</v>
      </c>
      <c r="C1723" s="9">
        <v>1910</v>
      </c>
      <c r="D1723" s="10">
        <v>45602</v>
      </c>
      <c r="E1723" s="13" t="str">
        <f>+HYPERLINK("http://trademark.i-assist.jp/data/china/image_1910th/80214679.pdf","80214679")</f>
        <v>80214679</v>
      </c>
      <c r="F1723" s="9" t="s">
        <v>4795</v>
      </c>
      <c r="G1723" s="9" t="s">
        <v>4796</v>
      </c>
      <c r="H1723" s="9" t="s">
        <v>4797</v>
      </c>
      <c r="I1723" s="10">
        <v>45510</v>
      </c>
    </row>
    <row r="1724" spans="1:9" x14ac:dyDescent="0.15">
      <c r="A1724" s="9">
        <v>1723</v>
      </c>
      <c r="B1724" s="9" t="s">
        <v>9</v>
      </c>
      <c r="C1724" s="9">
        <v>1910</v>
      </c>
      <c r="D1724" s="10">
        <v>45602</v>
      </c>
      <c r="E1724" s="13" t="str">
        <f>+HYPERLINK("http://trademark.i-assist.jp/data/china/image_1910th/80214850.pdf","80214850")</f>
        <v>80214850</v>
      </c>
      <c r="F1724" s="9" t="s">
        <v>4798</v>
      </c>
      <c r="G1724" s="9" t="s">
        <v>4799</v>
      </c>
      <c r="H1724" s="9" t="s">
        <v>4800</v>
      </c>
      <c r="I1724" s="10">
        <v>45510</v>
      </c>
    </row>
    <row r="1725" spans="1:9" x14ac:dyDescent="0.15">
      <c r="A1725" s="9">
        <v>1724</v>
      </c>
      <c r="B1725" s="9" t="s">
        <v>9</v>
      </c>
      <c r="C1725" s="9">
        <v>1910</v>
      </c>
      <c r="D1725" s="10">
        <v>45602</v>
      </c>
      <c r="E1725" s="13" t="str">
        <f>+HYPERLINK("http://trademark.i-assist.jp/data/china/image_1910th/80214890.pdf","80214890")</f>
        <v>80214890</v>
      </c>
      <c r="F1725" s="9" t="s">
        <v>4801</v>
      </c>
      <c r="G1725" s="9" t="s">
        <v>4802</v>
      </c>
      <c r="H1725" s="9" t="s">
        <v>4803</v>
      </c>
      <c r="I1725" s="10">
        <v>45510</v>
      </c>
    </row>
    <row r="1726" spans="1:9" x14ac:dyDescent="0.15">
      <c r="A1726" s="9">
        <v>1725</v>
      </c>
      <c r="B1726" s="9" t="s">
        <v>9</v>
      </c>
      <c r="C1726" s="9">
        <v>1910</v>
      </c>
      <c r="D1726" s="10">
        <v>45602</v>
      </c>
      <c r="E1726" s="13" t="str">
        <f>+HYPERLINK("http://trademark.i-assist.jp/data/china/image_1910th/80215030.pdf","80215030")</f>
        <v>80215030</v>
      </c>
      <c r="F1726" s="9" t="s">
        <v>4804</v>
      </c>
      <c r="G1726" s="11" t="s">
        <v>4479</v>
      </c>
      <c r="H1726" s="11" t="s">
        <v>4805</v>
      </c>
      <c r="I1726" s="10">
        <v>45510</v>
      </c>
    </row>
    <row r="1727" spans="1:9" x14ac:dyDescent="0.15">
      <c r="A1727" s="9">
        <v>1726</v>
      </c>
      <c r="B1727" s="9" t="s">
        <v>9</v>
      </c>
      <c r="C1727" s="9">
        <v>1910</v>
      </c>
      <c r="D1727" s="10">
        <v>45602</v>
      </c>
      <c r="E1727" s="13" t="str">
        <f>+HYPERLINK("http://trademark.i-assist.jp/data/china/image_1910th/80215063.pdf","80215063")</f>
        <v>80215063</v>
      </c>
      <c r="F1727" s="9" t="s">
        <v>4806</v>
      </c>
      <c r="G1727" s="11" t="s">
        <v>4398</v>
      </c>
      <c r="H1727" s="9" t="s">
        <v>4807</v>
      </c>
      <c r="I1727" s="10">
        <v>45510</v>
      </c>
    </row>
    <row r="1728" spans="1:9" x14ac:dyDescent="0.15">
      <c r="A1728" s="9">
        <v>1727</v>
      </c>
      <c r="B1728" s="9" t="s">
        <v>9</v>
      </c>
      <c r="C1728" s="9">
        <v>1910</v>
      </c>
      <c r="D1728" s="10">
        <v>45602</v>
      </c>
      <c r="E1728" s="13" t="str">
        <f>+HYPERLINK("http://trademark.i-assist.jp/data/china/image_1910th/80215118.pdf","80215118")</f>
        <v>80215118</v>
      </c>
      <c r="F1728" s="11" t="s">
        <v>4808</v>
      </c>
      <c r="G1728" s="11" t="s">
        <v>4809</v>
      </c>
      <c r="H1728" s="9" t="s">
        <v>4810</v>
      </c>
      <c r="I1728" s="10">
        <v>45510</v>
      </c>
    </row>
    <row r="1729" spans="1:9" x14ac:dyDescent="0.15">
      <c r="A1729" s="9">
        <v>1728</v>
      </c>
      <c r="B1729" s="9" t="s">
        <v>9</v>
      </c>
      <c r="C1729" s="9">
        <v>1910</v>
      </c>
      <c r="D1729" s="10">
        <v>45602</v>
      </c>
      <c r="E1729" s="13" t="str">
        <f>+HYPERLINK("http://trademark.i-assist.jp/data/china/image_1910th/80215130.pdf","80215130")</f>
        <v>80215130</v>
      </c>
      <c r="F1729" s="9" t="s">
        <v>4811</v>
      </c>
      <c r="G1729" s="9" t="s">
        <v>4812</v>
      </c>
      <c r="H1729" s="11" t="s">
        <v>4813</v>
      </c>
      <c r="I1729" s="10">
        <v>45510</v>
      </c>
    </row>
    <row r="1730" spans="1:9" x14ac:dyDescent="0.15">
      <c r="A1730" s="9">
        <v>1729</v>
      </c>
      <c r="B1730" s="9" t="s">
        <v>9</v>
      </c>
      <c r="C1730" s="9">
        <v>1910</v>
      </c>
      <c r="D1730" s="10">
        <v>45602</v>
      </c>
      <c r="E1730" s="13" t="str">
        <f>+HYPERLINK("http://trademark.i-assist.jp/data/china/image_1910th/80215282.pdf","80215282")</f>
        <v>80215282</v>
      </c>
      <c r="F1730" s="11" t="s">
        <v>4814</v>
      </c>
      <c r="G1730" s="9" t="s">
        <v>4815</v>
      </c>
      <c r="H1730" s="9" t="s">
        <v>4816</v>
      </c>
      <c r="I1730" s="10">
        <v>45510</v>
      </c>
    </row>
    <row r="1731" spans="1:9" x14ac:dyDescent="0.15">
      <c r="A1731" s="9">
        <v>1730</v>
      </c>
      <c r="B1731" s="9" t="s">
        <v>9</v>
      </c>
      <c r="C1731" s="9">
        <v>1910</v>
      </c>
      <c r="D1731" s="10">
        <v>45602</v>
      </c>
      <c r="E1731" s="13" t="str">
        <f>+HYPERLINK("http://trademark.i-assist.jp/data/china/image_1910th/80215413.pdf","80215413")</f>
        <v>80215413</v>
      </c>
      <c r="F1731" s="9" t="s">
        <v>4817</v>
      </c>
      <c r="G1731" s="9" t="s">
        <v>4619</v>
      </c>
      <c r="H1731" s="9" t="s">
        <v>4818</v>
      </c>
      <c r="I1731" s="10">
        <v>45510</v>
      </c>
    </row>
    <row r="1732" spans="1:9" x14ac:dyDescent="0.15">
      <c r="A1732" s="9">
        <v>1731</v>
      </c>
      <c r="B1732" s="9" t="s">
        <v>9</v>
      </c>
      <c r="C1732" s="9">
        <v>1910</v>
      </c>
      <c r="D1732" s="10">
        <v>45602</v>
      </c>
      <c r="E1732" s="13" t="str">
        <f>+HYPERLINK("http://trademark.i-assist.jp/data/china/image_1910th/80215540.pdf","80215540")</f>
        <v>80215540</v>
      </c>
      <c r="F1732" s="9" t="s">
        <v>4819</v>
      </c>
      <c r="G1732" s="9" t="s">
        <v>4820</v>
      </c>
      <c r="H1732" s="9" t="s">
        <v>4821</v>
      </c>
      <c r="I1732" s="10">
        <v>45510</v>
      </c>
    </row>
    <row r="1733" spans="1:9" x14ac:dyDescent="0.15">
      <c r="A1733" s="9">
        <v>1732</v>
      </c>
      <c r="B1733" s="9" t="s">
        <v>9</v>
      </c>
      <c r="C1733" s="9">
        <v>1910</v>
      </c>
      <c r="D1733" s="10">
        <v>45602</v>
      </c>
      <c r="E1733" s="13" t="str">
        <f>+HYPERLINK("http://trademark.i-assist.jp/data/china/image_1910th/80215652.pdf","80215652")</f>
        <v>80215652</v>
      </c>
      <c r="F1733" s="9" t="s">
        <v>4822</v>
      </c>
      <c r="G1733" s="11" t="s">
        <v>4823</v>
      </c>
      <c r="H1733" s="9" t="s">
        <v>4824</v>
      </c>
      <c r="I1733" s="10">
        <v>45510</v>
      </c>
    </row>
    <row r="1734" spans="1:9" x14ac:dyDescent="0.15">
      <c r="A1734" s="9">
        <v>1733</v>
      </c>
      <c r="B1734" s="9" t="s">
        <v>9</v>
      </c>
      <c r="C1734" s="9">
        <v>1910</v>
      </c>
      <c r="D1734" s="10">
        <v>45602</v>
      </c>
      <c r="E1734" s="13" t="str">
        <f>+HYPERLINK("http://trademark.i-assist.jp/data/china/image_1910th/80215720.pdf","80215720")</f>
        <v>80215720</v>
      </c>
      <c r="F1734" s="9" t="s">
        <v>4825</v>
      </c>
      <c r="G1734" s="9" t="s">
        <v>4670</v>
      </c>
      <c r="H1734" s="9" t="s">
        <v>4826</v>
      </c>
      <c r="I1734" s="10">
        <v>45510</v>
      </c>
    </row>
    <row r="1735" spans="1:9" x14ac:dyDescent="0.15">
      <c r="A1735" s="9">
        <v>1734</v>
      </c>
      <c r="B1735" s="9" t="s">
        <v>9</v>
      </c>
      <c r="C1735" s="9">
        <v>1910</v>
      </c>
      <c r="D1735" s="10">
        <v>45602</v>
      </c>
      <c r="E1735" s="13" t="str">
        <f>+HYPERLINK("http://trademark.i-assist.jp/data/china/image_1910th/80215737.pdf","80215737")</f>
        <v>80215737</v>
      </c>
      <c r="F1735" s="9" t="s">
        <v>4827</v>
      </c>
      <c r="G1735" s="9" t="s">
        <v>4828</v>
      </c>
      <c r="H1735" s="9" t="s">
        <v>4829</v>
      </c>
      <c r="I1735" s="10">
        <v>45510</v>
      </c>
    </row>
    <row r="1736" spans="1:9" x14ac:dyDescent="0.15">
      <c r="A1736" s="9">
        <v>1735</v>
      </c>
      <c r="B1736" s="9" t="s">
        <v>9</v>
      </c>
      <c r="C1736" s="9">
        <v>1910</v>
      </c>
      <c r="D1736" s="10">
        <v>45602</v>
      </c>
      <c r="E1736" s="13" t="str">
        <f>+HYPERLINK("http://trademark.i-assist.jp/data/china/image_1910th/80215750.pdf","80215750")</f>
        <v>80215750</v>
      </c>
      <c r="F1736" s="9" t="s">
        <v>4830</v>
      </c>
      <c r="G1736" s="9" t="s">
        <v>4831</v>
      </c>
      <c r="H1736" s="9" t="s">
        <v>4832</v>
      </c>
      <c r="I1736" s="10">
        <v>45510</v>
      </c>
    </row>
    <row r="1737" spans="1:9" x14ac:dyDescent="0.15">
      <c r="A1737" s="9">
        <v>1736</v>
      </c>
      <c r="B1737" s="9" t="s">
        <v>9</v>
      </c>
      <c r="C1737" s="9">
        <v>1910</v>
      </c>
      <c r="D1737" s="10">
        <v>45602</v>
      </c>
      <c r="E1737" s="13" t="str">
        <f>+HYPERLINK("http://trademark.i-assist.jp/data/china/image_1910th/80215778.pdf","80215778")</f>
        <v>80215778</v>
      </c>
      <c r="F1737" s="9" t="s">
        <v>4833</v>
      </c>
      <c r="G1737" s="9" t="s">
        <v>4834</v>
      </c>
      <c r="H1737" s="9" t="s">
        <v>4835</v>
      </c>
      <c r="I1737" s="10">
        <v>45510</v>
      </c>
    </row>
    <row r="1738" spans="1:9" x14ac:dyDescent="0.15">
      <c r="A1738" s="9">
        <v>1737</v>
      </c>
      <c r="B1738" s="9" t="s">
        <v>9</v>
      </c>
      <c r="C1738" s="9">
        <v>1910</v>
      </c>
      <c r="D1738" s="10">
        <v>45602</v>
      </c>
      <c r="E1738" s="13" t="str">
        <f>+HYPERLINK("http://trademark.i-assist.jp/data/china/image_1910th/80215792.pdf","80215792")</f>
        <v>80215792</v>
      </c>
      <c r="F1738" s="9" t="s">
        <v>4836</v>
      </c>
      <c r="G1738" s="9" t="s">
        <v>4837</v>
      </c>
      <c r="H1738" s="11" t="s">
        <v>4838</v>
      </c>
      <c r="I1738" s="10">
        <v>45510</v>
      </c>
    </row>
    <row r="1739" spans="1:9" x14ac:dyDescent="0.15">
      <c r="A1739" s="9">
        <v>1738</v>
      </c>
      <c r="B1739" s="9" t="s">
        <v>9</v>
      </c>
      <c r="C1739" s="9">
        <v>1910</v>
      </c>
      <c r="D1739" s="10">
        <v>45602</v>
      </c>
      <c r="E1739" s="13" t="str">
        <f>+HYPERLINK("http://trademark.i-assist.jp/data/china/image_1910th/80215810.pdf","80215810")</f>
        <v>80215810</v>
      </c>
      <c r="F1739" s="9" t="s">
        <v>4839</v>
      </c>
      <c r="G1739" s="9" t="s">
        <v>4840</v>
      </c>
      <c r="H1739" s="9" t="s">
        <v>4841</v>
      </c>
      <c r="I1739" s="10">
        <v>45510</v>
      </c>
    </row>
    <row r="1740" spans="1:9" x14ac:dyDescent="0.15">
      <c r="A1740" s="9">
        <v>1739</v>
      </c>
      <c r="B1740" s="9" t="s">
        <v>9</v>
      </c>
      <c r="C1740" s="9">
        <v>1910</v>
      </c>
      <c r="D1740" s="10">
        <v>45602</v>
      </c>
      <c r="E1740" s="13" t="str">
        <f>+HYPERLINK("http://trademark.i-assist.jp/data/china/image_1910th/80216047.pdf","80216047")</f>
        <v>80216047</v>
      </c>
      <c r="F1740" s="9" t="s">
        <v>4842</v>
      </c>
      <c r="G1740" s="9" t="s">
        <v>4799</v>
      </c>
      <c r="H1740" s="9" t="s">
        <v>4843</v>
      </c>
      <c r="I1740" s="10">
        <v>45510</v>
      </c>
    </row>
    <row r="1741" spans="1:9" x14ac:dyDescent="0.15">
      <c r="A1741" s="9">
        <v>1740</v>
      </c>
      <c r="B1741" s="9" t="s">
        <v>9</v>
      </c>
      <c r="C1741" s="9">
        <v>1910</v>
      </c>
      <c r="D1741" s="10">
        <v>45602</v>
      </c>
      <c r="E1741" s="13" t="str">
        <f>+HYPERLINK("http://trademark.i-assist.jp/data/china/image_1910th/80216224.pdf","80216224")</f>
        <v>80216224</v>
      </c>
      <c r="F1741" s="9" t="s">
        <v>4844</v>
      </c>
      <c r="G1741" s="9" t="s">
        <v>4512</v>
      </c>
      <c r="H1741" s="9" t="s">
        <v>4845</v>
      </c>
      <c r="I1741" s="10">
        <v>45510</v>
      </c>
    </row>
    <row r="1742" spans="1:9" x14ac:dyDescent="0.15">
      <c r="A1742" s="9">
        <v>1741</v>
      </c>
      <c r="B1742" s="9" t="s">
        <v>9</v>
      </c>
      <c r="C1742" s="9">
        <v>1910</v>
      </c>
      <c r="D1742" s="10">
        <v>45602</v>
      </c>
      <c r="E1742" s="13" t="str">
        <f>+HYPERLINK("http://trademark.i-assist.jp/data/china/image_1910th/80216229.pdf","80216229")</f>
        <v>80216229</v>
      </c>
      <c r="F1742" s="11" t="s">
        <v>4846</v>
      </c>
      <c r="G1742" s="9" t="s">
        <v>4512</v>
      </c>
      <c r="H1742" s="9" t="s">
        <v>4847</v>
      </c>
      <c r="I1742" s="10">
        <v>45510</v>
      </c>
    </row>
    <row r="1743" spans="1:9" x14ac:dyDescent="0.15">
      <c r="A1743" s="9">
        <v>1742</v>
      </c>
      <c r="B1743" s="9" t="s">
        <v>9</v>
      </c>
      <c r="C1743" s="9">
        <v>1910</v>
      </c>
      <c r="D1743" s="10">
        <v>45602</v>
      </c>
      <c r="E1743" s="13" t="str">
        <f>+HYPERLINK("http://trademark.i-assist.jp/data/china/image_1910th/80216260.pdf","80216260")</f>
        <v>80216260</v>
      </c>
      <c r="F1743" s="9" t="s">
        <v>4848</v>
      </c>
      <c r="G1743" s="9" t="s">
        <v>4849</v>
      </c>
      <c r="H1743" s="9" t="s">
        <v>4850</v>
      </c>
      <c r="I1743" s="10">
        <v>45510</v>
      </c>
    </row>
    <row r="1744" spans="1:9" x14ac:dyDescent="0.15">
      <c r="A1744" s="9">
        <v>1743</v>
      </c>
      <c r="B1744" s="9" t="s">
        <v>9</v>
      </c>
      <c r="C1744" s="9">
        <v>1910</v>
      </c>
      <c r="D1744" s="10">
        <v>45602</v>
      </c>
      <c r="E1744" s="13" t="str">
        <f>+HYPERLINK("http://trademark.i-assist.jp/data/china/image_1910th/80216632.pdf","80216632")</f>
        <v>80216632</v>
      </c>
      <c r="F1744" s="9" t="s">
        <v>4851</v>
      </c>
      <c r="G1744" s="9" t="s">
        <v>4852</v>
      </c>
      <c r="H1744" s="9" t="s">
        <v>4853</v>
      </c>
      <c r="I1744" s="10">
        <v>45510</v>
      </c>
    </row>
    <row r="1745" spans="1:9" x14ac:dyDescent="0.15">
      <c r="A1745" s="9">
        <v>1744</v>
      </c>
      <c r="B1745" s="9" t="s">
        <v>9</v>
      </c>
      <c r="C1745" s="9">
        <v>1910</v>
      </c>
      <c r="D1745" s="10">
        <v>45602</v>
      </c>
      <c r="E1745" s="13" t="str">
        <f>+HYPERLINK("http://trademark.i-assist.jp/data/china/image_1910th/80216642.pdf","80216642")</f>
        <v>80216642</v>
      </c>
      <c r="F1745" s="9" t="s">
        <v>4854</v>
      </c>
      <c r="G1745" s="9" t="s">
        <v>4855</v>
      </c>
      <c r="H1745" s="9" t="s">
        <v>4856</v>
      </c>
      <c r="I1745" s="10">
        <v>45510</v>
      </c>
    </row>
    <row r="1746" spans="1:9" x14ac:dyDescent="0.15">
      <c r="A1746" s="9">
        <v>1745</v>
      </c>
      <c r="B1746" s="9" t="s">
        <v>9</v>
      </c>
      <c r="C1746" s="9">
        <v>1910</v>
      </c>
      <c r="D1746" s="10">
        <v>45602</v>
      </c>
      <c r="E1746" s="13" t="str">
        <f>+HYPERLINK("http://trademark.i-assist.jp/data/china/image_1910th/80216677.pdf","80216677")</f>
        <v>80216677</v>
      </c>
      <c r="F1746" s="9" t="s">
        <v>4857</v>
      </c>
      <c r="G1746" s="9" t="s">
        <v>4858</v>
      </c>
      <c r="H1746" s="9" t="s">
        <v>4859</v>
      </c>
      <c r="I1746" s="10">
        <v>45510</v>
      </c>
    </row>
    <row r="1747" spans="1:9" x14ac:dyDescent="0.15">
      <c r="A1747" s="9">
        <v>1746</v>
      </c>
      <c r="B1747" s="9" t="s">
        <v>9</v>
      </c>
      <c r="C1747" s="9">
        <v>1910</v>
      </c>
      <c r="D1747" s="10">
        <v>45602</v>
      </c>
      <c r="E1747" s="13" t="str">
        <f>+HYPERLINK("http://trademark.i-assist.jp/data/china/image_1910th/80216871.pdf","80216871")</f>
        <v>80216871</v>
      </c>
      <c r="F1747" s="11" t="s">
        <v>4860</v>
      </c>
      <c r="G1747" s="9" t="s">
        <v>4861</v>
      </c>
      <c r="H1747" s="9" t="s">
        <v>4862</v>
      </c>
      <c r="I1747" s="10">
        <v>45510</v>
      </c>
    </row>
    <row r="1748" spans="1:9" x14ac:dyDescent="0.15">
      <c r="A1748" s="9">
        <v>1747</v>
      </c>
      <c r="B1748" s="9" t="s">
        <v>9</v>
      </c>
      <c r="C1748" s="9">
        <v>1910</v>
      </c>
      <c r="D1748" s="10">
        <v>45602</v>
      </c>
      <c r="E1748" s="13" t="str">
        <f>+HYPERLINK("http://trademark.i-assist.jp/data/china/image_1910th/80216881.pdf","80216881")</f>
        <v>80216881</v>
      </c>
      <c r="F1748" s="9" t="s">
        <v>4863</v>
      </c>
      <c r="G1748" s="11" t="s">
        <v>4864</v>
      </c>
      <c r="H1748" s="9" t="s">
        <v>4865</v>
      </c>
      <c r="I1748" s="10">
        <v>45510</v>
      </c>
    </row>
    <row r="1749" spans="1:9" x14ac:dyDescent="0.15">
      <c r="A1749" s="9">
        <v>1748</v>
      </c>
      <c r="B1749" s="9" t="s">
        <v>9</v>
      </c>
      <c r="C1749" s="9">
        <v>1910</v>
      </c>
      <c r="D1749" s="10">
        <v>45602</v>
      </c>
      <c r="E1749" s="13" t="str">
        <f>+HYPERLINK("http://trademark.i-assist.jp/data/china/image_1910th/80216882.pdf","80216882")</f>
        <v>80216882</v>
      </c>
      <c r="F1749" s="9" t="s">
        <v>4866</v>
      </c>
      <c r="G1749" s="9" t="s">
        <v>4485</v>
      </c>
      <c r="H1749" s="9" t="s">
        <v>4867</v>
      </c>
      <c r="I1749" s="10">
        <v>45510</v>
      </c>
    </row>
    <row r="1750" spans="1:9" x14ac:dyDescent="0.15">
      <c r="A1750" s="9">
        <v>1749</v>
      </c>
      <c r="B1750" s="9" t="s">
        <v>9</v>
      </c>
      <c r="C1750" s="9">
        <v>1910</v>
      </c>
      <c r="D1750" s="10">
        <v>45602</v>
      </c>
      <c r="E1750" s="13" t="str">
        <f>+HYPERLINK("http://trademark.i-assist.jp/data/china/image_1910th/80216888.pdf","80216888")</f>
        <v>80216888</v>
      </c>
      <c r="F1750" s="9" t="s">
        <v>4868</v>
      </c>
      <c r="G1750" s="9" t="s">
        <v>168</v>
      </c>
      <c r="H1750" s="9" t="s">
        <v>4869</v>
      </c>
      <c r="I1750" s="10">
        <v>45510</v>
      </c>
    </row>
    <row r="1751" spans="1:9" x14ac:dyDescent="0.15">
      <c r="A1751" s="9">
        <v>1750</v>
      </c>
      <c r="B1751" s="9" t="s">
        <v>9</v>
      </c>
      <c r="C1751" s="9">
        <v>1910</v>
      </c>
      <c r="D1751" s="10">
        <v>45602</v>
      </c>
      <c r="E1751" s="13" t="str">
        <f>+HYPERLINK("http://trademark.i-assist.jp/data/china/image_1910th/80217005.pdf","80217005")</f>
        <v>80217005</v>
      </c>
      <c r="F1751" s="11" t="s">
        <v>4870</v>
      </c>
      <c r="G1751" s="9" t="s">
        <v>4694</v>
      </c>
      <c r="H1751" s="9" t="s">
        <v>4871</v>
      </c>
      <c r="I1751" s="10">
        <v>45510</v>
      </c>
    </row>
    <row r="1752" spans="1:9" x14ac:dyDescent="0.15">
      <c r="A1752" s="9">
        <v>1751</v>
      </c>
      <c r="B1752" s="9" t="s">
        <v>9</v>
      </c>
      <c r="C1752" s="9">
        <v>1910</v>
      </c>
      <c r="D1752" s="10">
        <v>45602</v>
      </c>
      <c r="E1752" s="13" t="str">
        <f>+HYPERLINK("http://trademark.i-assist.jp/data/china/image_1910th/80217014.pdf","80217014")</f>
        <v>80217014</v>
      </c>
      <c r="F1752" s="9" t="s">
        <v>4872</v>
      </c>
      <c r="G1752" s="9" t="s">
        <v>4694</v>
      </c>
      <c r="H1752" s="9" t="s">
        <v>4873</v>
      </c>
      <c r="I1752" s="10">
        <v>45510</v>
      </c>
    </row>
    <row r="1753" spans="1:9" x14ac:dyDescent="0.15">
      <c r="A1753" s="9">
        <v>1752</v>
      </c>
      <c r="B1753" s="9" t="s">
        <v>9</v>
      </c>
      <c r="C1753" s="9">
        <v>1910</v>
      </c>
      <c r="D1753" s="10">
        <v>45602</v>
      </c>
      <c r="E1753" s="13" t="str">
        <f>+HYPERLINK("http://trademark.i-assist.jp/data/china/image_1910th/80217124.pdf","80217124")</f>
        <v>80217124</v>
      </c>
      <c r="F1753" s="9" t="s">
        <v>4874</v>
      </c>
      <c r="G1753" s="11" t="s">
        <v>4875</v>
      </c>
      <c r="H1753" s="9" t="s">
        <v>4876</v>
      </c>
      <c r="I1753" s="10">
        <v>45510</v>
      </c>
    </row>
    <row r="1754" spans="1:9" x14ac:dyDescent="0.15">
      <c r="A1754" s="9">
        <v>1753</v>
      </c>
      <c r="B1754" s="9" t="s">
        <v>9</v>
      </c>
      <c r="C1754" s="9">
        <v>1910</v>
      </c>
      <c r="D1754" s="10">
        <v>45602</v>
      </c>
      <c r="E1754" s="13" t="str">
        <f>+HYPERLINK("http://trademark.i-assist.jp/data/china/image_1910th/80217337.pdf","80217337")</f>
        <v>80217337</v>
      </c>
      <c r="F1754" s="9" t="s">
        <v>4877</v>
      </c>
      <c r="G1754" s="9" t="s">
        <v>4464</v>
      </c>
      <c r="H1754" s="9" t="s">
        <v>4878</v>
      </c>
      <c r="I1754" s="10">
        <v>45510</v>
      </c>
    </row>
    <row r="1755" spans="1:9" x14ac:dyDescent="0.15">
      <c r="A1755" s="9">
        <v>1754</v>
      </c>
      <c r="B1755" s="9" t="s">
        <v>9</v>
      </c>
      <c r="C1755" s="9">
        <v>1910</v>
      </c>
      <c r="D1755" s="10">
        <v>45602</v>
      </c>
      <c r="E1755" s="13" t="str">
        <f>+HYPERLINK("http://trademark.i-assist.jp/data/china/image_1910th/80217660.pdf","80217660")</f>
        <v>80217660</v>
      </c>
      <c r="F1755" s="9" t="s">
        <v>4879</v>
      </c>
      <c r="G1755" s="9" t="s">
        <v>4880</v>
      </c>
      <c r="H1755" s="9" t="s">
        <v>4881</v>
      </c>
      <c r="I1755" s="10">
        <v>45510</v>
      </c>
    </row>
    <row r="1756" spans="1:9" x14ac:dyDescent="0.15">
      <c r="A1756" s="9">
        <v>1755</v>
      </c>
      <c r="B1756" s="9" t="s">
        <v>9</v>
      </c>
      <c r="C1756" s="9">
        <v>1910</v>
      </c>
      <c r="D1756" s="10">
        <v>45602</v>
      </c>
      <c r="E1756" s="13" t="str">
        <f>+HYPERLINK("http://trademark.i-assist.jp/data/china/image_1910th/80217667.pdf","80217667")</f>
        <v>80217667</v>
      </c>
      <c r="F1756" s="9" t="s">
        <v>4882</v>
      </c>
      <c r="G1756" s="9" t="s">
        <v>4493</v>
      </c>
      <c r="H1756" s="9" t="s">
        <v>4883</v>
      </c>
      <c r="I1756" s="10">
        <v>45510</v>
      </c>
    </row>
    <row r="1757" spans="1:9" x14ac:dyDescent="0.15">
      <c r="A1757" s="9">
        <v>1756</v>
      </c>
      <c r="B1757" s="9" t="s">
        <v>9</v>
      </c>
      <c r="C1757" s="9">
        <v>1910</v>
      </c>
      <c r="D1757" s="10">
        <v>45602</v>
      </c>
      <c r="E1757" s="13" t="str">
        <f>+HYPERLINK("http://trademark.i-assist.jp/data/china/image_1910th/80217719.pdf","80217719")</f>
        <v>80217719</v>
      </c>
      <c r="F1757" s="9" t="s">
        <v>4884</v>
      </c>
      <c r="G1757" s="9" t="s">
        <v>4512</v>
      </c>
      <c r="H1757" s="11" t="s">
        <v>4885</v>
      </c>
      <c r="I1757" s="10">
        <v>45510</v>
      </c>
    </row>
    <row r="1758" spans="1:9" x14ac:dyDescent="0.15">
      <c r="A1758" s="9">
        <v>1757</v>
      </c>
      <c r="B1758" s="9" t="s">
        <v>9</v>
      </c>
      <c r="C1758" s="9">
        <v>1910</v>
      </c>
      <c r="D1758" s="10">
        <v>45602</v>
      </c>
      <c r="E1758" s="13" t="str">
        <f>+HYPERLINK("http://trademark.i-assist.jp/data/china/image_1910th/80217735.pdf","80217735")</f>
        <v>80217735</v>
      </c>
      <c r="F1758" s="9" t="s">
        <v>4886</v>
      </c>
      <c r="G1758" s="9" t="s">
        <v>4512</v>
      </c>
      <c r="H1758" s="9" t="s">
        <v>4887</v>
      </c>
      <c r="I1758" s="10">
        <v>45510</v>
      </c>
    </row>
    <row r="1759" spans="1:9" x14ac:dyDescent="0.15">
      <c r="A1759" s="9">
        <v>1758</v>
      </c>
      <c r="B1759" s="9" t="s">
        <v>9</v>
      </c>
      <c r="C1759" s="9">
        <v>1910</v>
      </c>
      <c r="D1759" s="10">
        <v>45602</v>
      </c>
      <c r="E1759" s="13" t="str">
        <f>+HYPERLINK("http://trademark.i-assist.jp/data/china/image_1910th/80217848.pdf","80217848")</f>
        <v>80217848</v>
      </c>
      <c r="F1759" s="11" t="s">
        <v>4888</v>
      </c>
      <c r="G1759" s="9" t="s">
        <v>4889</v>
      </c>
      <c r="H1759" s="9" t="s">
        <v>4890</v>
      </c>
      <c r="I1759" s="10">
        <v>45510</v>
      </c>
    </row>
    <row r="1760" spans="1:9" x14ac:dyDescent="0.15">
      <c r="A1760" s="9">
        <v>1759</v>
      </c>
      <c r="B1760" s="9" t="s">
        <v>9</v>
      </c>
      <c r="C1760" s="9">
        <v>1910</v>
      </c>
      <c r="D1760" s="10">
        <v>45602</v>
      </c>
      <c r="E1760" s="13" t="str">
        <f>+HYPERLINK("http://trademark.i-assist.jp/data/china/image_1910th/80218031.pdf","80218031")</f>
        <v>80218031</v>
      </c>
      <c r="F1760" s="9" t="s">
        <v>4891</v>
      </c>
      <c r="G1760" s="9" t="s">
        <v>4892</v>
      </c>
      <c r="H1760" s="9" t="s">
        <v>4893</v>
      </c>
      <c r="I1760" s="10">
        <v>45510</v>
      </c>
    </row>
    <row r="1761" spans="1:9" x14ac:dyDescent="0.15">
      <c r="A1761" s="9">
        <v>1760</v>
      </c>
      <c r="B1761" s="9" t="s">
        <v>9</v>
      </c>
      <c r="C1761" s="9">
        <v>1910</v>
      </c>
      <c r="D1761" s="10">
        <v>45602</v>
      </c>
      <c r="E1761" s="13" t="str">
        <f>+HYPERLINK("http://trademark.i-assist.jp/data/china/image_1910th/80218083.pdf","80218083")</f>
        <v>80218083</v>
      </c>
      <c r="F1761" s="11" t="s">
        <v>4894</v>
      </c>
      <c r="G1761" s="9" t="s">
        <v>4895</v>
      </c>
      <c r="H1761" s="9" t="s">
        <v>4896</v>
      </c>
      <c r="I1761" s="10">
        <v>45510</v>
      </c>
    </row>
    <row r="1762" spans="1:9" x14ac:dyDescent="0.15">
      <c r="A1762" s="9">
        <v>1761</v>
      </c>
      <c r="B1762" s="9" t="s">
        <v>9</v>
      </c>
      <c r="C1762" s="9">
        <v>1910</v>
      </c>
      <c r="D1762" s="10">
        <v>45602</v>
      </c>
      <c r="E1762" s="13" t="str">
        <f>+HYPERLINK("http://trademark.i-assist.jp/data/china/image_1910th/80218318.pdf","80218318")</f>
        <v>80218318</v>
      </c>
      <c r="F1762" s="11" t="s">
        <v>4897</v>
      </c>
      <c r="G1762" s="11" t="s">
        <v>4898</v>
      </c>
      <c r="H1762" s="9" t="s">
        <v>4899</v>
      </c>
      <c r="I1762" s="10">
        <v>45510</v>
      </c>
    </row>
    <row r="1763" spans="1:9" x14ac:dyDescent="0.15">
      <c r="A1763" s="9">
        <v>1762</v>
      </c>
      <c r="B1763" s="9" t="s">
        <v>9</v>
      </c>
      <c r="C1763" s="9">
        <v>1910</v>
      </c>
      <c r="D1763" s="10">
        <v>45602</v>
      </c>
      <c r="E1763" s="13" t="str">
        <f>+HYPERLINK("http://trademark.i-assist.jp/data/china/image_1910th/80218352.pdf","80218352")</f>
        <v>80218352</v>
      </c>
      <c r="F1763" s="9" t="s">
        <v>4900</v>
      </c>
      <c r="G1763" s="9" t="s">
        <v>4583</v>
      </c>
      <c r="H1763" s="9" t="s">
        <v>4901</v>
      </c>
      <c r="I1763" s="10">
        <v>45510</v>
      </c>
    </row>
    <row r="1764" spans="1:9" x14ac:dyDescent="0.15">
      <c r="A1764" s="9">
        <v>1763</v>
      </c>
      <c r="B1764" s="9" t="s">
        <v>9</v>
      </c>
      <c r="C1764" s="9">
        <v>1910</v>
      </c>
      <c r="D1764" s="10">
        <v>45602</v>
      </c>
      <c r="E1764" s="13" t="str">
        <f>+HYPERLINK("http://trademark.i-assist.jp/data/china/image_1910th/80218492.pdf","80218492")</f>
        <v>80218492</v>
      </c>
      <c r="F1764" s="11" t="s">
        <v>4902</v>
      </c>
      <c r="G1764" s="9" t="s">
        <v>4903</v>
      </c>
      <c r="H1764" s="9" t="s">
        <v>4904</v>
      </c>
      <c r="I1764" s="10">
        <v>45510</v>
      </c>
    </row>
    <row r="1765" spans="1:9" x14ac:dyDescent="0.15">
      <c r="A1765" s="9">
        <v>1764</v>
      </c>
      <c r="B1765" s="9" t="s">
        <v>9</v>
      </c>
      <c r="C1765" s="9">
        <v>1910</v>
      </c>
      <c r="D1765" s="10">
        <v>45602</v>
      </c>
      <c r="E1765" s="13" t="str">
        <f>+HYPERLINK("http://trademark.i-assist.jp/data/china/image_1910th/80218606.pdf","80218606")</f>
        <v>80218606</v>
      </c>
      <c r="F1765" s="11" t="s">
        <v>4905</v>
      </c>
      <c r="G1765" s="11" t="s">
        <v>4906</v>
      </c>
      <c r="H1765" s="9" t="s">
        <v>4907</v>
      </c>
      <c r="I1765" s="10">
        <v>45510</v>
      </c>
    </row>
    <row r="1766" spans="1:9" x14ac:dyDescent="0.15">
      <c r="A1766" s="9">
        <v>1765</v>
      </c>
      <c r="B1766" s="9" t="s">
        <v>9</v>
      </c>
      <c r="C1766" s="9">
        <v>1910</v>
      </c>
      <c r="D1766" s="10">
        <v>45602</v>
      </c>
      <c r="E1766" s="13" t="str">
        <f>+HYPERLINK("http://trademark.i-assist.jp/data/china/image_1910th/80218772.pdf","80218772")</f>
        <v>80218772</v>
      </c>
      <c r="F1766" s="9" t="s">
        <v>4908</v>
      </c>
      <c r="G1766" s="9" t="s">
        <v>4657</v>
      </c>
      <c r="H1766" s="9" t="s">
        <v>4909</v>
      </c>
      <c r="I1766" s="10">
        <v>45510</v>
      </c>
    </row>
    <row r="1767" spans="1:9" x14ac:dyDescent="0.15">
      <c r="A1767" s="9">
        <v>1766</v>
      </c>
      <c r="B1767" s="9" t="s">
        <v>9</v>
      </c>
      <c r="C1767" s="9">
        <v>1910</v>
      </c>
      <c r="D1767" s="10">
        <v>45602</v>
      </c>
      <c r="E1767" s="13" t="str">
        <f>+HYPERLINK("http://trademark.i-assist.jp/data/china/image_1910th/80218902.pdf","80218902")</f>
        <v>80218902</v>
      </c>
      <c r="F1767" s="9" t="s">
        <v>4910</v>
      </c>
      <c r="G1767" s="9" t="s">
        <v>4464</v>
      </c>
      <c r="H1767" s="9" t="s">
        <v>4911</v>
      </c>
      <c r="I1767" s="10">
        <v>45510</v>
      </c>
    </row>
    <row r="1768" spans="1:9" x14ac:dyDescent="0.15">
      <c r="A1768" s="9">
        <v>1767</v>
      </c>
      <c r="B1768" s="9" t="s">
        <v>9</v>
      </c>
      <c r="C1768" s="9">
        <v>1910</v>
      </c>
      <c r="D1768" s="10">
        <v>45602</v>
      </c>
      <c r="E1768" s="13" t="str">
        <f>+HYPERLINK("http://trademark.i-assist.jp/data/china/image_1910th/80218904.pdf","80218904")</f>
        <v>80218904</v>
      </c>
      <c r="F1768" s="9" t="s">
        <v>4912</v>
      </c>
      <c r="G1768" s="9" t="s">
        <v>4464</v>
      </c>
      <c r="H1768" s="9" t="s">
        <v>4913</v>
      </c>
      <c r="I1768" s="10">
        <v>45510</v>
      </c>
    </row>
    <row r="1769" spans="1:9" x14ac:dyDescent="0.15">
      <c r="A1769" s="9">
        <v>1768</v>
      </c>
      <c r="B1769" s="9" t="s">
        <v>9</v>
      </c>
      <c r="C1769" s="9">
        <v>1910</v>
      </c>
      <c r="D1769" s="10">
        <v>45602</v>
      </c>
      <c r="E1769" s="13" t="str">
        <f>+HYPERLINK("http://trademark.i-assist.jp/data/china/image_1910th/80218927.pdf","80218927")</f>
        <v>80218927</v>
      </c>
      <c r="F1769" s="9" t="s">
        <v>4914</v>
      </c>
      <c r="G1769" s="9" t="s">
        <v>4915</v>
      </c>
      <c r="H1769" s="9" t="s">
        <v>4916</v>
      </c>
      <c r="I1769" s="10">
        <v>45510</v>
      </c>
    </row>
    <row r="1770" spans="1:9" x14ac:dyDescent="0.15">
      <c r="A1770" s="9">
        <v>1769</v>
      </c>
      <c r="B1770" s="9" t="s">
        <v>9</v>
      </c>
      <c r="C1770" s="9">
        <v>1910</v>
      </c>
      <c r="D1770" s="10">
        <v>45602</v>
      </c>
      <c r="E1770" s="13" t="str">
        <f>+HYPERLINK("http://trademark.i-assist.jp/data/china/image_1910th/80219072.pdf","80219072")</f>
        <v>80219072</v>
      </c>
      <c r="F1770" s="11" t="s">
        <v>19</v>
      </c>
      <c r="G1770" s="9" t="s">
        <v>4917</v>
      </c>
      <c r="H1770" s="9" t="s">
        <v>4918</v>
      </c>
      <c r="I1770" s="10">
        <v>45510</v>
      </c>
    </row>
    <row r="1771" spans="1:9" x14ac:dyDescent="0.15">
      <c r="A1771" s="9">
        <v>1770</v>
      </c>
      <c r="B1771" s="9" t="s">
        <v>9</v>
      </c>
      <c r="C1771" s="9">
        <v>1910</v>
      </c>
      <c r="D1771" s="10">
        <v>45602</v>
      </c>
      <c r="E1771" s="13" t="str">
        <f>+HYPERLINK("http://trademark.i-assist.jp/data/china/image_1910th/80219081.pdf","80219081")</f>
        <v>80219081</v>
      </c>
      <c r="F1771" s="9" t="s">
        <v>4919</v>
      </c>
      <c r="G1771" s="11" t="s">
        <v>4432</v>
      </c>
      <c r="H1771" s="9" t="s">
        <v>4920</v>
      </c>
      <c r="I1771" s="10">
        <v>45510</v>
      </c>
    </row>
    <row r="1772" spans="1:9" x14ac:dyDescent="0.15">
      <c r="A1772" s="9">
        <v>1771</v>
      </c>
      <c r="B1772" s="9" t="s">
        <v>9</v>
      </c>
      <c r="C1772" s="9">
        <v>1910</v>
      </c>
      <c r="D1772" s="10">
        <v>45602</v>
      </c>
      <c r="E1772" s="13" t="str">
        <f>+HYPERLINK("http://trademark.i-assist.jp/data/china/image_1910th/80219093.pdf","80219093")</f>
        <v>80219093</v>
      </c>
      <c r="F1772" s="9" t="s">
        <v>4921</v>
      </c>
      <c r="G1772" s="9" t="s">
        <v>4922</v>
      </c>
      <c r="H1772" s="9" t="s">
        <v>4923</v>
      </c>
      <c r="I1772" s="10">
        <v>45510</v>
      </c>
    </row>
    <row r="1773" spans="1:9" x14ac:dyDescent="0.15">
      <c r="A1773" s="9">
        <v>1772</v>
      </c>
      <c r="B1773" s="9" t="s">
        <v>9</v>
      </c>
      <c r="C1773" s="9">
        <v>1910</v>
      </c>
      <c r="D1773" s="10">
        <v>45602</v>
      </c>
      <c r="E1773" s="13" t="str">
        <f>+HYPERLINK("http://trademark.i-assist.jp/data/china/image_1910th/80219124.pdf","80219124")</f>
        <v>80219124</v>
      </c>
      <c r="F1773" s="11" t="s">
        <v>4924</v>
      </c>
      <c r="G1773" s="9" t="s">
        <v>4925</v>
      </c>
      <c r="H1773" s="9" t="s">
        <v>4926</v>
      </c>
      <c r="I1773" s="10">
        <v>45510</v>
      </c>
    </row>
    <row r="1774" spans="1:9" x14ac:dyDescent="0.15">
      <c r="A1774" s="9">
        <v>1773</v>
      </c>
      <c r="B1774" s="9" t="s">
        <v>9</v>
      </c>
      <c r="C1774" s="9">
        <v>1910</v>
      </c>
      <c r="D1774" s="10">
        <v>45602</v>
      </c>
      <c r="E1774" s="13" t="str">
        <f>+HYPERLINK("http://trademark.i-assist.jp/data/china/image_1910th/80219176.pdf","80219176")</f>
        <v>80219176</v>
      </c>
      <c r="F1774" s="9" t="s">
        <v>4927</v>
      </c>
      <c r="G1774" s="11" t="s">
        <v>4928</v>
      </c>
      <c r="H1774" s="9" t="s">
        <v>10</v>
      </c>
      <c r="I1774" s="10">
        <v>45510</v>
      </c>
    </row>
    <row r="1775" spans="1:9" x14ac:dyDescent="0.15">
      <c r="A1775" s="9">
        <v>1774</v>
      </c>
      <c r="B1775" s="9" t="s">
        <v>9</v>
      </c>
      <c r="C1775" s="9">
        <v>1910</v>
      </c>
      <c r="D1775" s="10">
        <v>45602</v>
      </c>
      <c r="E1775" s="13" t="str">
        <f>+HYPERLINK("http://trademark.i-assist.jp/data/china/image_1910th/80219351.pdf","80219351")</f>
        <v>80219351</v>
      </c>
      <c r="F1775" s="9" t="s">
        <v>4929</v>
      </c>
      <c r="G1775" s="9" t="s">
        <v>167</v>
      </c>
      <c r="H1775" s="9" t="s">
        <v>4930</v>
      </c>
      <c r="I1775" s="10">
        <v>45510</v>
      </c>
    </row>
    <row r="1776" spans="1:9" x14ac:dyDescent="0.15">
      <c r="A1776" s="9">
        <v>1775</v>
      </c>
      <c r="B1776" s="9" t="s">
        <v>9</v>
      </c>
      <c r="C1776" s="9">
        <v>1910</v>
      </c>
      <c r="D1776" s="10">
        <v>45602</v>
      </c>
      <c r="E1776" s="13" t="str">
        <f>+HYPERLINK("http://trademark.i-assist.jp/data/china/image_1910th/80219556.pdf","80219556")</f>
        <v>80219556</v>
      </c>
      <c r="F1776" s="11" t="s">
        <v>4931</v>
      </c>
      <c r="G1776" s="11" t="s">
        <v>4447</v>
      </c>
      <c r="H1776" s="9" t="s">
        <v>4932</v>
      </c>
      <c r="I1776" s="10">
        <v>45510</v>
      </c>
    </row>
    <row r="1777" spans="1:9" x14ac:dyDescent="0.15">
      <c r="A1777" s="9">
        <v>1776</v>
      </c>
      <c r="B1777" s="9" t="s">
        <v>9</v>
      </c>
      <c r="C1777" s="9">
        <v>1910</v>
      </c>
      <c r="D1777" s="10">
        <v>45602</v>
      </c>
      <c r="E1777" s="13" t="str">
        <f>+HYPERLINK("http://trademark.i-assist.jp/data/china/image_1910th/80219646.pdf","80219646")</f>
        <v>80219646</v>
      </c>
      <c r="F1777" s="11" t="s">
        <v>4933</v>
      </c>
      <c r="G1777" s="11" t="s">
        <v>4934</v>
      </c>
      <c r="H1777" s="9" t="s">
        <v>4935</v>
      </c>
      <c r="I1777" s="10">
        <v>45510</v>
      </c>
    </row>
    <row r="1778" spans="1:9" x14ac:dyDescent="0.15">
      <c r="A1778" s="9">
        <v>1777</v>
      </c>
      <c r="B1778" s="9" t="s">
        <v>9</v>
      </c>
      <c r="C1778" s="9">
        <v>1910</v>
      </c>
      <c r="D1778" s="10">
        <v>45602</v>
      </c>
      <c r="E1778" s="13" t="str">
        <f>+HYPERLINK("http://trademark.i-assist.jp/data/china/image_1910th/80219807.pdf","80219807")</f>
        <v>80219807</v>
      </c>
      <c r="F1778" s="9" t="s">
        <v>4495</v>
      </c>
      <c r="G1778" s="9" t="s">
        <v>4496</v>
      </c>
      <c r="H1778" s="9" t="s">
        <v>4936</v>
      </c>
      <c r="I1778" s="10">
        <v>45510</v>
      </c>
    </row>
    <row r="1779" spans="1:9" x14ac:dyDescent="0.15">
      <c r="A1779" s="9">
        <v>1778</v>
      </c>
      <c r="B1779" s="9" t="s">
        <v>9</v>
      </c>
      <c r="C1779" s="9">
        <v>1910</v>
      </c>
      <c r="D1779" s="10">
        <v>45602</v>
      </c>
      <c r="E1779" s="13" t="str">
        <f>+HYPERLINK("http://trademark.i-assist.jp/data/china/image_1910th/80219826.pdf","80219826")</f>
        <v>80219826</v>
      </c>
      <c r="F1779" s="9" t="s">
        <v>4937</v>
      </c>
      <c r="G1779" s="11" t="s">
        <v>4938</v>
      </c>
      <c r="H1779" s="9" t="s">
        <v>4939</v>
      </c>
      <c r="I1779" s="10">
        <v>45510</v>
      </c>
    </row>
    <row r="1780" spans="1:9" x14ac:dyDescent="0.15">
      <c r="A1780" s="9">
        <v>1779</v>
      </c>
      <c r="B1780" s="9" t="s">
        <v>9</v>
      </c>
      <c r="C1780" s="9">
        <v>1910</v>
      </c>
      <c r="D1780" s="10">
        <v>45602</v>
      </c>
      <c r="E1780" s="13" t="str">
        <f>+HYPERLINK("http://trademark.i-assist.jp/data/china/image_1910th/80219832.pdf","80219832")</f>
        <v>80219832</v>
      </c>
      <c r="F1780" s="9" t="s">
        <v>4495</v>
      </c>
      <c r="G1780" s="9" t="s">
        <v>4496</v>
      </c>
      <c r="H1780" s="9" t="s">
        <v>4940</v>
      </c>
      <c r="I1780" s="10">
        <v>45510</v>
      </c>
    </row>
    <row r="1781" spans="1:9" x14ac:dyDescent="0.15">
      <c r="A1781" s="9">
        <v>1780</v>
      </c>
      <c r="B1781" s="9" t="s">
        <v>9</v>
      </c>
      <c r="C1781" s="9">
        <v>1910</v>
      </c>
      <c r="D1781" s="10">
        <v>45602</v>
      </c>
      <c r="E1781" s="13" t="str">
        <f>+HYPERLINK("http://trademark.i-assist.jp/data/china/image_1910th/80220219.pdf","80220219")</f>
        <v>80220219</v>
      </c>
      <c r="F1781" s="9" t="s">
        <v>4941</v>
      </c>
      <c r="G1781" s="11" t="s">
        <v>4942</v>
      </c>
      <c r="H1781" s="9" t="s">
        <v>4943</v>
      </c>
      <c r="I1781" s="10">
        <v>45511</v>
      </c>
    </row>
    <row r="1782" spans="1:9" x14ac:dyDescent="0.15">
      <c r="A1782" s="9">
        <v>1781</v>
      </c>
      <c r="B1782" s="9" t="s">
        <v>9</v>
      </c>
      <c r="C1782" s="9">
        <v>1910</v>
      </c>
      <c r="D1782" s="10">
        <v>45602</v>
      </c>
      <c r="E1782" s="13" t="str">
        <f>+HYPERLINK("http://trademark.i-assist.jp/data/china/image_1910th/80220578.pdf","80220578")</f>
        <v>80220578</v>
      </c>
      <c r="F1782" s="9" t="s">
        <v>4944</v>
      </c>
      <c r="G1782" s="11" t="s">
        <v>4945</v>
      </c>
      <c r="H1782" s="9" t="s">
        <v>4946</v>
      </c>
      <c r="I1782" s="10">
        <v>45511</v>
      </c>
    </row>
    <row r="1783" spans="1:9" x14ac:dyDescent="0.15">
      <c r="A1783" s="9">
        <v>1782</v>
      </c>
      <c r="B1783" s="9" t="s">
        <v>9</v>
      </c>
      <c r="C1783" s="9">
        <v>1910</v>
      </c>
      <c r="D1783" s="10">
        <v>45602</v>
      </c>
      <c r="E1783" s="13" t="str">
        <f>+HYPERLINK("http://trademark.i-assist.jp/data/china/image_1910th/80220585.pdf","80220585")</f>
        <v>80220585</v>
      </c>
      <c r="F1783" s="9" t="s">
        <v>4947</v>
      </c>
      <c r="G1783" s="11" t="s">
        <v>4948</v>
      </c>
      <c r="H1783" s="9" t="s">
        <v>4949</v>
      </c>
      <c r="I1783" s="10">
        <v>45511</v>
      </c>
    </row>
    <row r="1784" spans="1:9" x14ac:dyDescent="0.15">
      <c r="A1784" s="9">
        <v>1783</v>
      </c>
      <c r="B1784" s="9" t="s">
        <v>9</v>
      </c>
      <c r="C1784" s="9">
        <v>1910</v>
      </c>
      <c r="D1784" s="10">
        <v>45602</v>
      </c>
      <c r="E1784" s="13" t="str">
        <f>+HYPERLINK("http://trademark.i-assist.jp/data/china/image_1910th/80220624.pdf","80220624")</f>
        <v>80220624</v>
      </c>
      <c r="F1784" s="9" t="s">
        <v>4950</v>
      </c>
      <c r="G1784" s="9" t="s">
        <v>4951</v>
      </c>
      <c r="H1784" s="9" t="s">
        <v>16</v>
      </c>
      <c r="I1784" s="10">
        <v>45511</v>
      </c>
    </row>
    <row r="1785" spans="1:9" x14ac:dyDescent="0.15">
      <c r="A1785" s="9">
        <v>1784</v>
      </c>
      <c r="B1785" s="9" t="s">
        <v>9</v>
      </c>
      <c r="C1785" s="9">
        <v>1910</v>
      </c>
      <c r="D1785" s="10">
        <v>45602</v>
      </c>
      <c r="E1785" s="13" t="str">
        <f>+HYPERLINK("http://trademark.i-assist.jp/data/china/image_1910th/80220734.pdf","80220734")</f>
        <v>80220734</v>
      </c>
      <c r="F1785" s="9" t="s">
        <v>4952</v>
      </c>
      <c r="G1785" s="11" t="s">
        <v>4953</v>
      </c>
      <c r="H1785" s="11" t="s">
        <v>4954</v>
      </c>
      <c r="I1785" s="10">
        <v>45511</v>
      </c>
    </row>
    <row r="1786" spans="1:9" x14ac:dyDescent="0.15">
      <c r="A1786" s="9">
        <v>1785</v>
      </c>
      <c r="B1786" s="9" t="s">
        <v>9</v>
      </c>
      <c r="C1786" s="9">
        <v>1910</v>
      </c>
      <c r="D1786" s="10">
        <v>45602</v>
      </c>
      <c r="E1786" s="13" t="str">
        <f>+HYPERLINK("http://trademark.i-assist.jp/data/china/image_1910th/80220798.pdf","80220798")</f>
        <v>80220798</v>
      </c>
      <c r="F1786" s="9" t="s">
        <v>4955</v>
      </c>
      <c r="G1786" s="9" t="s">
        <v>4956</v>
      </c>
      <c r="H1786" s="9" t="s">
        <v>147</v>
      </c>
      <c r="I1786" s="10">
        <v>45511</v>
      </c>
    </row>
    <row r="1787" spans="1:9" x14ac:dyDescent="0.15">
      <c r="A1787" s="9">
        <v>1786</v>
      </c>
      <c r="B1787" s="9" t="s">
        <v>9</v>
      </c>
      <c r="C1787" s="9">
        <v>1910</v>
      </c>
      <c r="D1787" s="10">
        <v>45602</v>
      </c>
      <c r="E1787" s="13" t="str">
        <f>+HYPERLINK("http://trademark.i-assist.jp/data/china/image_1910th/80220935.pdf","80220935")</f>
        <v>80220935</v>
      </c>
      <c r="F1787" s="9" t="s">
        <v>4957</v>
      </c>
      <c r="G1787" s="9" t="s">
        <v>4958</v>
      </c>
      <c r="H1787" s="9" t="s">
        <v>4959</v>
      </c>
      <c r="I1787" s="10">
        <v>45511</v>
      </c>
    </row>
    <row r="1788" spans="1:9" x14ac:dyDescent="0.15">
      <c r="A1788" s="9">
        <v>1787</v>
      </c>
      <c r="B1788" s="9" t="s">
        <v>9</v>
      </c>
      <c r="C1788" s="9">
        <v>1910</v>
      </c>
      <c r="D1788" s="10">
        <v>45602</v>
      </c>
      <c r="E1788" s="13" t="str">
        <f>+HYPERLINK("http://trademark.i-assist.jp/data/china/image_1910th/80220970.pdf","80220970")</f>
        <v>80220970</v>
      </c>
      <c r="F1788" s="9" t="s">
        <v>4960</v>
      </c>
      <c r="G1788" s="9" t="s">
        <v>4961</v>
      </c>
      <c r="H1788" s="9" t="s">
        <v>4962</v>
      </c>
      <c r="I1788" s="10">
        <v>45511</v>
      </c>
    </row>
    <row r="1789" spans="1:9" x14ac:dyDescent="0.15">
      <c r="A1789" s="9">
        <v>1788</v>
      </c>
      <c r="B1789" s="9" t="s">
        <v>9</v>
      </c>
      <c r="C1789" s="9">
        <v>1910</v>
      </c>
      <c r="D1789" s="10">
        <v>45602</v>
      </c>
      <c r="E1789" s="13" t="str">
        <f>+HYPERLINK("http://trademark.i-assist.jp/data/china/image_1910th/80221009.pdf","80221009")</f>
        <v>80221009</v>
      </c>
      <c r="F1789" s="11" t="s">
        <v>19</v>
      </c>
      <c r="G1789" s="9" t="s">
        <v>4963</v>
      </c>
      <c r="H1789" s="11" t="s">
        <v>4964</v>
      </c>
      <c r="I1789" s="10">
        <v>45511</v>
      </c>
    </row>
    <row r="1790" spans="1:9" x14ac:dyDescent="0.15">
      <c r="A1790" s="9">
        <v>1789</v>
      </c>
      <c r="B1790" s="9" t="s">
        <v>9</v>
      </c>
      <c r="C1790" s="9">
        <v>1910</v>
      </c>
      <c r="D1790" s="10">
        <v>45602</v>
      </c>
      <c r="E1790" s="13" t="str">
        <f>+HYPERLINK("http://trademark.i-assist.jp/data/china/image_1910th/80221070.pdf","80221070")</f>
        <v>80221070</v>
      </c>
      <c r="F1790" s="11" t="s">
        <v>4965</v>
      </c>
      <c r="G1790" s="9" t="s">
        <v>4966</v>
      </c>
      <c r="H1790" s="11" t="s">
        <v>4967</v>
      </c>
      <c r="I1790" s="10">
        <v>45511</v>
      </c>
    </row>
    <row r="1791" spans="1:9" x14ac:dyDescent="0.15">
      <c r="A1791" s="9">
        <v>1790</v>
      </c>
      <c r="B1791" s="9" t="s">
        <v>9</v>
      </c>
      <c r="C1791" s="9">
        <v>1910</v>
      </c>
      <c r="D1791" s="10">
        <v>45602</v>
      </c>
      <c r="E1791" s="13" t="str">
        <f>+HYPERLINK("http://trademark.i-assist.jp/data/china/image_1910th/80221179.pdf","80221179")</f>
        <v>80221179</v>
      </c>
      <c r="F1791" s="9" t="s">
        <v>4968</v>
      </c>
      <c r="G1791" s="11" t="s">
        <v>4969</v>
      </c>
      <c r="H1791" s="9" t="s">
        <v>4970</v>
      </c>
      <c r="I1791" s="10">
        <v>45511</v>
      </c>
    </row>
    <row r="1792" spans="1:9" x14ac:dyDescent="0.15">
      <c r="A1792" s="9">
        <v>1791</v>
      </c>
      <c r="B1792" s="9" t="s">
        <v>9</v>
      </c>
      <c r="C1792" s="9">
        <v>1910</v>
      </c>
      <c r="D1792" s="10">
        <v>45602</v>
      </c>
      <c r="E1792" s="13" t="str">
        <f>+HYPERLINK("http://trademark.i-assist.jp/data/china/image_1910th/80221187.pdf","80221187")</f>
        <v>80221187</v>
      </c>
      <c r="F1792" s="9" t="s">
        <v>4971</v>
      </c>
      <c r="G1792" s="9" t="s">
        <v>4972</v>
      </c>
      <c r="H1792" s="9" t="s">
        <v>4973</v>
      </c>
      <c r="I1792" s="10">
        <v>45511</v>
      </c>
    </row>
    <row r="1793" spans="1:9" x14ac:dyDescent="0.15">
      <c r="A1793" s="9">
        <v>1792</v>
      </c>
      <c r="B1793" s="9" t="s">
        <v>9</v>
      </c>
      <c r="C1793" s="9">
        <v>1910</v>
      </c>
      <c r="D1793" s="10">
        <v>45602</v>
      </c>
      <c r="E1793" s="13" t="str">
        <f>+HYPERLINK("http://trademark.i-assist.jp/data/china/image_1910th/80221326.pdf","80221326")</f>
        <v>80221326</v>
      </c>
      <c r="F1793" s="9" t="s">
        <v>4974</v>
      </c>
      <c r="G1793" s="9" t="s">
        <v>4975</v>
      </c>
      <c r="H1793" s="9" t="s">
        <v>4976</v>
      </c>
      <c r="I1793" s="10">
        <v>45511</v>
      </c>
    </row>
    <row r="1794" spans="1:9" x14ac:dyDescent="0.15">
      <c r="A1794" s="9">
        <v>1793</v>
      </c>
      <c r="B1794" s="9" t="s">
        <v>9</v>
      </c>
      <c r="C1794" s="9">
        <v>1910</v>
      </c>
      <c r="D1794" s="10">
        <v>45602</v>
      </c>
      <c r="E1794" s="13" t="str">
        <f>+HYPERLINK("http://trademark.i-assist.jp/data/china/image_1910th/80221417.pdf","80221417")</f>
        <v>80221417</v>
      </c>
      <c r="F1794" s="11" t="s">
        <v>4977</v>
      </c>
      <c r="G1794" s="9" t="s">
        <v>4978</v>
      </c>
      <c r="H1794" s="11" t="s">
        <v>4979</v>
      </c>
      <c r="I1794" s="10">
        <v>45511</v>
      </c>
    </row>
    <row r="1795" spans="1:9" x14ac:dyDescent="0.15">
      <c r="A1795" s="9">
        <v>1794</v>
      </c>
      <c r="B1795" s="9" t="s">
        <v>9</v>
      </c>
      <c r="C1795" s="9">
        <v>1910</v>
      </c>
      <c r="D1795" s="10">
        <v>45602</v>
      </c>
      <c r="E1795" s="13" t="str">
        <f>+HYPERLINK("http://trademark.i-assist.jp/data/china/image_1910th/80221418.pdf","80221418")</f>
        <v>80221418</v>
      </c>
      <c r="F1795" s="9" t="s">
        <v>4980</v>
      </c>
      <c r="G1795" s="9" t="s">
        <v>2847</v>
      </c>
      <c r="H1795" s="9" t="s">
        <v>4981</v>
      </c>
      <c r="I1795" s="10">
        <v>45511</v>
      </c>
    </row>
    <row r="1796" spans="1:9" x14ac:dyDescent="0.15">
      <c r="A1796" s="9">
        <v>1795</v>
      </c>
      <c r="B1796" s="9" t="s">
        <v>9</v>
      </c>
      <c r="C1796" s="9">
        <v>1910</v>
      </c>
      <c r="D1796" s="10">
        <v>45602</v>
      </c>
      <c r="E1796" s="13" t="str">
        <f>+HYPERLINK("http://trademark.i-assist.jp/data/china/image_1910th/80221496.pdf","80221496")</f>
        <v>80221496</v>
      </c>
      <c r="F1796" s="9" t="s">
        <v>4982</v>
      </c>
      <c r="G1796" s="9" t="s">
        <v>4983</v>
      </c>
      <c r="H1796" s="9" t="s">
        <v>4984</v>
      </c>
      <c r="I1796" s="10">
        <v>45511</v>
      </c>
    </row>
    <row r="1797" spans="1:9" x14ac:dyDescent="0.15">
      <c r="A1797" s="9">
        <v>1796</v>
      </c>
      <c r="B1797" s="9" t="s">
        <v>9</v>
      </c>
      <c r="C1797" s="9">
        <v>1910</v>
      </c>
      <c r="D1797" s="10">
        <v>45602</v>
      </c>
      <c r="E1797" s="13" t="str">
        <f>+HYPERLINK("http://trademark.i-assist.jp/data/china/image_1910th/80221669.pdf","80221669")</f>
        <v>80221669</v>
      </c>
      <c r="F1797" s="9" t="s">
        <v>4985</v>
      </c>
      <c r="G1797" s="9" t="s">
        <v>4986</v>
      </c>
      <c r="H1797" s="9" t="s">
        <v>4987</v>
      </c>
      <c r="I1797" s="10">
        <v>45511</v>
      </c>
    </row>
    <row r="1798" spans="1:9" x14ac:dyDescent="0.15">
      <c r="A1798" s="9">
        <v>1797</v>
      </c>
      <c r="B1798" s="9" t="s">
        <v>9</v>
      </c>
      <c r="C1798" s="9">
        <v>1910</v>
      </c>
      <c r="D1798" s="10">
        <v>45602</v>
      </c>
      <c r="E1798" s="13" t="str">
        <f>+HYPERLINK("http://trademark.i-assist.jp/data/china/image_1910th/80221844.pdf","80221844")</f>
        <v>80221844</v>
      </c>
      <c r="F1798" s="9" t="s">
        <v>4988</v>
      </c>
      <c r="G1798" s="9" t="s">
        <v>4989</v>
      </c>
      <c r="H1798" s="9" t="s">
        <v>4990</v>
      </c>
      <c r="I1798" s="10">
        <v>45511</v>
      </c>
    </row>
    <row r="1799" spans="1:9" x14ac:dyDescent="0.15">
      <c r="A1799" s="9">
        <v>1798</v>
      </c>
      <c r="B1799" s="9" t="s">
        <v>9</v>
      </c>
      <c r="C1799" s="9">
        <v>1910</v>
      </c>
      <c r="D1799" s="10">
        <v>45602</v>
      </c>
      <c r="E1799" s="13" t="str">
        <f>+HYPERLINK("http://trademark.i-assist.jp/data/china/image_1910th/80221861.pdf","80221861")</f>
        <v>80221861</v>
      </c>
      <c r="F1799" s="11" t="s">
        <v>4991</v>
      </c>
      <c r="G1799" s="9" t="s">
        <v>4992</v>
      </c>
      <c r="H1799" s="9" t="s">
        <v>4993</v>
      </c>
      <c r="I1799" s="10">
        <v>45511</v>
      </c>
    </row>
    <row r="1800" spans="1:9" x14ac:dyDescent="0.15">
      <c r="A1800" s="9">
        <v>1799</v>
      </c>
      <c r="B1800" s="9" t="s">
        <v>9</v>
      </c>
      <c r="C1800" s="9">
        <v>1910</v>
      </c>
      <c r="D1800" s="10">
        <v>45602</v>
      </c>
      <c r="E1800" s="13" t="str">
        <f>+HYPERLINK("http://trademark.i-assist.jp/data/china/image_1910th/80222065.pdf","80222065")</f>
        <v>80222065</v>
      </c>
      <c r="F1800" s="11" t="s">
        <v>4994</v>
      </c>
      <c r="G1800" s="9" t="s">
        <v>4995</v>
      </c>
      <c r="H1800" s="9" t="s">
        <v>4996</v>
      </c>
      <c r="I1800" s="10">
        <v>45511</v>
      </c>
    </row>
    <row r="1801" spans="1:9" x14ac:dyDescent="0.15">
      <c r="A1801" s="9">
        <v>1800</v>
      </c>
      <c r="B1801" s="9" t="s">
        <v>9</v>
      </c>
      <c r="C1801" s="9">
        <v>1910</v>
      </c>
      <c r="D1801" s="10">
        <v>45602</v>
      </c>
      <c r="E1801" s="13" t="str">
        <f>+HYPERLINK("http://trademark.i-assist.jp/data/china/image_1910th/80222208.pdf","80222208")</f>
        <v>80222208</v>
      </c>
      <c r="F1801" s="9" t="s">
        <v>4997</v>
      </c>
      <c r="G1801" s="9" t="s">
        <v>4998</v>
      </c>
      <c r="H1801" s="11" t="s">
        <v>4999</v>
      </c>
      <c r="I1801" s="10">
        <v>45511</v>
      </c>
    </row>
    <row r="1802" spans="1:9" x14ac:dyDescent="0.15">
      <c r="A1802" s="9">
        <v>1801</v>
      </c>
      <c r="B1802" s="9" t="s">
        <v>9</v>
      </c>
      <c r="C1802" s="9">
        <v>1910</v>
      </c>
      <c r="D1802" s="10">
        <v>45602</v>
      </c>
      <c r="E1802" s="13" t="str">
        <f>+HYPERLINK("http://trademark.i-assist.jp/data/china/image_1910th/80222349.pdf","80222349")</f>
        <v>80222349</v>
      </c>
      <c r="F1802" s="11" t="s">
        <v>5000</v>
      </c>
      <c r="G1802" s="9" t="s">
        <v>5001</v>
      </c>
      <c r="H1802" s="9" t="s">
        <v>5002</v>
      </c>
      <c r="I1802" s="10">
        <v>45511</v>
      </c>
    </row>
    <row r="1803" spans="1:9" x14ac:dyDescent="0.15">
      <c r="A1803" s="9">
        <v>1802</v>
      </c>
      <c r="B1803" s="9" t="s">
        <v>9</v>
      </c>
      <c r="C1803" s="9">
        <v>1910</v>
      </c>
      <c r="D1803" s="10">
        <v>45602</v>
      </c>
      <c r="E1803" s="13" t="str">
        <f>+HYPERLINK("http://trademark.i-assist.jp/data/china/image_1910th/80222519.pdf","80222519")</f>
        <v>80222519</v>
      </c>
      <c r="F1803" s="9" t="s">
        <v>5003</v>
      </c>
      <c r="G1803" s="9" t="s">
        <v>4972</v>
      </c>
      <c r="H1803" s="9" t="s">
        <v>5004</v>
      </c>
      <c r="I1803" s="10">
        <v>45511</v>
      </c>
    </row>
    <row r="1804" spans="1:9" x14ac:dyDescent="0.15">
      <c r="A1804" s="9">
        <v>1803</v>
      </c>
      <c r="B1804" s="9" t="s">
        <v>9</v>
      </c>
      <c r="C1804" s="9">
        <v>1910</v>
      </c>
      <c r="D1804" s="10">
        <v>45602</v>
      </c>
      <c r="E1804" s="13" t="str">
        <f>+HYPERLINK("http://trademark.i-assist.jp/data/china/image_1910th/80222535.pdf","80222535")</f>
        <v>80222535</v>
      </c>
      <c r="F1804" s="9" t="s">
        <v>5005</v>
      </c>
      <c r="G1804" s="9" t="s">
        <v>4958</v>
      </c>
      <c r="H1804" s="9" t="s">
        <v>5006</v>
      </c>
      <c r="I1804" s="10">
        <v>45511</v>
      </c>
    </row>
    <row r="1805" spans="1:9" x14ac:dyDescent="0.15">
      <c r="A1805" s="9">
        <v>1804</v>
      </c>
      <c r="B1805" s="9" t="s">
        <v>9</v>
      </c>
      <c r="C1805" s="9">
        <v>1910</v>
      </c>
      <c r="D1805" s="10">
        <v>45602</v>
      </c>
      <c r="E1805" s="13" t="str">
        <f>+HYPERLINK("http://trademark.i-assist.jp/data/china/image_1910th/80222717.pdf","80222717")</f>
        <v>80222717</v>
      </c>
      <c r="F1805" s="11" t="s">
        <v>5007</v>
      </c>
      <c r="G1805" s="9" t="s">
        <v>5008</v>
      </c>
      <c r="H1805" s="9" t="s">
        <v>5009</v>
      </c>
      <c r="I1805" s="10">
        <v>45511</v>
      </c>
    </row>
    <row r="1806" spans="1:9" x14ac:dyDescent="0.15">
      <c r="A1806" s="9">
        <v>1805</v>
      </c>
      <c r="B1806" s="9" t="s">
        <v>9</v>
      </c>
      <c r="C1806" s="9">
        <v>1910</v>
      </c>
      <c r="D1806" s="10">
        <v>45602</v>
      </c>
      <c r="E1806" s="13" t="str">
        <f>+HYPERLINK("http://trademark.i-assist.jp/data/china/image_1910th/80222860.pdf","80222860")</f>
        <v>80222860</v>
      </c>
      <c r="F1806" s="9" t="s">
        <v>5010</v>
      </c>
      <c r="G1806" s="9" t="s">
        <v>5011</v>
      </c>
      <c r="H1806" s="9" t="s">
        <v>5012</v>
      </c>
      <c r="I1806" s="10">
        <v>45511</v>
      </c>
    </row>
    <row r="1807" spans="1:9" x14ac:dyDescent="0.15">
      <c r="A1807" s="9">
        <v>1806</v>
      </c>
      <c r="B1807" s="9" t="s">
        <v>9</v>
      </c>
      <c r="C1807" s="9">
        <v>1910</v>
      </c>
      <c r="D1807" s="10">
        <v>45602</v>
      </c>
      <c r="E1807" s="13" t="str">
        <f>+HYPERLINK("http://trademark.i-assist.jp/data/china/image_1910th/80222898.pdf","80222898")</f>
        <v>80222898</v>
      </c>
      <c r="F1807" s="9" t="s">
        <v>5013</v>
      </c>
      <c r="G1807" s="9" t="s">
        <v>5014</v>
      </c>
      <c r="H1807" s="9" t="s">
        <v>5015</v>
      </c>
      <c r="I1807" s="10">
        <v>45511</v>
      </c>
    </row>
    <row r="1808" spans="1:9" x14ac:dyDescent="0.15">
      <c r="A1808" s="9">
        <v>1807</v>
      </c>
      <c r="B1808" s="9" t="s">
        <v>9</v>
      </c>
      <c r="C1808" s="9">
        <v>1910</v>
      </c>
      <c r="D1808" s="10">
        <v>45602</v>
      </c>
      <c r="E1808" s="13" t="str">
        <f>+HYPERLINK("http://trademark.i-assist.jp/data/china/image_1910th/80223032.pdf","80223032")</f>
        <v>80223032</v>
      </c>
      <c r="F1808" s="11" t="s">
        <v>5016</v>
      </c>
      <c r="G1808" s="9" t="s">
        <v>5017</v>
      </c>
      <c r="H1808" s="9" t="s">
        <v>5018</v>
      </c>
      <c r="I1808" s="10">
        <v>45511</v>
      </c>
    </row>
    <row r="1809" spans="1:9" x14ac:dyDescent="0.15">
      <c r="A1809" s="9">
        <v>1808</v>
      </c>
      <c r="B1809" s="9" t="s">
        <v>9</v>
      </c>
      <c r="C1809" s="9">
        <v>1910</v>
      </c>
      <c r="D1809" s="10">
        <v>45602</v>
      </c>
      <c r="E1809" s="13" t="str">
        <f>+HYPERLINK("http://trademark.i-assist.jp/data/china/image_1910th/80223059.pdf","80223059")</f>
        <v>80223059</v>
      </c>
      <c r="F1809" s="9" t="s">
        <v>5019</v>
      </c>
      <c r="G1809" s="9" t="s">
        <v>5020</v>
      </c>
      <c r="H1809" s="9" t="s">
        <v>5021</v>
      </c>
      <c r="I1809" s="10">
        <v>45511</v>
      </c>
    </row>
    <row r="1810" spans="1:9" x14ac:dyDescent="0.15">
      <c r="A1810" s="9">
        <v>1809</v>
      </c>
      <c r="B1810" s="9" t="s">
        <v>9</v>
      </c>
      <c r="C1810" s="9">
        <v>1910</v>
      </c>
      <c r="D1810" s="10">
        <v>45602</v>
      </c>
      <c r="E1810" s="13" t="str">
        <f>+HYPERLINK("http://trademark.i-assist.jp/data/china/image_1910th/80223195.pdf","80223195")</f>
        <v>80223195</v>
      </c>
      <c r="F1810" s="9" t="s">
        <v>5022</v>
      </c>
      <c r="G1810" s="9" t="s">
        <v>4831</v>
      </c>
      <c r="H1810" s="11" t="s">
        <v>5023</v>
      </c>
      <c r="I1810" s="10">
        <v>45511</v>
      </c>
    </row>
    <row r="1811" spans="1:9" x14ac:dyDescent="0.15">
      <c r="A1811" s="9">
        <v>1810</v>
      </c>
      <c r="B1811" s="9" t="s">
        <v>9</v>
      </c>
      <c r="C1811" s="9">
        <v>1910</v>
      </c>
      <c r="D1811" s="10">
        <v>45602</v>
      </c>
      <c r="E1811" s="13" t="str">
        <f>+HYPERLINK("http://trademark.i-assist.jp/data/china/image_1910th/80223399.pdf","80223399")</f>
        <v>80223399</v>
      </c>
      <c r="F1811" s="11" t="s">
        <v>5024</v>
      </c>
      <c r="G1811" s="11" t="s">
        <v>5025</v>
      </c>
      <c r="H1811" s="9" t="s">
        <v>5026</v>
      </c>
      <c r="I1811" s="10">
        <v>45511</v>
      </c>
    </row>
    <row r="1812" spans="1:9" x14ac:dyDescent="0.15">
      <c r="A1812" s="9">
        <v>1811</v>
      </c>
      <c r="B1812" s="9" t="s">
        <v>9</v>
      </c>
      <c r="C1812" s="9">
        <v>1910</v>
      </c>
      <c r="D1812" s="10">
        <v>45602</v>
      </c>
      <c r="E1812" s="13" t="str">
        <f>+HYPERLINK("http://trademark.i-assist.jp/data/china/image_1910th/80223454.pdf","80223454")</f>
        <v>80223454</v>
      </c>
      <c r="F1812" s="9" t="s">
        <v>5027</v>
      </c>
      <c r="G1812" s="9" t="s">
        <v>5028</v>
      </c>
      <c r="H1812" s="9" t="s">
        <v>5029</v>
      </c>
      <c r="I1812" s="10">
        <v>45511</v>
      </c>
    </row>
    <row r="1813" spans="1:9" x14ac:dyDescent="0.15">
      <c r="A1813" s="9">
        <v>1812</v>
      </c>
      <c r="B1813" s="9" t="s">
        <v>9</v>
      </c>
      <c r="C1813" s="9">
        <v>1910</v>
      </c>
      <c r="D1813" s="10">
        <v>45602</v>
      </c>
      <c r="E1813" s="13" t="str">
        <f>+HYPERLINK("http://trademark.i-assist.jp/data/china/image_1910th/80223515.pdf","80223515")</f>
        <v>80223515</v>
      </c>
      <c r="F1813" s="11" t="s">
        <v>5030</v>
      </c>
      <c r="G1813" s="9" t="s">
        <v>5031</v>
      </c>
      <c r="H1813" s="9" t="s">
        <v>5032</v>
      </c>
      <c r="I1813" s="10">
        <v>45511</v>
      </c>
    </row>
    <row r="1814" spans="1:9" x14ac:dyDescent="0.15">
      <c r="A1814" s="9">
        <v>1813</v>
      </c>
      <c r="B1814" s="9" t="s">
        <v>9</v>
      </c>
      <c r="C1814" s="9">
        <v>1910</v>
      </c>
      <c r="D1814" s="10">
        <v>45602</v>
      </c>
      <c r="E1814" s="13" t="str">
        <f>+HYPERLINK("http://trademark.i-assist.jp/data/china/image_1910th/80223614.pdf","80223614")</f>
        <v>80223614</v>
      </c>
      <c r="F1814" s="9" t="s">
        <v>5033</v>
      </c>
      <c r="G1814" s="9" t="s">
        <v>5034</v>
      </c>
      <c r="H1814" s="9" t="s">
        <v>5035</v>
      </c>
      <c r="I1814" s="10">
        <v>45511</v>
      </c>
    </row>
    <row r="1815" spans="1:9" x14ac:dyDescent="0.15">
      <c r="A1815" s="9">
        <v>1814</v>
      </c>
      <c r="B1815" s="9" t="s">
        <v>9</v>
      </c>
      <c r="C1815" s="9">
        <v>1910</v>
      </c>
      <c r="D1815" s="10">
        <v>45602</v>
      </c>
      <c r="E1815" s="13" t="str">
        <f>+HYPERLINK("http://trademark.i-assist.jp/data/china/image_1910th/80223775.pdf","80223775")</f>
        <v>80223775</v>
      </c>
      <c r="F1815" s="9" t="s">
        <v>5036</v>
      </c>
      <c r="G1815" s="9" t="s">
        <v>5037</v>
      </c>
      <c r="H1815" s="9" t="s">
        <v>5038</v>
      </c>
      <c r="I1815" s="10">
        <v>45511</v>
      </c>
    </row>
    <row r="1816" spans="1:9" x14ac:dyDescent="0.15">
      <c r="A1816" s="9">
        <v>1815</v>
      </c>
      <c r="B1816" s="9" t="s">
        <v>9</v>
      </c>
      <c r="C1816" s="9">
        <v>1910</v>
      </c>
      <c r="D1816" s="10">
        <v>45602</v>
      </c>
      <c r="E1816" s="13" t="str">
        <f>+HYPERLINK("http://trademark.i-assist.jp/data/china/image_1910th/80223936.pdf","80223936")</f>
        <v>80223936</v>
      </c>
      <c r="F1816" s="9" t="s">
        <v>5039</v>
      </c>
      <c r="G1816" s="11" t="s">
        <v>5040</v>
      </c>
      <c r="H1816" s="9" t="s">
        <v>5041</v>
      </c>
      <c r="I1816" s="10">
        <v>45511</v>
      </c>
    </row>
    <row r="1817" spans="1:9" x14ac:dyDescent="0.15">
      <c r="A1817" s="9">
        <v>1816</v>
      </c>
      <c r="B1817" s="9" t="s">
        <v>9</v>
      </c>
      <c r="C1817" s="9">
        <v>1910</v>
      </c>
      <c r="D1817" s="10">
        <v>45602</v>
      </c>
      <c r="E1817" s="13" t="str">
        <f>+HYPERLINK("http://trademark.i-assist.jp/data/china/image_1910th/80224097.pdf","80224097")</f>
        <v>80224097</v>
      </c>
      <c r="F1817" s="9" t="s">
        <v>5042</v>
      </c>
      <c r="G1817" s="9" t="s">
        <v>5043</v>
      </c>
      <c r="H1817" s="9" t="s">
        <v>5044</v>
      </c>
      <c r="I1817" s="10">
        <v>45511</v>
      </c>
    </row>
    <row r="1818" spans="1:9" x14ac:dyDescent="0.15">
      <c r="A1818" s="9">
        <v>1817</v>
      </c>
      <c r="B1818" s="9" t="s">
        <v>9</v>
      </c>
      <c r="C1818" s="9">
        <v>1910</v>
      </c>
      <c r="D1818" s="10">
        <v>45602</v>
      </c>
      <c r="E1818" s="13" t="str">
        <f>+HYPERLINK("http://trademark.i-assist.jp/data/china/image_1910th/80224104.pdf","80224104")</f>
        <v>80224104</v>
      </c>
      <c r="F1818" s="9" t="s">
        <v>5045</v>
      </c>
      <c r="G1818" s="9" t="s">
        <v>5046</v>
      </c>
      <c r="H1818" s="9" t="s">
        <v>5047</v>
      </c>
      <c r="I1818" s="10">
        <v>45511</v>
      </c>
    </row>
    <row r="1819" spans="1:9" x14ac:dyDescent="0.15">
      <c r="A1819" s="9">
        <v>1818</v>
      </c>
      <c r="B1819" s="9" t="s">
        <v>9</v>
      </c>
      <c r="C1819" s="9">
        <v>1910</v>
      </c>
      <c r="D1819" s="10">
        <v>45602</v>
      </c>
      <c r="E1819" s="13" t="str">
        <f>+HYPERLINK("http://trademark.i-assist.jp/data/china/image_1910th/80224349.pdf","80224349")</f>
        <v>80224349</v>
      </c>
      <c r="F1819" s="9" t="s">
        <v>5048</v>
      </c>
      <c r="G1819" s="9" t="s">
        <v>5049</v>
      </c>
      <c r="H1819" s="11" t="s">
        <v>5050</v>
      </c>
      <c r="I1819" s="10">
        <v>45511</v>
      </c>
    </row>
    <row r="1820" spans="1:9" x14ac:dyDescent="0.15">
      <c r="A1820" s="9">
        <v>1819</v>
      </c>
      <c r="B1820" s="9" t="s">
        <v>9</v>
      </c>
      <c r="C1820" s="9">
        <v>1910</v>
      </c>
      <c r="D1820" s="10">
        <v>45602</v>
      </c>
      <c r="E1820" s="13" t="str">
        <f>+HYPERLINK("http://trademark.i-assist.jp/data/china/image_1910th/80224504.pdf","80224504")</f>
        <v>80224504</v>
      </c>
      <c r="F1820" s="9" t="s">
        <v>5051</v>
      </c>
      <c r="G1820" s="11" t="s">
        <v>5052</v>
      </c>
      <c r="H1820" s="9" t="s">
        <v>5053</v>
      </c>
      <c r="I1820" s="10">
        <v>45511</v>
      </c>
    </row>
    <row r="1821" spans="1:9" x14ac:dyDescent="0.15">
      <c r="A1821" s="9">
        <v>1820</v>
      </c>
      <c r="B1821" s="9" t="s">
        <v>9</v>
      </c>
      <c r="C1821" s="9">
        <v>1910</v>
      </c>
      <c r="D1821" s="10">
        <v>45602</v>
      </c>
      <c r="E1821" s="13" t="str">
        <f>+HYPERLINK("http://trademark.i-assist.jp/data/china/image_1910th/80224524.pdf","80224524")</f>
        <v>80224524</v>
      </c>
      <c r="F1821" s="9" t="s">
        <v>5054</v>
      </c>
      <c r="G1821" s="11" t="s">
        <v>5055</v>
      </c>
      <c r="H1821" s="9" t="s">
        <v>5056</v>
      </c>
      <c r="I1821" s="10">
        <v>45511</v>
      </c>
    </row>
    <row r="1822" spans="1:9" x14ac:dyDescent="0.15">
      <c r="A1822" s="9">
        <v>1821</v>
      </c>
      <c r="B1822" s="9" t="s">
        <v>9</v>
      </c>
      <c r="C1822" s="9">
        <v>1910</v>
      </c>
      <c r="D1822" s="10">
        <v>45602</v>
      </c>
      <c r="E1822" s="13" t="str">
        <f>+HYPERLINK("http://trademark.i-assist.jp/data/china/image_1910th/80224719.pdf","80224719")</f>
        <v>80224719</v>
      </c>
      <c r="F1822" s="11" t="s">
        <v>5057</v>
      </c>
      <c r="G1822" s="9" t="s">
        <v>5058</v>
      </c>
      <c r="H1822" s="9" t="s">
        <v>5059</v>
      </c>
      <c r="I1822" s="10">
        <v>45511</v>
      </c>
    </row>
    <row r="1823" spans="1:9" x14ac:dyDescent="0.15">
      <c r="A1823" s="9">
        <v>1822</v>
      </c>
      <c r="B1823" s="9" t="s">
        <v>9</v>
      </c>
      <c r="C1823" s="9">
        <v>1910</v>
      </c>
      <c r="D1823" s="10">
        <v>45602</v>
      </c>
      <c r="E1823" s="13" t="str">
        <f>+HYPERLINK("http://trademark.i-assist.jp/data/china/image_1910th/80224979.pdf","80224979")</f>
        <v>80224979</v>
      </c>
      <c r="F1823" s="9" t="s">
        <v>5060</v>
      </c>
      <c r="G1823" s="9" t="s">
        <v>5061</v>
      </c>
      <c r="H1823" s="9" t="s">
        <v>5062</v>
      </c>
      <c r="I1823" s="10">
        <v>45511</v>
      </c>
    </row>
    <row r="1824" spans="1:9" x14ac:dyDescent="0.15">
      <c r="A1824" s="9">
        <v>1823</v>
      </c>
      <c r="B1824" s="9" t="s">
        <v>9</v>
      </c>
      <c r="C1824" s="9">
        <v>1910</v>
      </c>
      <c r="D1824" s="10">
        <v>45602</v>
      </c>
      <c r="E1824" s="13" t="str">
        <f>+HYPERLINK("http://trademark.i-assist.jp/data/china/image_1910th/80224992.pdf","80224992")</f>
        <v>80224992</v>
      </c>
      <c r="F1824" s="9" t="s">
        <v>5063</v>
      </c>
      <c r="G1824" s="11" t="s">
        <v>5064</v>
      </c>
      <c r="H1824" s="9" t="s">
        <v>5065</v>
      </c>
      <c r="I1824" s="10">
        <v>45511</v>
      </c>
    </row>
    <row r="1825" spans="1:9" x14ac:dyDescent="0.15">
      <c r="A1825" s="9">
        <v>1824</v>
      </c>
      <c r="B1825" s="9" t="s">
        <v>9</v>
      </c>
      <c r="C1825" s="9">
        <v>1910</v>
      </c>
      <c r="D1825" s="10">
        <v>45602</v>
      </c>
      <c r="E1825" s="13" t="str">
        <f>+HYPERLINK("http://trademark.i-assist.jp/data/china/image_1910th/80225123.pdf","80225123")</f>
        <v>80225123</v>
      </c>
      <c r="F1825" s="9" t="s">
        <v>5066</v>
      </c>
      <c r="G1825" s="9" t="s">
        <v>5067</v>
      </c>
      <c r="H1825" s="9" t="s">
        <v>5068</v>
      </c>
      <c r="I1825" s="10">
        <v>45511</v>
      </c>
    </row>
    <row r="1826" spans="1:9" x14ac:dyDescent="0.15">
      <c r="A1826" s="9">
        <v>1825</v>
      </c>
      <c r="B1826" s="9" t="s">
        <v>9</v>
      </c>
      <c r="C1826" s="9">
        <v>1910</v>
      </c>
      <c r="D1826" s="10">
        <v>45602</v>
      </c>
      <c r="E1826" s="13" t="str">
        <f>+HYPERLINK("http://trademark.i-assist.jp/data/china/image_1910th/80225640.pdf","80225640")</f>
        <v>80225640</v>
      </c>
      <c r="F1826" s="9" t="s">
        <v>5069</v>
      </c>
      <c r="G1826" s="9" t="s">
        <v>5070</v>
      </c>
      <c r="H1826" s="9" t="s">
        <v>5071</v>
      </c>
      <c r="I1826" s="10">
        <v>45511</v>
      </c>
    </row>
    <row r="1827" spans="1:9" x14ac:dyDescent="0.15">
      <c r="A1827" s="9">
        <v>1826</v>
      </c>
      <c r="B1827" s="9" t="s">
        <v>9</v>
      </c>
      <c r="C1827" s="9">
        <v>1910</v>
      </c>
      <c r="D1827" s="10">
        <v>45602</v>
      </c>
      <c r="E1827" s="13" t="str">
        <f>+HYPERLINK("http://trademark.i-assist.jp/data/china/image_1910th/80225991.pdf","80225991")</f>
        <v>80225991</v>
      </c>
      <c r="F1827" s="11" t="s">
        <v>5072</v>
      </c>
      <c r="G1827" s="9" t="s">
        <v>5073</v>
      </c>
      <c r="H1827" s="11" t="s">
        <v>5074</v>
      </c>
      <c r="I1827" s="10">
        <v>45511</v>
      </c>
    </row>
    <row r="1828" spans="1:9" x14ac:dyDescent="0.15">
      <c r="A1828" s="9">
        <v>1827</v>
      </c>
      <c r="B1828" s="9" t="s">
        <v>9</v>
      </c>
      <c r="C1828" s="9">
        <v>1910</v>
      </c>
      <c r="D1828" s="10">
        <v>45602</v>
      </c>
      <c r="E1828" s="13" t="str">
        <f>+HYPERLINK("http://trademark.i-assist.jp/data/china/image_1910th/80226232.pdf","80226232")</f>
        <v>80226232</v>
      </c>
      <c r="F1828" s="11" t="s">
        <v>5075</v>
      </c>
      <c r="G1828" s="9" t="s">
        <v>5076</v>
      </c>
      <c r="H1828" s="9" t="s">
        <v>5077</v>
      </c>
      <c r="I1828" s="10">
        <v>45511</v>
      </c>
    </row>
    <row r="1829" spans="1:9" x14ac:dyDescent="0.15">
      <c r="A1829" s="9">
        <v>1828</v>
      </c>
      <c r="B1829" s="9" t="s">
        <v>9</v>
      </c>
      <c r="C1829" s="9">
        <v>1910</v>
      </c>
      <c r="D1829" s="10">
        <v>45602</v>
      </c>
      <c r="E1829" s="13" t="str">
        <f>+HYPERLINK("http://trademark.i-assist.jp/data/china/image_1910th/80226320.pdf","80226320")</f>
        <v>80226320</v>
      </c>
      <c r="F1829" s="9" t="s">
        <v>5078</v>
      </c>
      <c r="G1829" s="11" t="s">
        <v>5079</v>
      </c>
      <c r="H1829" s="9" t="s">
        <v>5080</v>
      </c>
      <c r="I1829" s="10">
        <v>45511</v>
      </c>
    </row>
    <row r="1830" spans="1:9" x14ac:dyDescent="0.15">
      <c r="A1830" s="9">
        <v>1829</v>
      </c>
      <c r="B1830" s="9" t="s">
        <v>9</v>
      </c>
      <c r="C1830" s="9">
        <v>1910</v>
      </c>
      <c r="D1830" s="10">
        <v>45602</v>
      </c>
      <c r="E1830" s="13" t="str">
        <f>+HYPERLINK("http://trademark.i-assist.jp/data/china/image_1910th/80226459.pdf","80226459")</f>
        <v>80226459</v>
      </c>
      <c r="F1830" s="9" t="s">
        <v>5081</v>
      </c>
      <c r="G1830" s="9" t="s">
        <v>5082</v>
      </c>
      <c r="H1830" s="9" t="s">
        <v>5083</v>
      </c>
      <c r="I1830" s="10">
        <v>45511</v>
      </c>
    </row>
    <row r="1831" spans="1:9" x14ac:dyDescent="0.15">
      <c r="A1831" s="9">
        <v>1830</v>
      </c>
      <c r="B1831" s="9" t="s">
        <v>9</v>
      </c>
      <c r="C1831" s="9">
        <v>1910</v>
      </c>
      <c r="D1831" s="10">
        <v>45602</v>
      </c>
      <c r="E1831" s="13" t="str">
        <f>+HYPERLINK("http://trademark.i-assist.jp/data/china/image_1910th/80226652.pdf","80226652")</f>
        <v>80226652</v>
      </c>
      <c r="F1831" s="11" t="s">
        <v>5084</v>
      </c>
      <c r="G1831" s="9" t="s">
        <v>5085</v>
      </c>
      <c r="H1831" s="9" t="s">
        <v>5086</v>
      </c>
      <c r="I1831" s="10">
        <v>45511</v>
      </c>
    </row>
    <row r="1832" spans="1:9" x14ac:dyDescent="0.15">
      <c r="A1832" s="9">
        <v>1831</v>
      </c>
      <c r="B1832" s="9" t="s">
        <v>9</v>
      </c>
      <c r="C1832" s="9">
        <v>1910</v>
      </c>
      <c r="D1832" s="10">
        <v>45602</v>
      </c>
      <c r="E1832" s="13" t="str">
        <f>+HYPERLINK("http://trademark.i-assist.jp/data/china/image_1910th/80226714.pdf","80226714")</f>
        <v>80226714</v>
      </c>
      <c r="F1832" s="9" t="s">
        <v>5087</v>
      </c>
      <c r="G1832" s="9" t="s">
        <v>5088</v>
      </c>
      <c r="H1832" s="9" t="s">
        <v>5089</v>
      </c>
      <c r="I1832" s="10">
        <v>45511</v>
      </c>
    </row>
    <row r="1833" spans="1:9" x14ac:dyDescent="0.15">
      <c r="A1833" s="9">
        <v>1832</v>
      </c>
      <c r="B1833" s="9" t="s">
        <v>9</v>
      </c>
      <c r="C1833" s="9">
        <v>1910</v>
      </c>
      <c r="D1833" s="10">
        <v>45602</v>
      </c>
      <c r="E1833" s="13" t="str">
        <f>+HYPERLINK("http://trademark.i-assist.jp/data/china/image_1910th/80226836.pdf","80226836")</f>
        <v>80226836</v>
      </c>
      <c r="F1833" s="11" t="s">
        <v>19</v>
      </c>
      <c r="G1833" s="11" t="s">
        <v>5090</v>
      </c>
      <c r="H1833" s="9" t="s">
        <v>5091</v>
      </c>
      <c r="I1833" s="10">
        <v>45511</v>
      </c>
    </row>
    <row r="1834" spans="1:9" x14ac:dyDescent="0.15">
      <c r="A1834" s="9">
        <v>1833</v>
      </c>
      <c r="B1834" s="9" t="s">
        <v>9</v>
      </c>
      <c r="C1834" s="9">
        <v>1910</v>
      </c>
      <c r="D1834" s="10">
        <v>45602</v>
      </c>
      <c r="E1834" s="13" t="str">
        <f>+HYPERLINK("http://trademark.i-assist.jp/data/china/image_1910th/80226868.pdf","80226868")</f>
        <v>80226868</v>
      </c>
      <c r="F1834" s="9" t="s">
        <v>5092</v>
      </c>
      <c r="G1834" s="9" t="s">
        <v>5093</v>
      </c>
      <c r="H1834" s="9" t="s">
        <v>5094</v>
      </c>
      <c r="I1834" s="10">
        <v>45511</v>
      </c>
    </row>
    <row r="1835" spans="1:9" x14ac:dyDescent="0.15">
      <c r="A1835" s="9">
        <v>1834</v>
      </c>
      <c r="B1835" s="9" t="s">
        <v>9</v>
      </c>
      <c r="C1835" s="9">
        <v>1910</v>
      </c>
      <c r="D1835" s="10">
        <v>45602</v>
      </c>
      <c r="E1835" s="13" t="str">
        <f>+HYPERLINK("http://trademark.i-assist.jp/data/china/image_1910th/80227090.pdf","80227090")</f>
        <v>80227090</v>
      </c>
      <c r="F1835" s="9" t="s">
        <v>5095</v>
      </c>
      <c r="G1835" s="11" t="s">
        <v>5096</v>
      </c>
      <c r="H1835" s="9" t="s">
        <v>5097</v>
      </c>
      <c r="I1835" s="10">
        <v>45511</v>
      </c>
    </row>
    <row r="1836" spans="1:9" x14ac:dyDescent="0.15">
      <c r="A1836" s="9">
        <v>1835</v>
      </c>
      <c r="B1836" s="9" t="s">
        <v>9</v>
      </c>
      <c r="C1836" s="9">
        <v>1910</v>
      </c>
      <c r="D1836" s="10">
        <v>45602</v>
      </c>
      <c r="E1836" s="13" t="str">
        <f>+HYPERLINK("http://trademark.i-assist.jp/data/china/image_1910th/80227264.pdf","80227264")</f>
        <v>80227264</v>
      </c>
      <c r="F1836" s="9" t="s">
        <v>5098</v>
      </c>
      <c r="G1836" s="9" t="s">
        <v>5099</v>
      </c>
      <c r="H1836" s="9" t="s">
        <v>5100</v>
      </c>
      <c r="I1836" s="10">
        <v>45511</v>
      </c>
    </row>
    <row r="1837" spans="1:9" x14ac:dyDescent="0.15">
      <c r="A1837" s="9">
        <v>1836</v>
      </c>
      <c r="B1837" s="9" t="s">
        <v>9</v>
      </c>
      <c r="C1837" s="9">
        <v>1910</v>
      </c>
      <c r="D1837" s="10">
        <v>45602</v>
      </c>
      <c r="E1837" s="13" t="str">
        <f>+HYPERLINK("http://trademark.i-assist.jp/data/china/image_1910th/80227436.pdf","80227436")</f>
        <v>80227436</v>
      </c>
      <c r="F1837" s="9" t="s">
        <v>5101</v>
      </c>
      <c r="G1837" s="11" t="s">
        <v>5102</v>
      </c>
      <c r="H1837" s="9" t="s">
        <v>5103</v>
      </c>
      <c r="I1837" s="10">
        <v>45511</v>
      </c>
    </row>
    <row r="1838" spans="1:9" x14ac:dyDescent="0.15">
      <c r="A1838" s="9">
        <v>1837</v>
      </c>
      <c r="B1838" s="9" t="s">
        <v>9</v>
      </c>
      <c r="C1838" s="9">
        <v>1910</v>
      </c>
      <c r="D1838" s="10">
        <v>45602</v>
      </c>
      <c r="E1838" s="13" t="str">
        <f>+HYPERLINK("http://trademark.i-assist.jp/data/china/image_1910th/80227490.pdf","80227490")</f>
        <v>80227490</v>
      </c>
      <c r="F1838" s="9" t="s">
        <v>5104</v>
      </c>
      <c r="G1838" s="9" t="s">
        <v>5105</v>
      </c>
      <c r="H1838" s="9" t="s">
        <v>5106</v>
      </c>
      <c r="I1838" s="10">
        <v>45511</v>
      </c>
    </row>
    <row r="1839" spans="1:9" x14ac:dyDescent="0.15">
      <c r="A1839" s="9">
        <v>1838</v>
      </c>
      <c r="B1839" s="9" t="s">
        <v>9</v>
      </c>
      <c r="C1839" s="9">
        <v>1910</v>
      </c>
      <c r="D1839" s="10">
        <v>45602</v>
      </c>
      <c r="E1839" s="13" t="str">
        <f>+HYPERLINK("http://trademark.i-assist.jp/data/china/image_1910th/80227571.pdf","80227571")</f>
        <v>80227571</v>
      </c>
      <c r="F1839" s="9" t="s">
        <v>5107</v>
      </c>
      <c r="G1839" s="9" t="s">
        <v>5108</v>
      </c>
      <c r="H1839" s="11" t="s">
        <v>5109</v>
      </c>
      <c r="I1839" s="10">
        <v>45511</v>
      </c>
    </row>
    <row r="1840" spans="1:9" x14ac:dyDescent="0.15">
      <c r="A1840" s="9">
        <v>1839</v>
      </c>
      <c r="B1840" s="9" t="s">
        <v>9</v>
      </c>
      <c r="C1840" s="9">
        <v>1910</v>
      </c>
      <c r="D1840" s="10">
        <v>45602</v>
      </c>
      <c r="E1840" s="13" t="str">
        <f>+HYPERLINK("http://trademark.i-assist.jp/data/china/image_1910th/80227699.pdf","80227699")</f>
        <v>80227699</v>
      </c>
      <c r="F1840" s="9" t="s">
        <v>5110</v>
      </c>
      <c r="G1840" s="9" t="s">
        <v>5088</v>
      </c>
      <c r="H1840" s="11" t="s">
        <v>5111</v>
      </c>
      <c r="I1840" s="10">
        <v>45511</v>
      </c>
    </row>
    <row r="1841" spans="1:9" x14ac:dyDescent="0.15">
      <c r="A1841" s="9">
        <v>1840</v>
      </c>
      <c r="B1841" s="9" t="s">
        <v>9</v>
      </c>
      <c r="C1841" s="9">
        <v>1910</v>
      </c>
      <c r="D1841" s="10">
        <v>45602</v>
      </c>
      <c r="E1841" s="13" t="str">
        <f>+HYPERLINK("http://trademark.i-assist.jp/data/china/image_1910th/80227756.pdf","80227756")</f>
        <v>80227756</v>
      </c>
      <c r="F1841" s="9" t="s">
        <v>5112</v>
      </c>
      <c r="G1841" s="11" t="s">
        <v>5079</v>
      </c>
      <c r="H1841" s="11" t="s">
        <v>5113</v>
      </c>
      <c r="I1841" s="10">
        <v>45511</v>
      </c>
    </row>
    <row r="1842" spans="1:9" x14ac:dyDescent="0.15">
      <c r="A1842" s="9">
        <v>1841</v>
      </c>
      <c r="B1842" s="9" t="s">
        <v>9</v>
      </c>
      <c r="C1842" s="9">
        <v>1910</v>
      </c>
      <c r="D1842" s="10">
        <v>45602</v>
      </c>
      <c r="E1842" s="13" t="str">
        <f>+HYPERLINK("http://trademark.i-assist.jp/data/china/image_1910th/80227825.pdf","80227825")</f>
        <v>80227825</v>
      </c>
      <c r="F1842" s="11" t="s">
        <v>5114</v>
      </c>
      <c r="G1842" s="9" t="s">
        <v>5115</v>
      </c>
      <c r="H1842" s="11" t="s">
        <v>5116</v>
      </c>
      <c r="I1842" s="10">
        <v>45511</v>
      </c>
    </row>
    <row r="1843" spans="1:9" x14ac:dyDescent="0.15">
      <c r="A1843" s="9">
        <v>1842</v>
      </c>
      <c r="B1843" s="9" t="s">
        <v>9</v>
      </c>
      <c r="C1843" s="9">
        <v>1910</v>
      </c>
      <c r="D1843" s="10">
        <v>45602</v>
      </c>
      <c r="E1843" s="13" t="str">
        <f>+HYPERLINK("http://trademark.i-assist.jp/data/china/image_1910th/80228114.pdf","80228114")</f>
        <v>80228114</v>
      </c>
      <c r="F1843" s="11" t="s">
        <v>5117</v>
      </c>
      <c r="G1843" s="9" t="s">
        <v>5118</v>
      </c>
      <c r="H1843" s="9" t="s">
        <v>5119</v>
      </c>
      <c r="I1843" s="10">
        <v>45511</v>
      </c>
    </row>
    <row r="1844" spans="1:9" x14ac:dyDescent="0.15">
      <c r="A1844" s="9">
        <v>1843</v>
      </c>
      <c r="B1844" s="9" t="s">
        <v>9</v>
      </c>
      <c r="C1844" s="9">
        <v>1910</v>
      </c>
      <c r="D1844" s="10">
        <v>45602</v>
      </c>
      <c r="E1844" s="13" t="str">
        <f>+HYPERLINK("http://trademark.i-assist.jp/data/china/image_1910th/80228188.pdf","80228188")</f>
        <v>80228188</v>
      </c>
      <c r="F1844" s="11" t="s">
        <v>5120</v>
      </c>
      <c r="G1844" s="9" t="s">
        <v>5121</v>
      </c>
      <c r="H1844" s="9" t="s">
        <v>5122</v>
      </c>
      <c r="I1844" s="10">
        <v>45511</v>
      </c>
    </row>
    <row r="1845" spans="1:9" x14ac:dyDescent="0.15">
      <c r="A1845" s="9">
        <v>1844</v>
      </c>
      <c r="B1845" s="9" t="s">
        <v>9</v>
      </c>
      <c r="C1845" s="9">
        <v>1910</v>
      </c>
      <c r="D1845" s="10">
        <v>45602</v>
      </c>
      <c r="E1845" s="13" t="str">
        <f>+HYPERLINK("http://trademark.i-assist.jp/data/china/image_1910th/80228223.pdf","80228223")</f>
        <v>80228223</v>
      </c>
      <c r="F1845" s="9" t="s">
        <v>5123</v>
      </c>
      <c r="G1845" s="9" t="s">
        <v>5043</v>
      </c>
      <c r="H1845" s="9" t="s">
        <v>5124</v>
      </c>
      <c r="I1845" s="10">
        <v>45511</v>
      </c>
    </row>
    <row r="1846" spans="1:9" x14ac:dyDescent="0.15">
      <c r="A1846" s="9">
        <v>1845</v>
      </c>
      <c r="B1846" s="9" t="s">
        <v>9</v>
      </c>
      <c r="C1846" s="9">
        <v>1910</v>
      </c>
      <c r="D1846" s="10">
        <v>45602</v>
      </c>
      <c r="E1846" s="13" t="str">
        <f>+HYPERLINK("http://trademark.i-assist.jp/data/china/image_1910th/80228532.pdf","80228532")</f>
        <v>80228532</v>
      </c>
      <c r="F1846" s="11" t="s">
        <v>5125</v>
      </c>
      <c r="G1846" s="9" t="s">
        <v>5126</v>
      </c>
      <c r="H1846" s="9" t="s">
        <v>5127</v>
      </c>
      <c r="I1846" s="10">
        <v>45511</v>
      </c>
    </row>
    <row r="1847" spans="1:9" x14ac:dyDescent="0.15">
      <c r="A1847" s="9">
        <v>1846</v>
      </c>
      <c r="B1847" s="9" t="s">
        <v>9</v>
      </c>
      <c r="C1847" s="9">
        <v>1910</v>
      </c>
      <c r="D1847" s="10">
        <v>45602</v>
      </c>
      <c r="E1847" s="13" t="str">
        <f>+HYPERLINK("http://trademark.i-assist.jp/data/china/image_1910th/80228537.pdf","80228537")</f>
        <v>80228537</v>
      </c>
      <c r="F1847" s="9" t="s">
        <v>5128</v>
      </c>
      <c r="G1847" s="9" t="s">
        <v>5129</v>
      </c>
      <c r="H1847" s="9" t="s">
        <v>5130</v>
      </c>
      <c r="I1847" s="10">
        <v>45511</v>
      </c>
    </row>
    <row r="1848" spans="1:9" x14ac:dyDescent="0.15">
      <c r="A1848" s="9">
        <v>1847</v>
      </c>
      <c r="B1848" s="9" t="s">
        <v>9</v>
      </c>
      <c r="C1848" s="9">
        <v>1910</v>
      </c>
      <c r="D1848" s="10">
        <v>45602</v>
      </c>
      <c r="E1848" s="13" t="str">
        <f>+HYPERLINK("http://trademark.i-assist.jp/data/china/image_1910th/80228707.pdf","80228707")</f>
        <v>80228707</v>
      </c>
      <c r="F1848" s="9" t="s">
        <v>5131</v>
      </c>
      <c r="G1848" s="11" t="s">
        <v>5132</v>
      </c>
      <c r="H1848" s="9" t="s">
        <v>5133</v>
      </c>
      <c r="I1848" s="10">
        <v>45511</v>
      </c>
    </row>
    <row r="1849" spans="1:9" x14ac:dyDescent="0.15">
      <c r="A1849" s="9">
        <v>1848</v>
      </c>
      <c r="B1849" s="9" t="s">
        <v>9</v>
      </c>
      <c r="C1849" s="9">
        <v>1910</v>
      </c>
      <c r="D1849" s="10">
        <v>45602</v>
      </c>
      <c r="E1849" s="13" t="str">
        <f>+HYPERLINK("http://trademark.i-assist.jp/data/china/image_1910th/80228980.pdf","80228980")</f>
        <v>80228980</v>
      </c>
      <c r="F1849" s="9" t="s">
        <v>5134</v>
      </c>
      <c r="G1849" s="11" t="s">
        <v>5135</v>
      </c>
      <c r="H1849" s="9" t="s">
        <v>5136</v>
      </c>
      <c r="I1849" s="10">
        <v>45511</v>
      </c>
    </row>
    <row r="1850" spans="1:9" x14ac:dyDescent="0.15">
      <c r="A1850" s="9">
        <v>1849</v>
      </c>
      <c r="B1850" s="9" t="s">
        <v>9</v>
      </c>
      <c r="C1850" s="9">
        <v>1910</v>
      </c>
      <c r="D1850" s="10">
        <v>45602</v>
      </c>
      <c r="E1850" s="13" t="str">
        <f>+HYPERLINK("http://trademark.i-assist.jp/data/china/image_1910th/80229042.pdf","80229042")</f>
        <v>80229042</v>
      </c>
      <c r="F1850" s="9" t="s">
        <v>5137</v>
      </c>
      <c r="G1850" s="9" t="s">
        <v>5138</v>
      </c>
      <c r="H1850" s="11" t="s">
        <v>5139</v>
      </c>
      <c r="I1850" s="10">
        <v>45511</v>
      </c>
    </row>
    <row r="1851" spans="1:9" x14ac:dyDescent="0.15">
      <c r="A1851" s="9">
        <v>1850</v>
      </c>
      <c r="B1851" s="9" t="s">
        <v>9</v>
      </c>
      <c r="C1851" s="9">
        <v>1910</v>
      </c>
      <c r="D1851" s="10">
        <v>45602</v>
      </c>
      <c r="E1851" s="13" t="str">
        <f>+HYPERLINK("http://trademark.i-assist.jp/data/china/image_1910th/80229195.pdf","80229195")</f>
        <v>80229195</v>
      </c>
      <c r="F1851" s="9" t="s">
        <v>5140</v>
      </c>
      <c r="G1851" s="9" t="s">
        <v>5141</v>
      </c>
      <c r="H1851" s="9" t="s">
        <v>5142</v>
      </c>
      <c r="I1851" s="10">
        <v>45511</v>
      </c>
    </row>
    <row r="1852" spans="1:9" x14ac:dyDescent="0.15">
      <c r="A1852" s="9">
        <v>1851</v>
      </c>
      <c r="B1852" s="9" t="s">
        <v>9</v>
      </c>
      <c r="C1852" s="9">
        <v>1910</v>
      </c>
      <c r="D1852" s="10">
        <v>45602</v>
      </c>
      <c r="E1852" s="13" t="str">
        <f>+HYPERLINK("http://trademark.i-assist.jp/data/china/image_1910th/80229480.pdf","80229480")</f>
        <v>80229480</v>
      </c>
      <c r="F1852" s="9" t="s">
        <v>5143</v>
      </c>
      <c r="G1852" s="11" t="s">
        <v>5144</v>
      </c>
      <c r="H1852" s="9" t="s">
        <v>5145</v>
      </c>
      <c r="I1852" s="10">
        <v>45511</v>
      </c>
    </row>
    <row r="1853" spans="1:9" x14ac:dyDescent="0.15">
      <c r="A1853" s="9">
        <v>1852</v>
      </c>
      <c r="B1853" s="9" t="s">
        <v>9</v>
      </c>
      <c r="C1853" s="9">
        <v>1910</v>
      </c>
      <c r="D1853" s="10">
        <v>45602</v>
      </c>
      <c r="E1853" s="13" t="str">
        <f>+HYPERLINK("http://trademark.i-assist.jp/data/china/image_1910th/80229528.pdf","80229528")</f>
        <v>80229528</v>
      </c>
      <c r="F1853" s="9" t="s">
        <v>5146</v>
      </c>
      <c r="G1853" s="9" t="s">
        <v>4637</v>
      </c>
      <c r="H1853" s="9" t="s">
        <v>5147</v>
      </c>
      <c r="I1853" s="10">
        <v>45511</v>
      </c>
    </row>
    <row r="1854" spans="1:9" x14ac:dyDescent="0.15">
      <c r="A1854" s="9">
        <v>1853</v>
      </c>
      <c r="B1854" s="9" t="s">
        <v>9</v>
      </c>
      <c r="C1854" s="9">
        <v>1910</v>
      </c>
      <c r="D1854" s="10">
        <v>45602</v>
      </c>
      <c r="E1854" s="13" t="str">
        <f>+HYPERLINK("http://trademark.i-assist.jp/data/china/image_1910th/80230164.pdf","80230164")</f>
        <v>80230164</v>
      </c>
      <c r="F1854" s="9" t="s">
        <v>5148</v>
      </c>
      <c r="G1854" s="9" t="s">
        <v>5149</v>
      </c>
      <c r="H1854" s="9" t="s">
        <v>5150</v>
      </c>
      <c r="I1854" s="10">
        <v>45511</v>
      </c>
    </row>
    <row r="1855" spans="1:9" x14ac:dyDescent="0.15">
      <c r="A1855" s="9">
        <v>1854</v>
      </c>
      <c r="B1855" s="9" t="s">
        <v>9</v>
      </c>
      <c r="C1855" s="9">
        <v>1910</v>
      </c>
      <c r="D1855" s="10">
        <v>45602</v>
      </c>
      <c r="E1855" s="13" t="str">
        <f>+HYPERLINK("http://trademark.i-assist.jp/data/china/image_1910th/80230300.pdf","80230300")</f>
        <v>80230300</v>
      </c>
      <c r="F1855" s="9" t="s">
        <v>5151</v>
      </c>
      <c r="G1855" s="9" t="s">
        <v>4070</v>
      </c>
      <c r="H1855" s="9" t="s">
        <v>5152</v>
      </c>
      <c r="I1855" s="10">
        <v>45511</v>
      </c>
    </row>
    <row r="1856" spans="1:9" x14ac:dyDescent="0.15">
      <c r="A1856" s="9">
        <v>1855</v>
      </c>
      <c r="B1856" s="9" t="s">
        <v>9</v>
      </c>
      <c r="C1856" s="9">
        <v>1910</v>
      </c>
      <c r="D1856" s="10">
        <v>45602</v>
      </c>
      <c r="E1856" s="13" t="str">
        <f>+HYPERLINK("http://trademark.i-assist.jp/data/china/image_1910th/80230351.pdf","80230351")</f>
        <v>80230351</v>
      </c>
      <c r="F1856" s="9" t="s">
        <v>5153</v>
      </c>
      <c r="G1856" s="9" t="s">
        <v>5154</v>
      </c>
      <c r="H1856" s="9" t="s">
        <v>5155</v>
      </c>
      <c r="I1856" s="10">
        <v>45511</v>
      </c>
    </row>
    <row r="1857" spans="1:9" x14ac:dyDescent="0.15">
      <c r="A1857" s="9">
        <v>1856</v>
      </c>
      <c r="B1857" s="9" t="s">
        <v>9</v>
      </c>
      <c r="C1857" s="9">
        <v>1910</v>
      </c>
      <c r="D1857" s="10">
        <v>45602</v>
      </c>
      <c r="E1857" s="13" t="str">
        <f>+HYPERLINK("http://trademark.i-assist.jp/data/china/image_1910th/80230509.pdf","80230509")</f>
        <v>80230509</v>
      </c>
      <c r="F1857" s="9" t="s">
        <v>5156</v>
      </c>
      <c r="G1857" s="9" t="s">
        <v>5157</v>
      </c>
      <c r="H1857" s="11" t="s">
        <v>5158</v>
      </c>
      <c r="I1857" s="10">
        <v>45511</v>
      </c>
    </row>
    <row r="1858" spans="1:9" x14ac:dyDescent="0.15">
      <c r="A1858" s="9">
        <v>1857</v>
      </c>
      <c r="B1858" s="9" t="s">
        <v>9</v>
      </c>
      <c r="C1858" s="9">
        <v>1910</v>
      </c>
      <c r="D1858" s="10">
        <v>45602</v>
      </c>
      <c r="E1858" s="13" t="str">
        <f>+HYPERLINK("http://trademark.i-assist.jp/data/china/image_1910th/80230540.pdf","80230540")</f>
        <v>80230540</v>
      </c>
      <c r="F1858" s="9" t="s">
        <v>5159</v>
      </c>
      <c r="G1858" s="9" t="s">
        <v>5043</v>
      </c>
      <c r="H1858" s="9" t="s">
        <v>5160</v>
      </c>
      <c r="I1858" s="10">
        <v>45511</v>
      </c>
    </row>
    <row r="1859" spans="1:9" x14ac:dyDescent="0.15">
      <c r="A1859" s="9">
        <v>1858</v>
      </c>
      <c r="B1859" s="9" t="s">
        <v>9</v>
      </c>
      <c r="C1859" s="9">
        <v>1910</v>
      </c>
      <c r="D1859" s="10">
        <v>45602</v>
      </c>
      <c r="E1859" s="13" t="str">
        <f>+HYPERLINK("http://trademark.i-assist.jp/data/china/image_1910th/80230548.pdf","80230548")</f>
        <v>80230548</v>
      </c>
      <c r="F1859" s="11" t="s">
        <v>5161</v>
      </c>
      <c r="G1859" s="9" t="s">
        <v>5043</v>
      </c>
      <c r="H1859" s="9" t="s">
        <v>5162</v>
      </c>
      <c r="I1859" s="10">
        <v>45511</v>
      </c>
    </row>
    <row r="1860" spans="1:9" x14ac:dyDescent="0.15">
      <c r="A1860" s="9">
        <v>1859</v>
      </c>
      <c r="B1860" s="9" t="s">
        <v>9</v>
      </c>
      <c r="C1860" s="9">
        <v>1910</v>
      </c>
      <c r="D1860" s="10">
        <v>45602</v>
      </c>
      <c r="E1860" s="13" t="str">
        <f>+HYPERLINK("http://trademark.i-assist.jp/data/china/image_1910th/80230875.pdf","80230875")</f>
        <v>80230875</v>
      </c>
      <c r="F1860" s="11" t="s">
        <v>19</v>
      </c>
      <c r="G1860" s="9" t="s">
        <v>5163</v>
      </c>
      <c r="H1860" s="9" t="s">
        <v>5164</v>
      </c>
      <c r="I1860" s="10">
        <v>45511</v>
      </c>
    </row>
    <row r="1861" spans="1:9" x14ac:dyDescent="0.15">
      <c r="A1861" s="9">
        <v>1860</v>
      </c>
      <c r="B1861" s="9" t="s">
        <v>9</v>
      </c>
      <c r="C1861" s="9">
        <v>1910</v>
      </c>
      <c r="D1861" s="10">
        <v>45602</v>
      </c>
      <c r="E1861" s="13" t="str">
        <f>+HYPERLINK("http://trademark.i-assist.jp/data/china/image_1910th/80230921.pdf","80230921")</f>
        <v>80230921</v>
      </c>
      <c r="F1861" s="11" t="s">
        <v>5165</v>
      </c>
      <c r="G1861" s="11" t="s">
        <v>5166</v>
      </c>
      <c r="H1861" s="9" t="s">
        <v>5167</v>
      </c>
      <c r="I1861" s="10">
        <v>45511</v>
      </c>
    </row>
    <row r="1862" spans="1:9" x14ac:dyDescent="0.15">
      <c r="A1862" s="9">
        <v>1861</v>
      </c>
      <c r="B1862" s="9" t="s">
        <v>9</v>
      </c>
      <c r="C1862" s="9">
        <v>1910</v>
      </c>
      <c r="D1862" s="10">
        <v>45602</v>
      </c>
      <c r="E1862" s="13" t="str">
        <f>+HYPERLINK("http://trademark.i-assist.jp/data/china/image_1910th/80231000.pdf","80231000")</f>
        <v>80231000</v>
      </c>
      <c r="F1862" s="9" t="s">
        <v>5168</v>
      </c>
      <c r="G1862" s="9" t="s">
        <v>5169</v>
      </c>
      <c r="H1862" s="9" t="s">
        <v>5170</v>
      </c>
      <c r="I1862" s="10">
        <v>45511</v>
      </c>
    </row>
    <row r="1863" spans="1:9" x14ac:dyDescent="0.15">
      <c r="A1863" s="9">
        <v>1862</v>
      </c>
      <c r="B1863" s="9" t="s">
        <v>9</v>
      </c>
      <c r="C1863" s="9">
        <v>1910</v>
      </c>
      <c r="D1863" s="10">
        <v>45602</v>
      </c>
      <c r="E1863" s="13" t="str">
        <f>+HYPERLINK("http://trademark.i-assist.jp/data/china/image_1910th/80231124.pdf","80231124")</f>
        <v>80231124</v>
      </c>
      <c r="F1863" s="9" t="s">
        <v>5171</v>
      </c>
      <c r="G1863" s="9" t="s">
        <v>5172</v>
      </c>
      <c r="H1863" s="9" t="s">
        <v>5173</v>
      </c>
      <c r="I1863" s="10">
        <v>45511</v>
      </c>
    </row>
    <row r="1864" spans="1:9" x14ac:dyDescent="0.15">
      <c r="A1864" s="9">
        <v>1863</v>
      </c>
      <c r="B1864" s="9" t="s">
        <v>9</v>
      </c>
      <c r="C1864" s="9">
        <v>1910</v>
      </c>
      <c r="D1864" s="10">
        <v>45602</v>
      </c>
      <c r="E1864" s="13" t="str">
        <f>+HYPERLINK("http://trademark.i-assist.jp/data/china/image_1910th/80231236.pdf","80231236")</f>
        <v>80231236</v>
      </c>
      <c r="F1864" s="9" t="s">
        <v>5174</v>
      </c>
      <c r="G1864" s="9" t="s">
        <v>5175</v>
      </c>
      <c r="H1864" s="9" t="s">
        <v>5176</v>
      </c>
      <c r="I1864" s="10">
        <v>45511</v>
      </c>
    </row>
    <row r="1865" spans="1:9" x14ac:dyDescent="0.15">
      <c r="A1865" s="9">
        <v>1864</v>
      </c>
      <c r="B1865" s="9" t="s">
        <v>9</v>
      </c>
      <c r="C1865" s="9">
        <v>1910</v>
      </c>
      <c r="D1865" s="10">
        <v>45602</v>
      </c>
      <c r="E1865" s="13" t="str">
        <f>+HYPERLINK("http://trademark.i-assist.jp/data/china/image_1910th/80231376.pdf","80231376")</f>
        <v>80231376</v>
      </c>
      <c r="F1865" s="9" t="s">
        <v>5177</v>
      </c>
      <c r="G1865" s="9" t="s">
        <v>5178</v>
      </c>
      <c r="H1865" s="9" t="s">
        <v>5179</v>
      </c>
      <c r="I1865" s="10">
        <v>45511</v>
      </c>
    </row>
    <row r="1866" spans="1:9" x14ac:dyDescent="0.15">
      <c r="A1866" s="9">
        <v>1865</v>
      </c>
      <c r="B1866" s="9" t="s">
        <v>9</v>
      </c>
      <c r="C1866" s="9">
        <v>1910</v>
      </c>
      <c r="D1866" s="10">
        <v>45602</v>
      </c>
      <c r="E1866" s="13" t="str">
        <f>+HYPERLINK("http://trademark.i-assist.jp/data/china/image_1910th/80231669.pdf","80231669")</f>
        <v>80231669</v>
      </c>
      <c r="F1866" s="9" t="s">
        <v>5180</v>
      </c>
      <c r="G1866" s="9" t="s">
        <v>5181</v>
      </c>
      <c r="H1866" s="9" t="s">
        <v>5182</v>
      </c>
      <c r="I1866" s="10">
        <v>45511</v>
      </c>
    </row>
    <row r="1867" spans="1:9" x14ac:dyDescent="0.15">
      <c r="A1867" s="9">
        <v>1866</v>
      </c>
      <c r="B1867" s="9" t="s">
        <v>9</v>
      </c>
      <c r="C1867" s="9">
        <v>1910</v>
      </c>
      <c r="D1867" s="10">
        <v>45602</v>
      </c>
      <c r="E1867" s="13" t="str">
        <f>+HYPERLINK("http://trademark.i-assist.jp/data/china/image_1910th/80231757.pdf","80231757")</f>
        <v>80231757</v>
      </c>
      <c r="F1867" s="9" t="s">
        <v>5183</v>
      </c>
      <c r="G1867" s="9" t="s">
        <v>5184</v>
      </c>
      <c r="H1867" s="9" t="s">
        <v>5185</v>
      </c>
      <c r="I1867" s="10">
        <v>45511</v>
      </c>
    </row>
    <row r="1868" spans="1:9" x14ac:dyDescent="0.15">
      <c r="A1868" s="9">
        <v>1867</v>
      </c>
      <c r="B1868" s="9" t="s">
        <v>9</v>
      </c>
      <c r="C1868" s="9">
        <v>1910</v>
      </c>
      <c r="D1868" s="10">
        <v>45602</v>
      </c>
      <c r="E1868" s="13" t="str">
        <f>+HYPERLINK("http://trademark.i-assist.jp/data/china/image_1910th/80231881.pdf","80231881")</f>
        <v>80231881</v>
      </c>
      <c r="F1868" s="9" t="s">
        <v>5186</v>
      </c>
      <c r="G1868" s="9" t="s">
        <v>5187</v>
      </c>
      <c r="H1868" s="9" t="s">
        <v>5188</v>
      </c>
      <c r="I1868" s="10">
        <v>45511</v>
      </c>
    </row>
    <row r="1869" spans="1:9" x14ac:dyDescent="0.15">
      <c r="A1869" s="9">
        <v>1868</v>
      </c>
      <c r="B1869" s="9" t="s">
        <v>9</v>
      </c>
      <c r="C1869" s="9">
        <v>1910</v>
      </c>
      <c r="D1869" s="10">
        <v>45602</v>
      </c>
      <c r="E1869" s="13" t="str">
        <f>+HYPERLINK("http://trademark.i-assist.jp/data/china/image_1910th/80231907.pdf","80231907")</f>
        <v>80231907</v>
      </c>
      <c r="F1869" s="11" t="s">
        <v>5189</v>
      </c>
      <c r="G1869" s="9" t="s">
        <v>5190</v>
      </c>
      <c r="H1869" s="9" t="s">
        <v>5191</v>
      </c>
      <c r="I1869" s="10">
        <v>45511</v>
      </c>
    </row>
    <row r="1870" spans="1:9" x14ac:dyDescent="0.15">
      <c r="A1870" s="9">
        <v>1869</v>
      </c>
      <c r="B1870" s="9" t="s">
        <v>9</v>
      </c>
      <c r="C1870" s="9">
        <v>1910</v>
      </c>
      <c r="D1870" s="10">
        <v>45602</v>
      </c>
      <c r="E1870" s="13" t="str">
        <f>+HYPERLINK("http://trademark.i-assist.jp/data/china/image_1910th/80232021.pdf","80232021")</f>
        <v>80232021</v>
      </c>
      <c r="F1870" s="9" t="s">
        <v>5192</v>
      </c>
      <c r="G1870" s="9" t="s">
        <v>5193</v>
      </c>
      <c r="H1870" s="9" t="s">
        <v>5194</v>
      </c>
      <c r="I1870" s="10">
        <v>45511</v>
      </c>
    </row>
    <row r="1871" spans="1:9" x14ac:dyDescent="0.15">
      <c r="A1871" s="9">
        <v>1870</v>
      </c>
      <c r="B1871" s="9" t="s">
        <v>9</v>
      </c>
      <c r="C1871" s="9">
        <v>1910</v>
      </c>
      <c r="D1871" s="10">
        <v>45602</v>
      </c>
      <c r="E1871" s="13" t="str">
        <f>+HYPERLINK("http://trademark.i-assist.jp/data/china/image_1910th/80232042.pdf","80232042")</f>
        <v>80232042</v>
      </c>
      <c r="F1871" s="9" t="s">
        <v>5195</v>
      </c>
      <c r="G1871" s="9" t="s">
        <v>5196</v>
      </c>
      <c r="H1871" s="9" t="s">
        <v>5197</v>
      </c>
      <c r="I1871" s="10">
        <v>45511</v>
      </c>
    </row>
    <row r="1872" spans="1:9" x14ac:dyDescent="0.15">
      <c r="A1872" s="9">
        <v>1871</v>
      </c>
      <c r="B1872" s="9" t="s">
        <v>9</v>
      </c>
      <c r="C1872" s="9">
        <v>1910</v>
      </c>
      <c r="D1872" s="10">
        <v>45602</v>
      </c>
      <c r="E1872" s="13" t="str">
        <f>+HYPERLINK("http://trademark.i-assist.jp/data/china/image_1910th/80232104.pdf","80232104")</f>
        <v>80232104</v>
      </c>
      <c r="F1872" s="9" t="s">
        <v>5198</v>
      </c>
      <c r="G1872" s="9" t="s">
        <v>5199</v>
      </c>
      <c r="H1872" s="9" t="s">
        <v>5200</v>
      </c>
      <c r="I1872" s="10">
        <v>45511</v>
      </c>
    </row>
    <row r="1873" spans="1:9" x14ac:dyDescent="0.15">
      <c r="A1873" s="9">
        <v>1872</v>
      </c>
      <c r="B1873" s="9" t="s">
        <v>9</v>
      </c>
      <c r="C1873" s="9">
        <v>1910</v>
      </c>
      <c r="D1873" s="10">
        <v>45602</v>
      </c>
      <c r="E1873" s="13" t="str">
        <f>+HYPERLINK("http://trademark.i-assist.jp/data/china/image_1910th/80232415.pdf","80232415")</f>
        <v>80232415</v>
      </c>
      <c r="F1873" s="9" t="s">
        <v>5201</v>
      </c>
      <c r="G1873" s="9" t="s">
        <v>5202</v>
      </c>
      <c r="H1873" s="11" t="s">
        <v>5203</v>
      </c>
      <c r="I1873" s="10">
        <v>45511</v>
      </c>
    </row>
    <row r="1874" spans="1:9" x14ac:dyDescent="0.15">
      <c r="A1874" s="9">
        <v>1873</v>
      </c>
      <c r="B1874" s="9" t="s">
        <v>9</v>
      </c>
      <c r="C1874" s="9">
        <v>1910</v>
      </c>
      <c r="D1874" s="10">
        <v>45602</v>
      </c>
      <c r="E1874" s="13" t="str">
        <f>+HYPERLINK("http://trademark.i-assist.jp/data/china/image_1910th/80232466.pdf","80232466")</f>
        <v>80232466</v>
      </c>
      <c r="F1874" s="9" t="s">
        <v>5204</v>
      </c>
      <c r="G1874" s="11" t="s">
        <v>175</v>
      </c>
      <c r="H1874" s="9" t="s">
        <v>5205</v>
      </c>
      <c r="I1874" s="10">
        <v>45511</v>
      </c>
    </row>
    <row r="1875" spans="1:9" x14ac:dyDescent="0.15">
      <c r="A1875" s="9">
        <v>1874</v>
      </c>
      <c r="B1875" s="9" t="s">
        <v>9</v>
      </c>
      <c r="C1875" s="9">
        <v>1910</v>
      </c>
      <c r="D1875" s="10">
        <v>45602</v>
      </c>
      <c r="E1875" s="13" t="str">
        <f>+HYPERLINK("http://trademark.i-assist.jp/data/china/image_1910th/80232502.pdf","80232502")</f>
        <v>80232502</v>
      </c>
      <c r="F1875" s="9" t="s">
        <v>5206</v>
      </c>
      <c r="G1875" s="9" t="s">
        <v>5118</v>
      </c>
      <c r="H1875" s="9" t="s">
        <v>5207</v>
      </c>
      <c r="I1875" s="10">
        <v>45511</v>
      </c>
    </row>
    <row r="1876" spans="1:9" x14ac:dyDescent="0.15">
      <c r="A1876" s="9">
        <v>1875</v>
      </c>
      <c r="B1876" s="9" t="s">
        <v>9</v>
      </c>
      <c r="C1876" s="9">
        <v>1910</v>
      </c>
      <c r="D1876" s="10">
        <v>45602</v>
      </c>
      <c r="E1876" s="13" t="str">
        <f>+HYPERLINK("http://trademark.i-assist.jp/data/china/image_1910th/80232567.pdf","80232567")</f>
        <v>80232567</v>
      </c>
      <c r="F1876" s="9" t="s">
        <v>5208</v>
      </c>
      <c r="G1876" s="9" t="s">
        <v>5209</v>
      </c>
      <c r="H1876" s="11" t="s">
        <v>5210</v>
      </c>
      <c r="I1876" s="10">
        <v>45511</v>
      </c>
    </row>
    <row r="1877" spans="1:9" x14ac:dyDescent="0.15">
      <c r="A1877" s="9">
        <v>1876</v>
      </c>
      <c r="B1877" s="9" t="s">
        <v>9</v>
      </c>
      <c r="C1877" s="9">
        <v>1910</v>
      </c>
      <c r="D1877" s="10">
        <v>45602</v>
      </c>
      <c r="E1877" s="13" t="str">
        <f>+HYPERLINK("http://trademark.i-assist.jp/data/china/image_1910th/80232615.pdf","80232615")</f>
        <v>80232615</v>
      </c>
      <c r="F1877" s="11" t="s">
        <v>5211</v>
      </c>
      <c r="G1877" s="9" t="s">
        <v>5212</v>
      </c>
      <c r="H1877" s="9" t="s">
        <v>5213</v>
      </c>
      <c r="I1877" s="10">
        <v>45511</v>
      </c>
    </row>
    <row r="1878" spans="1:9" x14ac:dyDescent="0.15">
      <c r="A1878" s="9">
        <v>1877</v>
      </c>
      <c r="B1878" s="9" t="s">
        <v>9</v>
      </c>
      <c r="C1878" s="9">
        <v>1910</v>
      </c>
      <c r="D1878" s="10">
        <v>45602</v>
      </c>
      <c r="E1878" s="13" t="str">
        <f>+HYPERLINK("http://trademark.i-assist.jp/data/china/image_1910th/80232673.pdf","80232673")</f>
        <v>80232673</v>
      </c>
      <c r="F1878" s="12" t="s">
        <v>5214</v>
      </c>
      <c r="G1878" s="9" t="s">
        <v>136</v>
      </c>
      <c r="H1878" s="9" t="s">
        <v>5215</v>
      </c>
      <c r="I1878" s="10">
        <v>45511</v>
      </c>
    </row>
    <row r="1879" spans="1:9" x14ac:dyDescent="0.15">
      <c r="A1879" s="9">
        <v>1878</v>
      </c>
      <c r="B1879" s="9" t="s">
        <v>9</v>
      </c>
      <c r="C1879" s="9">
        <v>1910</v>
      </c>
      <c r="D1879" s="10">
        <v>45602</v>
      </c>
      <c r="E1879" s="13" t="str">
        <f>+HYPERLINK("http://trademark.i-assist.jp/data/china/image_1910th/80232795.pdf","80232795")</f>
        <v>80232795</v>
      </c>
      <c r="F1879" s="9" t="s">
        <v>5216</v>
      </c>
      <c r="G1879" s="11" t="s">
        <v>5217</v>
      </c>
      <c r="H1879" s="9" t="s">
        <v>5218</v>
      </c>
      <c r="I1879" s="10">
        <v>45511</v>
      </c>
    </row>
    <row r="1880" spans="1:9" x14ac:dyDescent="0.15">
      <c r="A1880" s="9">
        <v>1879</v>
      </c>
      <c r="B1880" s="9" t="s">
        <v>9</v>
      </c>
      <c r="C1880" s="9">
        <v>1910</v>
      </c>
      <c r="D1880" s="10">
        <v>45602</v>
      </c>
      <c r="E1880" s="13" t="str">
        <f>+HYPERLINK("http://trademark.i-assist.jp/data/china/image_1910th/80232814.pdf","80232814")</f>
        <v>80232814</v>
      </c>
      <c r="F1880" s="11" t="s">
        <v>5219</v>
      </c>
      <c r="G1880" s="11" t="s">
        <v>5132</v>
      </c>
      <c r="H1880" s="11" t="s">
        <v>5220</v>
      </c>
      <c r="I1880" s="10">
        <v>45511</v>
      </c>
    </row>
    <row r="1881" spans="1:9" x14ac:dyDescent="0.15">
      <c r="A1881" s="9">
        <v>1880</v>
      </c>
      <c r="B1881" s="9" t="s">
        <v>9</v>
      </c>
      <c r="C1881" s="9">
        <v>1910</v>
      </c>
      <c r="D1881" s="10">
        <v>45602</v>
      </c>
      <c r="E1881" s="13" t="str">
        <f>+HYPERLINK("http://trademark.i-assist.jp/data/china/image_1910th/80232897.pdf","80232897")</f>
        <v>80232897</v>
      </c>
      <c r="F1881" s="11" t="s">
        <v>19</v>
      </c>
      <c r="G1881" s="9" t="s">
        <v>5221</v>
      </c>
      <c r="H1881" s="9" t="s">
        <v>5222</v>
      </c>
      <c r="I1881" s="10">
        <v>45511</v>
      </c>
    </row>
    <row r="1882" spans="1:9" x14ac:dyDescent="0.15">
      <c r="A1882" s="9">
        <v>1881</v>
      </c>
      <c r="B1882" s="9" t="s">
        <v>9</v>
      </c>
      <c r="C1882" s="9">
        <v>1910</v>
      </c>
      <c r="D1882" s="10">
        <v>45602</v>
      </c>
      <c r="E1882" s="13" t="str">
        <f>+HYPERLINK("http://trademark.i-assist.jp/data/china/image_1910th/80233048.pdf","80233048")</f>
        <v>80233048</v>
      </c>
      <c r="F1882" s="11" t="s">
        <v>5223</v>
      </c>
      <c r="G1882" s="9" t="s">
        <v>5224</v>
      </c>
      <c r="H1882" s="9" t="s">
        <v>5225</v>
      </c>
      <c r="I1882" s="10">
        <v>45511</v>
      </c>
    </row>
    <row r="1883" spans="1:9" x14ac:dyDescent="0.15">
      <c r="A1883" s="9">
        <v>1882</v>
      </c>
      <c r="B1883" s="9" t="s">
        <v>9</v>
      </c>
      <c r="C1883" s="9">
        <v>1910</v>
      </c>
      <c r="D1883" s="10">
        <v>45602</v>
      </c>
      <c r="E1883" s="13" t="str">
        <f>+HYPERLINK("http://trademark.i-assist.jp/data/china/image_1910th/80233523.pdf","80233523")</f>
        <v>80233523</v>
      </c>
      <c r="F1883" s="9" t="s">
        <v>5226</v>
      </c>
      <c r="G1883" s="11" t="s">
        <v>5227</v>
      </c>
      <c r="H1883" s="11" t="s">
        <v>5228</v>
      </c>
      <c r="I1883" s="10">
        <v>45511</v>
      </c>
    </row>
    <row r="1884" spans="1:9" x14ac:dyDescent="0.15">
      <c r="A1884" s="9">
        <v>1883</v>
      </c>
      <c r="B1884" s="9" t="s">
        <v>9</v>
      </c>
      <c r="C1884" s="9">
        <v>1910</v>
      </c>
      <c r="D1884" s="10">
        <v>45602</v>
      </c>
      <c r="E1884" s="13" t="str">
        <f>+HYPERLINK("http://trademark.i-assist.jp/data/china/image_1910th/80233655.pdf","80233655")</f>
        <v>80233655</v>
      </c>
      <c r="F1884" s="9" t="s">
        <v>5229</v>
      </c>
      <c r="G1884" s="9" t="s">
        <v>5230</v>
      </c>
      <c r="H1884" s="9" t="s">
        <v>5231</v>
      </c>
      <c r="I1884" s="10">
        <v>45511</v>
      </c>
    </row>
    <row r="1885" spans="1:9" x14ac:dyDescent="0.15">
      <c r="A1885" s="9">
        <v>1884</v>
      </c>
      <c r="B1885" s="9" t="s">
        <v>9</v>
      </c>
      <c r="C1885" s="9">
        <v>1910</v>
      </c>
      <c r="D1885" s="10">
        <v>45602</v>
      </c>
      <c r="E1885" s="13" t="str">
        <f>+HYPERLINK("http://trademark.i-assist.jp/data/china/image_1910th/80233658.pdf","80233658")</f>
        <v>80233658</v>
      </c>
      <c r="F1885" s="9" t="s">
        <v>5232</v>
      </c>
      <c r="G1885" s="11" t="s">
        <v>5233</v>
      </c>
      <c r="H1885" s="9" t="s">
        <v>5234</v>
      </c>
      <c r="I1885" s="10">
        <v>45511</v>
      </c>
    </row>
    <row r="1886" spans="1:9" x14ac:dyDescent="0.15">
      <c r="A1886" s="9">
        <v>1885</v>
      </c>
      <c r="B1886" s="9" t="s">
        <v>9</v>
      </c>
      <c r="C1886" s="9">
        <v>1910</v>
      </c>
      <c r="D1886" s="10">
        <v>45602</v>
      </c>
      <c r="E1886" s="13" t="str">
        <f>+HYPERLINK("http://trademark.i-assist.jp/data/china/image_1910th/80233703.pdf","80233703")</f>
        <v>80233703</v>
      </c>
      <c r="F1886" s="9" t="s">
        <v>5235</v>
      </c>
      <c r="G1886" s="9" t="s">
        <v>5236</v>
      </c>
      <c r="H1886" s="9" t="s">
        <v>5237</v>
      </c>
      <c r="I1886" s="10">
        <v>45511</v>
      </c>
    </row>
    <row r="1887" spans="1:9" x14ac:dyDescent="0.15">
      <c r="A1887" s="9">
        <v>1886</v>
      </c>
      <c r="B1887" s="9" t="s">
        <v>9</v>
      </c>
      <c r="C1887" s="9">
        <v>1910</v>
      </c>
      <c r="D1887" s="10">
        <v>45602</v>
      </c>
      <c r="E1887" s="13" t="str">
        <f>+HYPERLINK("http://trademark.i-assist.jp/data/china/image_1910th/80234021.pdf","80234021")</f>
        <v>80234021</v>
      </c>
      <c r="F1887" s="9" t="s">
        <v>5238</v>
      </c>
      <c r="G1887" s="9" t="s">
        <v>185</v>
      </c>
      <c r="H1887" s="9" t="s">
        <v>5239</v>
      </c>
      <c r="I1887" s="10">
        <v>45511</v>
      </c>
    </row>
    <row r="1888" spans="1:9" x14ac:dyDescent="0.15">
      <c r="A1888" s="9">
        <v>1887</v>
      </c>
      <c r="B1888" s="9" t="s">
        <v>9</v>
      </c>
      <c r="C1888" s="9">
        <v>1910</v>
      </c>
      <c r="D1888" s="10">
        <v>45602</v>
      </c>
      <c r="E1888" s="13" t="str">
        <f>+HYPERLINK("http://trademark.i-assist.jp/data/china/image_1910th/80234099.pdf","80234099")</f>
        <v>80234099</v>
      </c>
      <c r="F1888" s="9" t="s">
        <v>5240</v>
      </c>
      <c r="G1888" s="9" t="s">
        <v>5241</v>
      </c>
      <c r="H1888" s="9" t="s">
        <v>5242</v>
      </c>
      <c r="I1888" s="10">
        <v>45511</v>
      </c>
    </row>
    <row r="1889" spans="1:9" x14ac:dyDescent="0.15">
      <c r="A1889" s="9">
        <v>1888</v>
      </c>
      <c r="B1889" s="9" t="s">
        <v>9</v>
      </c>
      <c r="C1889" s="9">
        <v>1910</v>
      </c>
      <c r="D1889" s="10">
        <v>45602</v>
      </c>
      <c r="E1889" s="13" t="str">
        <f>+HYPERLINK("http://trademark.i-assist.jp/data/china/image_1910th/80234132.pdf","80234132")</f>
        <v>80234132</v>
      </c>
      <c r="F1889" s="11" t="s">
        <v>5243</v>
      </c>
      <c r="G1889" s="9" t="s">
        <v>5043</v>
      </c>
      <c r="H1889" s="9" t="s">
        <v>5244</v>
      </c>
      <c r="I1889" s="10">
        <v>45511</v>
      </c>
    </row>
    <row r="1890" spans="1:9" x14ac:dyDescent="0.15">
      <c r="A1890" s="9">
        <v>1889</v>
      </c>
      <c r="B1890" s="9" t="s">
        <v>9</v>
      </c>
      <c r="C1890" s="9">
        <v>1910</v>
      </c>
      <c r="D1890" s="10">
        <v>45602</v>
      </c>
      <c r="E1890" s="13" t="str">
        <f>+HYPERLINK("http://trademark.i-assist.jp/data/china/image_1910th/80234363.pdf","80234363")</f>
        <v>80234363</v>
      </c>
      <c r="F1890" s="9" t="s">
        <v>5245</v>
      </c>
      <c r="G1890" s="12" t="s">
        <v>5246</v>
      </c>
      <c r="H1890" s="9" t="s">
        <v>5247</v>
      </c>
      <c r="I1890" s="10">
        <v>45511</v>
      </c>
    </row>
    <row r="1891" spans="1:9" x14ac:dyDescent="0.15">
      <c r="A1891" s="9">
        <v>1890</v>
      </c>
      <c r="B1891" s="9" t="s">
        <v>9</v>
      </c>
      <c r="C1891" s="9">
        <v>1910</v>
      </c>
      <c r="D1891" s="10">
        <v>45602</v>
      </c>
      <c r="E1891" s="13" t="str">
        <f>+HYPERLINK("http://trademark.i-assist.jp/data/china/image_1910th/80234632.pdf","80234632")</f>
        <v>80234632</v>
      </c>
      <c r="F1891" s="9" t="s">
        <v>5248</v>
      </c>
      <c r="G1891" s="11" t="s">
        <v>5249</v>
      </c>
      <c r="H1891" s="11" t="s">
        <v>5250</v>
      </c>
      <c r="I1891" s="10">
        <v>45511</v>
      </c>
    </row>
    <row r="1892" spans="1:9" x14ac:dyDescent="0.15">
      <c r="A1892" s="9">
        <v>1891</v>
      </c>
      <c r="B1892" s="9" t="s">
        <v>9</v>
      </c>
      <c r="C1892" s="9">
        <v>1910</v>
      </c>
      <c r="D1892" s="10">
        <v>45602</v>
      </c>
      <c r="E1892" s="13" t="str">
        <f>+HYPERLINK("http://trademark.i-assist.jp/data/china/image_1910th/80234996.pdf","80234996")</f>
        <v>80234996</v>
      </c>
      <c r="F1892" s="11" t="s">
        <v>5251</v>
      </c>
      <c r="G1892" s="9" t="s">
        <v>5252</v>
      </c>
      <c r="H1892" s="9" t="s">
        <v>5253</v>
      </c>
      <c r="I1892" s="10">
        <v>45511</v>
      </c>
    </row>
    <row r="1893" spans="1:9" x14ac:dyDescent="0.15">
      <c r="A1893" s="9">
        <v>1892</v>
      </c>
      <c r="B1893" s="9" t="s">
        <v>9</v>
      </c>
      <c r="C1893" s="9">
        <v>1910</v>
      </c>
      <c r="D1893" s="10">
        <v>45602</v>
      </c>
      <c r="E1893" s="13" t="str">
        <f>+HYPERLINK("http://trademark.i-assist.jp/data/china/image_1910th/80235063.pdf","80235063")</f>
        <v>80235063</v>
      </c>
      <c r="F1893" s="9" t="s">
        <v>5254</v>
      </c>
      <c r="G1893" s="9" t="s">
        <v>5255</v>
      </c>
      <c r="H1893" s="9" t="s">
        <v>5256</v>
      </c>
      <c r="I1893" s="10">
        <v>45511</v>
      </c>
    </row>
    <row r="1894" spans="1:9" x14ac:dyDescent="0.15">
      <c r="A1894" s="9">
        <v>1893</v>
      </c>
      <c r="B1894" s="9" t="s">
        <v>9</v>
      </c>
      <c r="C1894" s="9">
        <v>1910</v>
      </c>
      <c r="D1894" s="10">
        <v>45602</v>
      </c>
      <c r="E1894" s="13" t="str">
        <f>+HYPERLINK("http://trademark.i-assist.jp/data/china/image_1910th/80235146.pdf","80235146")</f>
        <v>80235146</v>
      </c>
      <c r="F1894" s="9" t="s">
        <v>5257</v>
      </c>
      <c r="G1894" s="9" t="s">
        <v>5258</v>
      </c>
      <c r="H1894" s="9" t="s">
        <v>5259</v>
      </c>
      <c r="I1894" s="10">
        <v>45511</v>
      </c>
    </row>
    <row r="1895" spans="1:9" x14ac:dyDescent="0.15">
      <c r="A1895" s="9">
        <v>1894</v>
      </c>
      <c r="B1895" s="9" t="s">
        <v>9</v>
      </c>
      <c r="C1895" s="9">
        <v>1910</v>
      </c>
      <c r="D1895" s="10">
        <v>45602</v>
      </c>
      <c r="E1895" s="13" t="str">
        <f>+HYPERLINK("http://trademark.i-assist.jp/data/china/image_1910th/80235360.pdf","80235360")</f>
        <v>80235360</v>
      </c>
      <c r="F1895" s="9" t="s">
        <v>5260</v>
      </c>
      <c r="G1895" s="9" t="s">
        <v>5076</v>
      </c>
      <c r="H1895" s="9" t="s">
        <v>5261</v>
      </c>
      <c r="I1895" s="10">
        <v>45511</v>
      </c>
    </row>
    <row r="1896" spans="1:9" x14ac:dyDescent="0.15">
      <c r="A1896" s="9">
        <v>1895</v>
      </c>
      <c r="B1896" s="9" t="s">
        <v>9</v>
      </c>
      <c r="C1896" s="9">
        <v>1910</v>
      </c>
      <c r="D1896" s="10">
        <v>45602</v>
      </c>
      <c r="E1896" s="13" t="str">
        <f>+HYPERLINK("http://trademark.i-assist.jp/data/china/image_1910th/80235410.pdf","80235410")</f>
        <v>80235410</v>
      </c>
      <c r="F1896" s="9" t="s">
        <v>5262</v>
      </c>
      <c r="G1896" s="9" t="s">
        <v>5263</v>
      </c>
      <c r="H1896" s="9" t="s">
        <v>5264</v>
      </c>
      <c r="I1896" s="10">
        <v>45511</v>
      </c>
    </row>
    <row r="1897" spans="1:9" x14ac:dyDescent="0.15">
      <c r="A1897" s="9">
        <v>1896</v>
      </c>
      <c r="B1897" s="9" t="s">
        <v>9</v>
      </c>
      <c r="C1897" s="9">
        <v>1910</v>
      </c>
      <c r="D1897" s="10">
        <v>45602</v>
      </c>
      <c r="E1897" s="13" t="str">
        <f>+HYPERLINK("http://trademark.i-assist.jp/data/china/image_1910th/80235587.pdf","80235587")</f>
        <v>80235587</v>
      </c>
      <c r="F1897" s="11" t="s">
        <v>5265</v>
      </c>
      <c r="G1897" s="9" t="s">
        <v>5266</v>
      </c>
      <c r="H1897" s="11" t="s">
        <v>5267</v>
      </c>
      <c r="I1897" s="10">
        <v>45511</v>
      </c>
    </row>
    <row r="1898" spans="1:9" x14ac:dyDescent="0.15">
      <c r="A1898" s="9">
        <v>1897</v>
      </c>
      <c r="B1898" s="9" t="s">
        <v>9</v>
      </c>
      <c r="C1898" s="9">
        <v>1910</v>
      </c>
      <c r="D1898" s="10">
        <v>45602</v>
      </c>
      <c r="E1898" s="13" t="str">
        <f>+HYPERLINK("http://trademark.i-assist.jp/data/china/image_1910th/80235729.pdf","80235729")</f>
        <v>80235729</v>
      </c>
      <c r="F1898" s="11" t="s">
        <v>5268</v>
      </c>
      <c r="G1898" s="9" t="s">
        <v>5269</v>
      </c>
      <c r="H1898" s="9" t="s">
        <v>5270</v>
      </c>
      <c r="I1898" s="10">
        <v>45511</v>
      </c>
    </row>
    <row r="1899" spans="1:9" x14ac:dyDescent="0.15">
      <c r="A1899" s="9">
        <v>1898</v>
      </c>
      <c r="B1899" s="9" t="s">
        <v>9</v>
      </c>
      <c r="C1899" s="9">
        <v>1910</v>
      </c>
      <c r="D1899" s="10">
        <v>45602</v>
      </c>
      <c r="E1899" s="13" t="str">
        <f>+HYPERLINK("http://trademark.i-assist.jp/data/china/image_1910th/80235752.pdf","80235752")</f>
        <v>80235752</v>
      </c>
      <c r="F1899" s="9" t="s">
        <v>5271</v>
      </c>
      <c r="G1899" s="9" t="s">
        <v>5043</v>
      </c>
      <c r="H1899" s="9" t="s">
        <v>5272</v>
      </c>
      <c r="I1899" s="10">
        <v>45511</v>
      </c>
    </row>
    <row r="1900" spans="1:9" x14ac:dyDescent="0.15">
      <c r="A1900" s="9">
        <v>1899</v>
      </c>
      <c r="B1900" s="9" t="s">
        <v>9</v>
      </c>
      <c r="C1900" s="9">
        <v>1910</v>
      </c>
      <c r="D1900" s="10">
        <v>45602</v>
      </c>
      <c r="E1900" s="13" t="str">
        <f>+HYPERLINK("http://trademark.i-assist.jp/data/china/image_1910th/80235856.pdf","80235856")</f>
        <v>80235856</v>
      </c>
      <c r="F1900" s="9" t="s">
        <v>5273</v>
      </c>
      <c r="G1900" s="11" t="s">
        <v>5274</v>
      </c>
      <c r="H1900" s="9" t="s">
        <v>5275</v>
      </c>
      <c r="I1900" s="10">
        <v>45511</v>
      </c>
    </row>
    <row r="1901" spans="1:9" x14ac:dyDescent="0.15">
      <c r="A1901" s="9">
        <v>1900</v>
      </c>
      <c r="B1901" s="9" t="s">
        <v>9</v>
      </c>
      <c r="C1901" s="9">
        <v>1910</v>
      </c>
      <c r="D1901" s="10">
        <v>45602</v>
      </c>
      <c r="E1901" s="13" t="str">
        <f>+HYPERLINK("http://trademark.i-assist.jp/data/china/image_1910th/80235921.pdf","80235921")</f>
        <v>80235921</v>
      </c>
      <c r="F1901" s="9" t="s">
        <v>5276</v>
      </c>
      <c r="G1901" s="11" t="s">
        <v>5277</v>
      </c>
      <c r="H1901" s="9" t="s">
        <v>5278</v>
      </c>
      <c r="I1901" s="10">
        <v>45511</v>
      </c>
    </row>
    <row r="1902" spans="1:9" x14ac:dyDescent="0.15">
      <c r="A1902" s="9">
        <v>1901</v>
      </c>
      <c r="B1902" s="9" t="s">
        <v>9</v>
      </c>
      <c r="C1902" s="9">
        <v>1910</v>
      </c>
      <c r="D1902" s="10">
        <v>45602</v>
      </c>
      <c r="E1902" s="13" t="str">
        <f>+HYPERLINK("http://trademark.i-assist.jp/data/china/image_1910th/80235929.pdf","80235929")</f>
        <v>80235929</v>
      </c>
      <c r="F1902" s="11" t="s">
        <v>5279</v>
      </c>
      <c r="G1902" s="9" t="s">
        <v>5280</v>
      </c>
      <c r="H1902" s="9" t="s">
        <v>5281</v>
      </c>
      <c r="I1902" s="10">
        <v>45511</v>
      </c>
    </row>
    <row r="1903" spans="1:9" x14ac:dyDescent="0.15">
      <c r="A1903" s="9">
        <v>1902</v>
      </c>
      <c r="B1903" s="9" t="s">
        <v>9</v>
      </c>
      <c r="C1903" s="9">
        <v>1910</v>
      </c>
      <c r="D1903" s="10">
        <v>45602</v>
      </c>
      <c r="E1903" s="13" t="str">
        <f>+HYPERLINK("http://trademark.i-assist.jp/data/china/image_1910th/80236010.pdf","80236010")</f>
        <v>80236010</v>
      </c>
      <c r="F1903" s="11" t="s">
        <v>5282</v>
      </c>
      <c r="G1903" s="9" t="s">
        <v>5283</v>
      </c>
      <c r="H1903" s="11" t="s">
        <v>5284</v>
      </c>
      <c r="I1903" s="10">
        <v>45511</v>
      </c>
    </row>
    <row r="1904" spans="1:9" x14ac:dyDescent="0.15">
      <c r="A1904" s="9">
        <v>1903</v>
      </c>
      <c r="B1904" s="9" t="s">
        <v>9</v>
      </c>
      <c r="C1904" s="9">
        <v>1910</v>
      </c>
      <c r="D1904" s="10">
        <v>45602</v>
      </c>
      <c r="E1904" s="13" t="str">
        <f>+HYPERLINK("http://trademark.i-assist.jp/data/china/image_1910th/80236069.pdf","80236069")</f>
        <v>80236069</v>
      </c>
      <c r="F1904" s="9" t="s">
        <v>5285</v>
      </c>
      <c r="G1904" s="9" t="s">
        <v>5286</v>
      </c>
      <c r="H1904" s="9" t="s">
        <v>5287</v>
      </c>
      <c r="I1904" s="10">
        <v>45511</v>
      </c>
    </row>
    <row r="1905" spans="1:9" x14ac:dyDescent="0.15">
      <c r="A1905" s="9">
        <v>1904</v>
      </c>
      <c r="B1905" s="9" t="s">
        <v>9</v>
      </c>
      <c r="C1905" s="9">
        <v>1910</v>
      </c>
      <c r="D1905" s="10">
        <v>45602</v>
      </c>
      <c r="E1905" s="13" t="str">
        <f>+HYPERLINK("http://trademark.i-assist.jp/data/china/image_1910th/80236121.pdf","80236121")</f>
        <v>80236121</v>
      </c>
      <c r="F1905" s="11" t="s">
        <v>19</v>
      </c>
      <c r="G1905" s="9" t="s">
        <v>5288</v>
      </c>
      <c r="H1905" s="9" t="s">
        <v>5289</v>
      </c>
      <c r="I1905" s="10">
        <v>45511</v>
      </c>
    </row>
    <row r="1906" spans="1:9" x14ac:dyDescent="0.15">
      <c r="A1906" s="9">
        <v>1905</v>
      </c>
      <c r="B1906" s="9" t="s">
        <v>9</v>
      </c>
      <c r="C1906" s="9">
        <v>1910</v>
      </c>
      <c r="D1906" s="10">
        <v>45602</v>
      </c>
      <c r="E1906" s="13" t="str">
        <f>+HYPERLINK("http://trademark.i-assist.jp/data/china/image_1910th/80236169.pdf","80236169")</f>
        <v>80236169</v>
      </c>
      <c r="F1906" s="9" t="s">
        <v>5290</v>
      </c>
      <c r="G1906" s="9" t="s">
        <v>5043</v>
      </c>
      <c r="H1906" s="9" t="s">
        <v>5291</v>
      </c>
      <c r="I1906" s="10">
        <v>45511</v>
      </c>
    </row>
    <row r="1907" spans="1:9" x14ac:dyDescent="0.15">
      <c r="A1907" s="9">
        <v>1906</v>
      </c>
      <c r="B1907" s="9" t="s">
        <v>9</v>
      </c>
      <c r="C1907" s="9">
        <v>1910</v>
      </c>
      <c r="D1907" s="10">
        <v>45602</v>
      </c>
      <c r="E1907" s="13" t="str">
        <f>+HYPERLINK("http://trademark.i-assist.jp/data/china/image_1910th/80236187.pdf","80236187")</f>
        <v>80236187</v>
      </c>
      <c r="F1907" s="12" t="s">
        <v>5292</v>
      </c>
      <c r="G1907" s="12" t="s">
        <v>5293</v>
      </c>
      <c r="H1907" s="11" t="s">
        <v>5294</v>
      </c>
      <c r="I1907" s="10">
        <v>45511</v>
      </c>
    </row>
    <row r="1908" spans="1:9" x14ac:dyDescent="0.15">
      <c r="A1908" s="9">
        <v>1907</v>
      </c>
      <c r="B1908" s="9" t="s">
        <v>9</v>
      </c>
      <c r="C1908" s="9">
        <v>1910</v>
      </c>
      <c r="D1908" s="10">
        <v>45602</v>
      </c>
      <c r="E1908" s="13" t="str">
        <f>+HYPERLINK("http://trademark.i-assist.jp/data/china/image_1910th/80236192.pdf","80236192")</f>
        <v>80236192</v>
      </c>
      <c r="F1908" s="9" t="s">
        <v>5295</v>
      </c>
      <c r="G1908" s="9" t="s">
        <v>5043</v>
      </c>
      <c r="H1908" s="9" t="s">
        <v>5296</v>
      </c>
      <c r="I1908" s="10">
        <v>45511</v>
      </c>
    </row>
    <row r="1909" spans="1:9" x14ac:dyDescent="0.15">
      <c r="A1909" s="9">
        <v>1908</v>
      </c>
      <c r="B1909" s="9" t="s">
        <v>9</v>
      </c>
      <c r="C1909" s="9">
        <v>1910</v>
      </c>
      <c r="D1909" s="10">
        <v>45602</v>
      </c>
      <c r="E1909" s="13" t="str">
        <f>+HYPERLINK("http://trademark.i-assist.jp/data/china/image_1910th/80236550.pdf","80236550")</f>
        <v>80236550</v>
      </c>
      <c r="F1909" s="9" t="s">
        <v>5297</v>
      </c>
      <c r="G1909" s="9" t="s">
        <v>187</v>
      </c>
      <c r="H1909" s="9" t="s">
        <v>5298</v>
      </c>
      <c r="I1909" s="10">
        <v>45511</v>
      </c>
    </row>
    <row r="1910" spans="1:9" x14ac:dyDescent="0.15">
      <c r="A1910" s="9">
        <v>1909</v>
      </c>
      <c r="B1910" s="9" t="s">
        <v>9</v>
      </c>
      <c r="C1910" s="9">
        <v>1910</v>
      </c>
      <c r="D1910" s="10">
        <v>45602</v>
      </c>
      <c r="E1910" s="13" t="str">
        <f>+HYPERLINK("http://trademark.i-assist.jp/data/china/image_1910th/80236636.pdf","80236636")</f>
        <v>80236636</v>
      </c>
      <c r="F1910" s="9" t="s">
        <v>5299</v>
      </c>
      <c r="G1910" s="11" t="s">
        <v>5300</v>
      </c>
      <c r="H1910" s="11" t="s">
        <v>5301</v>
      </c>
      <c r="I1910" s="10">
        <v>45511</v>
      </c>
    </row>
    <row r="1911" spans="1:9" x14ac:dyDescent="0.15">
      <c r="A1911" s="9">
        <v>1910</v>
      </c>
      <c r="B1911" s="9" t="s">
        <v>9</v>
      </c>
      <c r="C1911" s="9">
        <v>1910</v>
      </c>
      <c r="D1911" s="10">
        <v>45602</v>
      </c>
      <c r="E1911" s="13" t="str">
        <f>+HYPERLINK("http://trademark.i-assist.jp/data/china/image_1910th/80236779.pdf","80236779")</f>
        <v>80236779</v>
      </c>
      <c r="F1911" s="9" t="s">
        <v>5302</v>
      </c>
      <c r="G1911" s="9" t="s">
        <v>4070</v>
      </c>
      <c r="H1911" s="9" t="s">
        <v>5303</v>
      </c>
      <c r="I1911" s="10">
        <v>45511</v>
      </c>
    </row>
    <row r="1912" spans="1:9" x14ac:dyDescent="0.15">
      <c r="A1912" s="9">
        <v>1911</v>
      </c>
      <c r="B1912" s="9" t="s">
        <v>9</v>
      </c>
      <c r="C1912" s="9">
        <v>1910</v>
      </c>
      <c r="D1912" s="10">
        <v>45602</v>
      </c>
      <c r="E1912" s="13" t="str">
        <f>+HYPERLINK("http://trademark.i-assist.jp/data/china/image_1910th/80236878.pdf","80236878")</f>
        <v>80236878</v>
      </c>
      <c r="F1912" s="9" t="s">
        <v>5304</v>
      </c>
      <c r="G1912" s="9" t="s">
        <v>5305</v>
      </c>
      <c r="H1912" s="11" t="s">
        <v>5306</v>
      </c>
      <c r="I1912" s="10">
        <v>45511</v>
      </c>
    </row>
    <row r="1913" spans="1:9" x14ac:dyDescent="0.15">
      <c r="A1913" s="9">
        <v>1912</v>
      </c>
      <c r="B1913" s="9" t="s">
        <v>9</v>
      </c>
      <c r="C1913" s="9">
        <v>1910</v>
      </c>
      <c r="D1913" s="10">
        <v>45602</v>
      </c>
      <c r="E1913" s="13" t="str">
        <f>+HYPERLINK("http://trademark.i-assist.jp/data/china/image_1910th/80237037.pdf","80237037")</f>
        <v>80237037</v>
      </c>
      <c r="F1913" s="9" t="s">
        <v>5307</v>
      </c>
      <c r="G1913" s="9" t="s">
        <v>5308</v>
      </c>
      <c r="H1913" s="9" t="s">
        <v>5309</v>
      </c>
      <c r="I1913" s="10">
        <v>45511</v>
      </c>
    </row>
    <row r="1914" spans="1:9" x14ac:dyDescent="0.15">
      <c r="A1914" s="9">
        <v>1913</v>
      </c>
      <c r="B1914" s="9" t="s">
        <v>9</v>
      </c>
      <c r="C1914" s="9">
        <v>1910</v>
      </c>
      <c r="D1914" s="10">
        <v>45602</v>
      </c>
      <c r="E1914" s="13" t="str">
        <f>+HYPERLINK("http://trademark.i-assist.jp/data/china/image_1910th/80237042.pdf","80237042")</f>
        <v>80237042</v>
      </c>
      <c r="F1914" s="9" t="s">
        <v>5310</v>
      </c>
      <c r="G1914" s="9" t="s">
        <v>5311</v>
      </c>
      <c r="H1914" s="9" t="s">
        <v>5312</v>
      </c>
      <c r="I1914" s="10">
        <v>45511</v>
      </c>
    </row>
    <row r="1915" spans="1:9" x14ac:dyDescent="0.15">
      <c r="A1915" s="9">
        <v>1914</v>
      </c>
      <c r="B1915" s="9" t="s">
        <v>9</v>
      </c>
      <c r="C1915" s="9">
        <v>1910</v>
      </c>
      <c r="D1915" s="10">
        <v>45602</v>
      </c>
      <c r="E1915" s="13" t="str">
        <f>+HYPERLINK("http://trademark.i-assist.jp/data/china/image_1910th/80237048.pdf","80237048")</f>
        <v>80237048</v>
      </c>
      <c r="F1915" s="11" t="s">
        <v>5313</v>
      </c>
      <c r="G1915" s="11" t="s">
        <v>5314</v>
      </c>
      <c r="H1915" s="9" t="s">
        <v>5315</v>
      </c>
      <c r="I1915" s="10">
        <v>45511</v>
      </c>
    </row>
    <row r="1916" spans="1:9" x14ac:dyDescent="0.15">
      <c r="A1916" s="9">
        <v>1915</v>
      </c>
      <c r="B1916" s="9" t="s">
        <v>9</v>
      </c>
      <c r="C1916" s="9">
        <v>1910</v>
      </c>
      <c r="D1916" s="10">
        <v>45602</v>
      </c>
      <c r="E1916" s="13" t="str">
        <f>+HYPERLINK("http://trademark.i-assist.jp/data/china/image_1910th/80237229.pdf","80237229")</f>
        <v>80237229</v>
      </c>
      <c r="F1916" s="9" t="s">
        <v>5316</v>
      </c>
      <c r="G1916" s="9" t="s">
        <v>5317</v>
      </c>
      <c r="H1916" s="9" t="s">
        <v>5318</v>
      </c>
      <c r="I1916" s="10">
        <v>45511</v>
      </c>
    </row>
    <row r="1917" spans="1:9" x14ac:dyDescent="0.15">
      <c r="A1917" s="9">
        <v>1916</v>
      </c>
      <c r="B1917" s="9" t="s">
        <v>9</v>
      </c>
      <c r="C1917" s="9">
        <v>1910</v>
      </c>
      <c r="D1917" s="10">
        <v>45602</v>
      </c>
      <c r="E1917" s="13" t="str">
        <f>+HYPERLINK("http://trademark.i-assist.jp/data/china/image_1910th/80237473.pdf","80237473")</f>
        <v>80237473</v>
      </c>
      <c r="F1917" s="9" t="s">
        <v>5319</v>
      </c>
      <c r="G1917" s="9" t="s">
        <v>5043</v>
      </c>
      <c r="H1917" s="9" t="s">
        <v>5320</v>
      </c>
      <c r="I1917" s="10">
        <v>45511</v>
      </c>
    </row>
    <row r="1918" spans="1:9" x14ac:dyDescent="0.15">
      <c r="A1918" s="9">
        <v>1917</v>
      </c>
      <c r="B1918" s="9" t="s">
        <v>9</v>
      </c>
      <c r="C1918" s="9">
        <v>1910</v>
      </c>
      <c r="D1918" s="10">
        <v>45602</v>
      </c>
      <c r="E1918" s="13" t="str">
        <f>+HYPERLINK("http://trademark.i-assist.jp/data/china/image_1910th/80237527.pdf","80237527")</f>
        <v>80237527</v>
      </c>
      <c r="F1918" s="9" t="s">
        <v>5321</v>
      </c>
      <c r="G1918" s="9" t="s">
        <v>5184</v>
      </c>
      <c r="H1918" s="9" t="s">
        <v>5322</v>
      </c>
      <c r="I1918" s="10">
        <v>45511</v>
      </c>
    </row>
    <row r="1919" spans="1:9" x14ac:dyDescent="0.15">
      <c r="A1919" s="9">
        <v>1918</v>
      </c>
      <c r="B1919" s="9" t="s">
        <v>9</v>
      </c>
      <c r="C1919" s="9">
        <v>1910</v>
      </c>
      <c r="D1919" s="10">
        <v>45602</v>
      </c>
      <c r="E1919" s="13" t="str">
        <f>+HYPERLINK("http://trademark.i-assist.jp/data/china/image_1910th/80237574.pdf","80237574")</f>
        <v>80237574</v>
      </c>
      <c r="F1919" s="9" t="s">
        <v>5323</v>
      </c>
      <c r="G1919" s="9" t="s">
        <v>5236</v>
      </c>
      <c r="H1919" s="9" t="s">
        <v>5324</v>
      </c>
      <c r="I1919" s="10">
        <v>45511</v>
      </c>
    </row>
    <row r="1920" spans="1:9" x14ac:dyDescent="0.15">
      <c r="A1920" s="9">
        <v>1919</v>
      </c>
      <c r="B1920" s="9" t="s">
        <v>9</v>
      </c>
      <c r="C1920" s="9">
        <v>1910</v>
      </c>
      <c r="D1920" s="10">
        <v>45602</v>
      </c>
      <c r="E1920" s="13" t="str">
        <f>+HYPERLINK("http://trademark.i-assist.jp/data/china/image_1910th/80237830.pdf","80237830")</f>
        <v>80237830</v>
      </c>
      <c r="F1920" s="9" t="s">
        <v>5325</v>
      </c>
      <c r="G1920" s="9" t="s">
        <v>5326</v>
      </c>
      <c r="H1920" s="9" t="s">
        <v>5327</v>
      </c>
      <c r="I1920" s="10">
        <v>45511</v>
      </c>
    </row>
    <row r="1921" spans="1:9" x14ac:dyDescent="0.15">
      <c r="A1921" s="9">
        <v>1920</v>
      </c>
      <c r="B1921" s="9" t="s">
        <v>9</v>
      </c>
      <c r="C1921" s="9">
        <v>1910</v>
      </c>
      <c r="D1921" s="10">
        <v>45602</v>
      </c>
      <c r="E1921" s="13" t="str">
        <f>+HYPERLINK("http://trademark.i-assist.jp/data/china/image_1910th/80237837.pdf","80237837")</f>
        <v>80237837</v>
      </c>
      <c r="F1921" s="11" t="s">
        <v>5328</v>
      </c>
      <c r="G1921" s="9" t="s">
        <v>5329</v>
      </c>
      <c r="H1921" s="9" t="s">
        <v>5330</v>
      </c>
      <c r="I1921" s="10">
        <v>45511</v>
      </c>
    </row>
    <row r="1922" spans="1:9" x14ac:dyDescent="0.15">
      <c r="A1922" s="9">
        <v>1921</v>
      </c>
      <c r="B1922" s="9" t="s">
        <v>9</v>
      </c>
      <c r="C1922" s="9">
        <v>1910</v>
      </c>
      <c r="D1922" s="10">
        <v>45602</v>
      </c>
      <c r="E1922" s="13" t="str">
        <f>+HYPERLINK("http://trademark.i-assist.jp/data/china/image_1910th/80238033.pdf","80238033")</f>
        <v>80238033</v>
      </c>
      <c r="F1922" s="11" t="s">
        <v>5331</v>
      </c>
      <c r="G1922" s="9" t="s">
        <v>5332</v>
      </c>
      <c r="H1922" s="9" t="s">
        <v>5333</v>
      </c>
      <c r="I1922" s="10">
        <v>45511</v>
      </c>
    </row>
    <row r="1923" spans="1:9" x14ac:dyDescent="0.15">
      <c r="A1923" s="9">
        <v>1922</v>
      </c>
      <c r="B1923" s="9" t="s">
        <v>9</v>
      </c>
      <c r="C1923" s="9">
        <v>1910</v>
      </c>
      <c r="D1923" s="10">
        <v>45602</v>
      </c>
      <c r="E1923" s="13" t="str">
        <f>+HYPERLINK("http://trademark.i-assist.jp/data/china/image_1910th/80238380.pdf","80238380")</f>
        <v>80238380</v>
      </c>
      <c r="F1923" s="9" t="s">
        <v>5334</v>
      </c>
      <c r="G1923" s="9" t="s">
        <v>5043</v>
      </c>
      <c r="H1923" s="9" t="s">
        <v>5335</v>
      </c>
      <c r="I1923" s="10">
        <v>45511</v>
      </c>
    </row>
    <row r="1924" spans="1:9" x14ac:dyDescent="0.15">
      <c r="A1924" s="9">
        <v>1923</v>
      </c>
      <c r="B1924" s="9" t="s">
        <v>9</v>
      </c>
      <c r="C1924" s="9">
        <v>1910</v>
      </c>
      <c r="D1924" s="10">
        <v>45602</v>
      </c>
      <c r="E1924" s="13" t="str">
        <f>+HYPERLINK("http://trademark.i-assist.jp/data/china/image_1910th/80238382.pdf","80238382")</f>
        <v>80238382</v>
      </c>
      <c r="F1924" s="9" t="s">
        <v>5336</v>
      </c>
      <c r="G1924" s="9" t="s">
        <v>5017</v>
      </c>
      <c r="H1924" s="11" t="s">
        <v>5337</v>
      </c>
      <c r="I1924" s="10">
        <v>45511</v>
      </c>
    </row>
    <row r="1925" spans="1:9" x14ac:dyDescent="0.15">
      <c r="A1925" s="9">
        <v>1924</v>
      </c>
      <c r="B1925" s="9" t="s">
        <v>9</v>
      </c>
      <c r="C1925" s="9">
        <v>1910</v>
      </c>
      <c r="D1925" s="10">
        <v>45602</v>
      </c>
      <c r="E1925" s="13" t="str">
        <f>+HYPERLINK("http://trademark.i-assist.jp/data/china/image_1910th/80238483.pdf","80238483")</f>
        <v>80238483</v>
      </c>
      <c r="F1925" s="9" t="s">
        <v>5338</v>
      </c>
      <c r="G1925" s="9" t="s">
        <v>5339</v>
      </c>
      <c r="H1925" s="9" t="s">
        <v>5340</v>
      </c>
      <c r="I1925" s="10">
        <v>45511</v>
      </c>
    </row>
    <row r="1926" spans="1:9" x14ac:dyDescent="0.15">
      <c r="A1926" s="9">
        <v>1925</v>
      </c>
      <c r="B1926" s="9" t="s">
        <v>9</v>
      </c>
      <c r="C1926" s="9">
        <v>1910</v>
      </c>
      <c r="D1926" s="10">
        <v>45602</v>
      </c>
      <c r="E1926" s="13" t="str">
        <f>+HYPERLINK("http://trademark.i-assist.jp/data/china/image_1910th/80238566.pdf","80238566")</f>
        <v>80238566</v>
      </c>
      <c r="F1926" s="9" t="s">
        <v>5341</v>
      </c>
      <c r="G1926" s="9" t="s">
        <v>5342</v>
      </c>
      <c r="H1926" s="9" t="s">
        <v>5343</v>
      </c>
      <c r="I1926" s="10">
        <v>45511</v>
      </c>
    </row>
    <row r="1927" spans="1:9" x14ac:dyDescent="0.15">
      <c r="A1927" s="9">
        <v>1926</v>
      </c>
      <c r="B1927" s="9" t="s">
        <v>9</v>
      </c>
      <c r="C1927" s="9">
        <v>1910</v>
      </c>
      <c r="D1927" s="10">
        <v>45602</v>
      </c>
      <c r="E1927" s="13" t="str">
        <f>+HYPERLINK("http://trademark.i-assist.jp/data/china/image_1910th/80238574.pdf","80238574")</f>
        <v>80238574</v>
      </c>
      <c r="F1927" s="9" t="s">
        <v>5344</v>
      </c>
      <c r="G1927" s="11" t="s">
        <v>5345</v>
      </c>
      <c r="H1927" s="9" t="s">
        <v>5346</v>
      </c>
      <c r="I1927" s="10">
        <v>45511</v>
      </c>
    </row>
    <row r="1928" spans="1:9" x14ac:dyDescent="0.15">
      <c r="A1928" s="9">
        <v>1927</v>
      </c>
      <c r="B1928" s="9" t="s">
        <v>9</v>
      </c>
      <c r="C1928" s="9">
        <v>1910</v>
      </c>
      <c r="D1928" s="10">
        <v>45602</v>
      </c>
      <c r="E1928" s="13" t="str">
        <f>+HYPERLINK("http://trademark.i-assist.jp/data/china/image_1910th/80238576.pdf","80238576")</f>
        <v>80238576</v>
      </c>
      <c r="F1928" s="9" t="s">
        <v>5347</v>
      </c>
      <c r="G1928" s="11" t="s">
        <v>5348</v>
      </c>
      <c r="H1928" s="9" t="s">
        <v>5349</v>
      </c>
      <c r="I1928" s="10">
        <v>45511</v>
      </c>
    </row>
    <row r="1929" spans="1:9" x14ac:dyDescent="0.15">
      <c r="A1929" s="9">
        <v>1928</v>
      </c>
      <c r="B1929" s="9" t="s">
        <v>9</v>
      </c>
      <c r="C1929" s="9">
        <v>1910</v>
      </c>
      <c r="D1929" s="10">
        <v>45602</v>
      </c>
      <c r="E1929" s="13" t="str">
        <f>+HYPERLINK("http://trademark.i-assist.jp/data/china/image_1910th/80239171.pdf","80239171")</f>
        <v>80239171</v>
      </c>
      <c r="F1929" s="9" t="s">
        <v>5350</v>
      </c>
      <c r="G1929" s="9" t="s">
        <v>136</v>
      </c>
      <c r="H1929" s="9" t="s">
        <v>5351</v>
      </c>
      <c r="I1929" s="10">
        <v>45511</v>
      </c>
    </row>
    <row r="1930" spans="1:9" x14ac:dyDescent="0.15">
      <c r="A1930" s="9">
        <v>1929</v>
      </c>
      <c r="B1930" s="9" t="s">
        <v>9</v>
      </c>
      <c r="C1930" s="9">
        <v>1910</v>
      </c>
      <c r="D1930" s="10">
        <v>45602</v>
      </c>
      <c r="E1930" s="13" t="str">
        <f>+HYPERLINK("http://trademark.i-assist.jp/data/china/image_1910th/80239175.pdf","80239175")</f>
        <v>80239175</v>
      </c>
      <c r="F1930" s="9" t="s">
        <v>5352</v>
      </c>
      <c r="G1930" s="9" t="s">
        <v>5353</v>
      </c>
      <c r="H1930" s="9" t="s">
        <v>5354</v>
      </c>
      <c r="I1930" s="10">
        <v>45511</v>
      </c>
    </row>
    <row r="1931" spans="1:9" x14ac:dyDescent="0.15">
      <c r="A1931" s="9">
        <v>1930</v>
      </c>
      <c r="B1931" s="9" t="s">
        <v>9</v>
      </c>
      <c r="C1931" s="9">
        <v>1910</v>
      </c>
      <c r="D1931" s="10">
        <v>45602</v>
      </c>
      <c r="E1931" s="13" t="str">
        <f>+HYPERLINK("http://trademark.i-assist.jp/data/china/image_1910th/80239283.pdf","80239283")</f>
        <v>80239283</v>
      </c>
      <c r="F1931" s="9" t="s">
        <v>5355</v>
      </c>
      <c r="G1931" s="9" t="s">
        <v>5356</v>
      </c>
      <c r="H1931" s="9" t="s">
        <v>5357</v>
      </c>
      <c r="I1931" s="10">
        <v>45511</v>
      </c>
    </row>
    <row r="1932" spans="1:9" x14ac:dyDescent="0.15">
      <c r="A1932" s="9">
        <v>1931</v>
      </c>
      <c r="B1932" s="9" t="s">
        <v>9</v>
      </c>
      <c r="C1932" s="9">
        <v>1910</v>
      </c>
      <c r="D1932" s="10">
        <v>45602</v>
      </c>
      <c r="E1932" s="13" t="str">
        <f>+HYPERLINK("http://trademark.i-assist.jp/data/china/image_1910th/80239433.pdf","80239433")</f>
        <v>80239433</v>
      </c>
      <c r="F1932" s="11" t="s">
        <v>5358</v>
      </c>
      <c r="G1932" s="9" t="s">
        <v>5359</v>
      </c>
      <c r="H1932" s="11" t="s">
        <v>5360</v>
      </c>
      <c r="I1932" s="10">
        <v>45511</v>
      </c>
    </row>
    <row r="1933" spans="1:9" x14ac:dyDescent="0.15">
      <c r="A1933" s="9">
        <v>1932</v>
      </c>
      <c r="B1933" s="9" t="s">
        <v>9</v>
      </c>
      <c r="C1933" s="9">
        <v>1910</v>
      </c>
      <c r="D1933" s="10">
        <v>45602</v>
      </c>
      <c r="E1933" s="13" t="str">
        <f>+HYPERLINK("http://trademark.i-assist.jp/data/china/image_1910th/80239510.pdf","80239510")</f>
        <v>80239510</v>
      </c>
      <c r="F1933" s="11" t="s">
        <v>5361</v>
      </c>
      <c r="G1933" s="9" t="s">
        <v>5362</v>
      </c>
      <c r="H1933" s="9" t="s">
        <v>5363</v>
      </c>
      <c r="I1933" s="10">
        <v>45511</v>
      </c>
    </row>
    <row r="1934" spans="1:9" x14ac:dyDescent="0.15">
      <c r="A1934" s="9">
        <v>1933</v>
      </c>
      <c r="B1934" s="9" t="s">
        <v>9</v>
      </c>
      <c r="C1934" s="9">
        <v>1910</v>
      </c>
      <c r="D1934" s="10">
        <v>45602</v>
      </c>
      <c r="E1934" s="13" t="str">
        <f>+HYPERLINK("http://trademark.i-assist.jp/data/china/image_1910th/80239553.pdf","80239553")</f>
        <v>80239553</v>
      </c>
      <c r="F1934" s="11" t="s">
        <v>19</v>
      </c>
      <c r="G1934" s="9" t="s">
        <v>5364</v>
      </c>
      <c r="H1934" s="11" t="s">
        <v>5365</v>
      </c>
      <c r="I1934" s="10">
        <v>45511</v>
      </c>
    </row>
    <row r="1935" spans="1:9" x14ac:dyDescent="0.15">
      <c r="A1935" s="9">
        <v>1934</v>
      </c>
      <c r="B1935" s="9" t="s">
        <v>9</v>
      </c>
      <c r="C1935" s="9">
        <v>1910</v>
      </c>
      <c r="D1935" s="10">
        <v>45602</v>
      </c>
      <c r="E1935" s="13" t="str">
        <f>+HYPERLINK("http://trademark.i-assist.jp/data/china/image_1910th/80239556.pdf","80239556")</f>
        <v>80239556</v>
      </c>
      <c r="F1935" s="11" t="s">
        <v>19</v>
      </c>
      <c r="G1935" s="9" t="s">
        <v>5366</v>
      </c>
      <c r="H1935" s="9" t="s">
        <v>5367</v>
      </c>
      <c r="I1935" s="10">
        <v>45511</v>
      </c>
    </row>
    <row r="1936" spans="1:9" x14ac:dyDescent="0.15">
      <c r="A1936" s="9">
        <v>1935</v>
      </c>
      <c r="B1936" s="9" t="s">
        <v>9</v>
      </c>
      <c r="C1936" s="9">
        <v>1910</v>
      </c>
      <c r="D1936" s="10">
        <v>45602</v>
      </c>
      <c r="E1936" s="13" t="str">
        <f>+HYPERLINK("http://trademark.i-assist.jp/data/china/image_1910th/80239724.pdf","80239724")</f>
        <v>80239724</v>
      </c>
      <c r="F1936" s="9" t="s">
        <v>5368</v>
      </c>
      <c r="G1936" s="9" t="s">
        <v>5088</v>
      </c>
      <c r="H1936" s="9" t="s">
        <v>5369</v>
      </c>
      <c r="I1936" s="10">
        <v>45511</v>
      </c>
    </row>
    <row r="1937" spans="1:9" x14ac:dyDescent="0.15">
      <c r="A1937" s="9">
        <v>1936</v>
      </c>
      <c r="B1937" s="9" t="s">
        <v>9</v>
      </c>
      <c r="C1937" s="9">
        <v>1910</v>
      </c>
      <c r="D1937" s="10">
        <v>45602</v>
      </c>
      <c r="E1937" s="13" t="str">
        <f>+HYPERLINK("http://trademark.i-assist.jp/data/china/image_1910th/80239861.pdf","80239861")</f>
        <v>80239861</v>
      </c>
      <c r="F1937" s="9" t="s">
        <v>5370</v>
      </c>
      <c r="G1937" s="9" t="s">
        <v>5371</v>
      </c>
      <c r="H1937" s="9" t="s">
        <v>5372</v>
      </c>
      <c r="I1937" s="10">
        <v>45511</v>
      </c>
    </row>
    <row r="1938" spans="1:9" x14ac:dyDescent="0.15">
      <c r="A1938" s="9">
        <v>1937</v>
      </c>
      <c r="B1938" s="9" t="s">
        <v>9</v>
      </c>
      <c r="C1938" s="9">
        <v>1910</v>
      </c>
      <c r="D1938" s="10">
        <v>45602</v>
      </c>
      <c r="E1938" s="13" t="str">
        <f>+HYPERLINK("http://trademark.i-assist.jp/data/china/image_1910th/80239868.pdf","80239868")</f>
        <v>80239868</v>
      </c>
      <c r="F1938" s="9" t="s">
        <v>5373</v>
      </c>
      <c r="G1938" s="9" t="s">
        <v>5374</v>
      </c>
      <c r="H1938" s="9" t="s">
        <v>5375</v>
      </c>
      <c r="I1938" s="10">
        <v>45511</v>
      </c>
    </row>
    <row r="1939" spans="1:9" x14ac:dyDescent="0.15">
      <c r="A1939" s="9">
        <v>1938</v>
      </c>
      <c r="B1939" s="9" t="s">
        <v>9</v>
      </c>
      <c r="C1939" s="9">
        <v>1910</v>
      </c>
      <c r="D1939" s="10">
        <v>45602</v>
      </c>
      <c r="E1939" s="13" t="str">
        <f>+HYPERLINK("http://trademark.i-assist.jp/data/china/image_1910th/80239903.pdf","80239903")</f>
        <v>80239903</v>
      </c>
      <c r="F1939" s="9" t="s">
        <v>5376</v>
      </c>
      <c r="G1939" s="11" t="s">
        <v>5377</v>
      </c>
      <c r="H1939" s="9" t="s">
        <v>5378</v>
      </c>
      <c r="I1939" s="10">
        <v>45511</v>
      </c>
    </row>
    <row r="1940" spans="1:9" x14ac:dyDescent="0.15">
      <c r="A1940" s="9">
        <v>1939</v>
      </c>
      <c r="B1940" s="9" t="s">
        <v>9</v>
      </c>
      <c r="C1940" s="9">
        <v>1910</v>
      </c>
      <c r="D1940" s="10">
        <v>45602</v>
      </c>
      <c r="E1940" s="13" t="str">
        <f>+HYPERLINK("http://trademark.i-assist.jp/data/china/image_1910th/80239956.pdf","80239956")</f>
        <v>80239956</v>
      </c>
      <c r="F1940" s="9" t="s">
        <v>5379</v>
      </c>
      <c r="G1940" s="9" t="s">
        <v>5380</v>
      </c>
      <c r="H1940" s="9" t="s">
        <v>5381</v>
      </c>
      <c r="I1940" s="10">
        <v>45511</v>
      </c>
    </row>
    <row r="1941" spans="1:9" x14ac:dyDescent="0.15">
      <c r="A1941" s="9">
        <v>1940</v>
      </c>
      <c r="B1941" s="9" t="s">
        <v>9</v>
      </c>
      <c r="C1941" s="9">
        <v>1910</v>
      </c>
      <c r="D1941" s="10">
        <v>45602</v>
      </c>
      <c r="E1941" s="13" t="str">
        <f>+HYPERLINK("http://trademark.i-assist.jp/data/china/image_1910th/80240059.pdf","80240059")</f>
        <v>80240059</v>
      </c>
      <c r="F1941" s="11" t="s">
        <v>5382</v>
      </c>
      <c r="G1941" s="9" t="s">
        <v>5383</v>
      </c>
      <c r="H1941" s="9" t="s">
        <v>5384</v>
      </c>
      <c r="I1941" s="10">
        <v>45511</v>
      </c>
    </row>
    <row r="1942" spans="1:9" x14ac:dyDescent="0.15">
      <c r="A1942" s="9">
        <v>1941</v>
      </c>
      <c r="B1942" s="9" t="s">
        <v>9</v>
      </c>
      <c r="C1942" s="9">
        <v>1910</v>
      </c>
      <c r="D1942" s="10">
        <v>45602</v>
      </c>
      <c r="E1942" s="13" t="str">
        <f>+HYPERLINK("http://trademark.i-assist.jp/data/china/image_1910th/80240173.pdf","80240173")</f>
        <v>80240173</v>
      </c>
      <c r="F1942" s="11" t="s">
        <v>5385</v>
      </c>
      <c r="G1942" s="9" t="s">
        <v>5386</v>
      </c>
      <c r="H1942" s="9" t="s">
        <v>5387</v>
      </c>
      <c r="I1942" s="10">
        <v>45511</v>
      </c>
    </row>
    <row r="1943" spans="1:9" x14ac:dyDescent="0.15">
      <c r="A1943" s="9">
        <v>1942</v>
      </c>
      <c r="B1943" s="9" t="s">
        <v>9</v>
      </c>
      <c r="C1943" s="9">
        <v>1910</v>
      </c>
      <c r="D1943" s="10">
        <v>45602</v>
      </c>
      <c r="E1943" s="13" t="str">
        <f>+HYPERLINK("http://trademark.i-assist.jp/data/china/image_1910th/80240344.pdf","80240344")</f>
        <v>80240344</v>
      </c>
      <c r="F1943" s="9" t="s">
        <v>5388</v>
      </c>
      <c r="G1943" s="9" t="s">
        <v>5389</v>
      </c>
      <c r="H1943" s="9" t="s">
        <v>5390</v>
      </c>
      <c r="I1943" s="10">
        <v>45511</v>
      </c>
    </row>
    <row r="1944" spans="1:9" x14ac:dyDescent="0.15">
      <c r="A1944" s="9">
        <v>1943</v>
      </c>
      <c r="B1944" s="9" t="s">
        <v>9</v>
      </c>
      <c r="C1944" s="9">
        <v>1910</v>
      </c>
      <c r="D1944" s="10">
        <v>45602</v>
      </c>
      <c r="E1944" s="13" t="str">
        <f>+HYPERLINK("http://trademark.i-assist.jp/data/china/image_1910th/80240405.pdf","80240405")</f>
        <v>80240405</v>
      </c>
      <c r="F1944" s="9" t="s">
        <v>5391</v>
      </c>
      <c r="G1944" s="9" t="s">
        <v>5392</v>
      </c>
      <c r="H1944" s="9" t="s">
        <v>5393</v>
      </c>
      <c r="I1944" s="10">
        <v>45511</v>
      </c>
    </row>
    <row r="1945" spans="1:9" x14ac:dyDescent="0.15">
      <c r="A1945" s="9">
        <v>1944</v>
      </c>
      <c r="B1945" s="9" t="s">
        <v>9</v>
      </c>
      <c r="C1945" s="9">
        <v>1910</v>
      </c>
      <c r="D1945" s="10">
        <v>45602</v>
      </c>
      <c r="E1945" s="13" t="str">
        <f>+HYPERLINK("http://trademark.i-assist.jp/data/china/image_1910th/80240489.pdf","80240489")</f>
        <v>80240489</v>
      </c>
      <c r="F1945" s="9" t="s">
        <v>5394</v>
      </c>
      <c r="G1945" s="11" t="s">
        <v>5249</v>
      </c>
      <c r="H1945" s="9" t="s">
        <v>5395</v>
      </c>
      <c r="I1945" s="10">
        <v>45511</v>
      </c>
    </row>
    <row r="1946" spans="1:9" x14ac:dyDescent="0.15">
      <c r="A1946" s="9">
        <v>1945</v>
      </c>
      <c r="B1946" s="9" t="s">
        <v>9</v>
      </c>
      <c r="C1946" s="9">
        <v>1910</v>
      </c>
      <c r="D1946" s="10">
        <v>45602</v>
      </c>
      <c r="E1946" s="13" t="str">
        <f>+HYPERLINK("http://trademark.i-assist.jp/data/china/image_1910th/80240522.pdf","80240522")</f>
        <v>80240522</v>
      </c>
      <c r="F1946" s="9" t="s">
        <v>5396</v>
      </c>
      <c r="G1946" s="9" t="s">
        <v>5397</v>
      </c>
      <c r="H1946" s="9" t="s">
        <v>5398</v>
      </c>
      <c r="I1946" s="10">
        <v>45511</v>
      </c>
    </row>
    <row r="1947" spans="1:9" x14ac:dyDescent="0.15">
      <c r="A1947" s="9">
        <v>1946</v>
      </c>
      <c r="B1947" s="9" t="s">
        <v>9</v>
      </c>
      <c r="C1947" s="9">
        <v>1910</v>
      </c>
      <c r="D1947" s="10">
        <v>45602</v>
      </c>
      <c r="E1947" s="13" t="str">
        <f>+HYPERLINK("http://trademark.i-assist.jp/data/china/image_1910th/80240652.pdf","80240652")</f>
        <v>80240652</v>
      </c>
      <c r="F1947" s="11" t="s">
        <v>5399</v>
      </c>
      <c r="G1947" s="9" t="s">
        <v>5400</v>
      </c>
      <c r="H1947" s="9" t="s">
        <v>5401</v>
      </c>
      <c r="I1947" s="10">
        <v>45511</v>
      </c>
    </row>
    <row r="1948" spans="1:9" x14ac:dyDescent="0.15">
      <c r="A1948" s="9">
        <v>1947</v>
      </c>
      <c r="B1948" s="9" t="s">
        <v>9</v>
      </c>
      <c r="C1948" s="9">
        <v>1910</v>
      </c>
      <c r="D1948" s="10">
        <v>45602</v>
      </c>
      <c r="E1948" s="13" t="str">
        <f>+HYPERLINK("http://trademark.i-assist.jp/data/china/image_1910th/80241195.pdf","80241195")</f>
        <v>80241195</v>
      </c>
      <c r="F1948" s="11" t="s">
        <v>5402</v>
      </c>
      <c r="G1948" s="9" t="s">
        <v>5403</v>
      </c>
      <c r="H1948" s="9" t="s">
        <v>5404</v>
      </c>
      <c r="I1948" s="10">
        <v>45511</v>
      </c>
    </row>
    <row r="1949" spans="1:9" x14ac:dyDescent="0.15">
      <c r="A1949" s="9">
        <v>1948</v>
      </c>
      <c r="B1949" s="9" t="s">
        <v>9</v>
      </c>
      <c r="C1949" s="9">
        <v>1910</v>
      </c>
      <c r="D1949" s="10">
        <v>45602</v>
      </c>
      <c r="E1949" s="13" t="str">
        <f>+HYPERLINK("http://trademark.i-assist.jp/data/china/image_1910th/80241216.pdf","80241216")</f>
        <v>80241216</v>
      </c>
      <c r="F1949" s="9" t="s">
        <v>5405</v>
      </c>
      <c r="G1949" s="9" t="s">
        <v>5406</v>
      </c>
      <c r="H1949" s="9" t="s">
        <v>5407</v>
      </c>
      <c r="I1949" s="10">
        <v>45511</v>
      </c>
    </row>
    <row r="1950" spans="1:9" x14ac:dyDescent="0.15">
      <c r="A1950" s="9">
        <v>1949</v>
      </c>
      <c r="B1950" s="9" t="s">
        <v>9</v>
      </c>
      <c r="C1950" s="9">
        <v>1910</v>
      </c>
      <c r="D1950" s="10">
        <v>45602</v>
      </c>
      <c r="E1950" s="13" t="str">
        <f>+HYPERLINK("http://trademark.i-assist.jp/data/china/image_1910th/80241815.pdf","80241815")</f>
        <v>80241815</v>
      </c>
      <c r="F1950" s="11" t="s">
        <v>19</v>
      </c>
      <c r="G1950" s="9" t="s">
        <v>4963</v>
      </c>
      <c r="H1950" s="9" t="s">
        <v>5408</v>
      </c>
      <c r="I1950" s="10">
        <v>45511</v>
      </c>
    </row>
    <row r="1951" spans="1:9" x14ac:dyDescent="0.15">
      <c r="A1951" s="9">
        <v>1950</v>
      </c>
      <c r="B1951" s="9" t="s">
        <v>9</v>
      </c>
      <c r="C1951" s="9">
        <v>1910</v>
      </c>
      <c r="D1951" s="10">
        <v>45602</v>
      </c>
      <c r="E1951" s="13" t="str">
        <f>+HYPERLINK("http://trademark.i-assist.jp/data/china/image_1910th/80242148.pdf","80242148")</f>
        <v>80242148</v>
      </c>
      <c r="F1951" s="9" t="s">
        <v>5409</v>
      </c>
      <c r="G1951" s="9" t="s">
        <v>5283</v>
      </c>
      <c r="H1951" s="9" t="s">
        <v>5410</v>
      </c>
      <c r="I1951" s="10">
        <v>45511</v>
      </c>
    </row>
    <row r="1952" spans="1:9" x14ac:dyDescent="0.15">
      <c r="A1952" s="9">
        <v>1951</v>
      </c>
      <c r="B1952" s="9" t="s">
        <v>9</v>
      </c>
      <c r="C1952" s="9">
        <v>1910</v>
      </c>
      <c r="D1952" s="10">
        <v>45602</v>
      </c>
      <c r="E1952" s="13" t="str">
        <f>+HYPERLINK("http://trademark.i-assist.jp/data/china/image_1910th/80242245.pdf","80242245")</f>
        <v>80242245</v>
      </c>
      <c r="F1952" s="9" t="s">
        <v>5411</v>
      </c>
      <c r="G1952" s="9" t="s">
        <v>5043</v>
      </c>
      <c r="H1952" s="11" t="s">
        <v>5412</v>
      </c>
      <c r="I1952" s="10">
        <v>45511</v>
      </c>
    </row>
    <row r="1953" spans="1:9" x14ac:dyDescent="0.15">
      <c r="A1953" s="9">
        <v>1952</v>
      </c>
      <c r="B1953" s="9" t="s">
        <v>9</v>
      </c>
      <c r="C1953" s="9">
        <v>1910</v>
      </c>
      <c r="D1953" s="10">
        <v>45602</v>
      </c>
      <c r="E1953" s="13" t="str">
        <f>+HYPERLINK("http://trademark.i-assist.jp/data/china/image_1910th/80242267.pdf","80242267")</f>
        <v>80242267</v>
      </c>
      <c r="F1953" s="9" t="s">
        <v>5413</v>
      </c>
      <c r="G1953" s="9" t="s">
        <v>5043</v>
      </c>
      <c r="H1953" s="9" t="s">
        <v>5414</v>
      </c>
      <c r="I1953" s="10">
        <v>45511</v>
      </c>
    </row>
    <row r="1954" spans="1:9" x14ac:dyDescent="0.15">
      <c r="A1954" s="9">
        <v>1953</v>
      </c>
      <c r="B1954" s="9" t="s">
        <v>9</v>
      </c>
      <c r="C1954" s="9">
        <v>1910</v>
      </c>
      <c r="D1954" s="10">
        <v>45602</v>
      </c>
      <c r="E1954" s="13" t="str">
        <f>+HYPERLINK("http://trademark.i-assist.jp/data/china/image_1910th/80242299.pdf","80242299")</f>
        <v>80242299</v>
      </c>
      <c r="F1954" s="9" t="s">
        <v>5415</v>
      </c>
      <c r="G1954" s="11" t="s">
        <v>4491</v>
      </c>
      <c r="H1954" s="9" t="s">
        <v>5416</v>
      </c>
      <c r="I1954" s="10">
        <v>45511</v>
      </c>
    </row>
    <row r="1955" spans="1:9" x14ac:dyDescent="0.15">
      <c r="A1955" s="9">
        <v>1954</v>
      </c>
      <c r="B1955" s="9" t="s">
        <v>9</v>
      </c>
      <c r="C1955" s="9">
        <v>1910</v>
      </c>
      <c r="D1955" s="10">
        <v>45602</v>
      </c>
      <c r="E1955" s="13" t="str">
        <f>+HYPERLINK("http://trademark.i-assist.jp/data/china/image_1910th/80242622.pdf","80242622")</f>
        <v>80242622</v>
      </c>
      <c r="F1955" s="11" t="s">
        <v>5417</v>
      </c>
      <c r="G1955" s="9" t="s">
        <v>5418</v>
      </c>
      <c r="H1955" s="9" t="s">
        <v>5419</v>
      </c>
      <c r="I1955" s="10">
        <v>45511</v>
      </c>
    </row>
    <row r="1956" spans="1:9" x14ac:dyDescent="0.15">
      <c r="A1956" s="9">
        <v>1955</v>
      </c>
      <c r="B1956" s="9" t="s">
        <v>9</v>
      </c>
      <c r="C1956" s="9">
        <v>1910</v>
      </c>
      <c r="D1956" s="10">
        <v>45602</v>
      </c>
      <c r="E1956" s="13" t="str">
        <f>+HYPERLINK("http://trademark.i-assist.jp/data/china/image_1910th/80242661.pdf","80242661")</f>
        <v>80242661</v>
      </c>
      <c r="F1956" s="9" t="s">
        <v>5420</v>
      </c>
      <c r="G1956" s="11" t="s">
        <v>5102</v>
      </c>
      <c r="H1956" s="9" t="s">
        <v>5421</v>
      </c>
      <c r="I1956" s="10">
        <v>45511</v>
      </c>
    </row>
    <row r="1957" spans="1:9" x14ac:dyDescent="0.15">
      <c r="A1957" s="9">
        <v>1956</v>
      </c>
      <c r="B1957" s="9" t="s">
        <v>9</v>
      </c>
      <c r="C1957" s="9">
        <v>1910</v>
      </c>
      <c r="D1957" s="10">
        <v>45602</v>
      </c>
      <c r="E1957" s="13" t="str">
        <f>+HYPERLINK("http://trademark.i-assist.jp/data/china/image_1910th/80242905.pdf","80242905")</f>
        <v>80242905</v>
      </c>
      <c r="F1957" s="9" t="s">
        <v>5422</v>
      </c>
      <c r="G1957" s="11" t="s">
        <v>5423</v>
      </c>
      <c r="H1957" s="9" t="s">
        <v>5424</v>
      </c>
      <c r="I1957" s="10">
        <v>45511</v>
      </c>
    </row>
    <row r="1958" spans="1:9" x14ac:dyDescent="0.15">
      <c r="A1958" s="9">
        <v>1957</v>
      </c>
      <c r="B1958" s="9" t="s">
        <v>9</v>
      </c>
      <c r="C1958" s="9">
        <v>1910</v>
      </c>
      <c r="D1958" s="10">
        <v>45602</v>
      </c>
      <c r="E1958" s="13" t="str">
        <f>+HYPERLINK("http://trademark.i-assist.jp/data/china/image_1910th/80243184.pdf","80243184")</f>
        <v>80243184</v>
      </c>
      <c r="F1958" s="9" t="s">
        <v>5425</v>
      </c>
      <c r="G1958" s="9" t="s">
        <v>5426</v>
      </c>
      <c r="H1958" s="9" t="s">
        <v>5427</v>
      </c>
      <c r="I1958" s="10">
        <v>45511</v>
      </c>
    </row>
    <row r="1959" spans="1:9" x14ac:dyDescent="0.15">
      <c r="A1959" s="9">
        <v>1958</v>
      </c>
      <c r="B1959" s="9" t="s">
        <v>9</v>
      </c>
      <c r="C1959" s="9">
        <v>1910</v>
      </c>
      <c r="D1959" s="10">
        <v>45602</v>
      </c>
      <c r="E1959" s="13" t="str">
        <f>+HYPERLINK("http://trademark.i-assist.jp/data/china/image_1910th/80243322.pdf","80243322")</f>
        <v>80243322</v>
      </c>
      <c r="F1959" s="9" t="s">
        <v>5428</v>
      </c>
      <c r="G1959" s="9" t="s">
        <v>176</v>
      </c>
      <c r="H1959" s="9" t="s">
        <v>5429</v>
      </c>
      <c r="I1959" s="10">
        <v>45511</v>
      </c>
    </row>
    <row r="1960" spans="1:9" x14ac:dyDescent="0.15">
      <c r="A1960" s="9">
        <v>1959</v>
      </c>
      <c r="B1960" s="9" t="s">
        <v>9</v>
      </c>
      <c r="C1960" s="9">
        <v>1910</v>
      </c>
      <c r="D1960" s="10">
        <v>45602</v>
      </c>
      <c r="E1960" s="13" t="str">
        <f>+HYPERLINK("http://trademark.i-assist.jp/data/china/image_1910th/80243480.pdf","80243480")</f>
        <v>80243480</v>
      </c>
      <c r="F1960" s="9" t="s">
        <v>5430</v>
      </c>
      <c r="G1960" s="9" t="s">
        <v>5431</v>
      </c>
      <c r="H1960" s="11" t="s">
        <v>5432</v>
      </c>
      <c r="I1960" s="10">
        <v>45511</v>
      </c>
    </row>
    <row r="1961" spans="1:9" x14ac:dyDescent="0.15">
      <c r="A1961" s="9">
        <v>1960</v>
      </c>
      <c r="B1961" s="9" t="s">
        <v>9</v>
      </c>
      <c r="C1961" s="9">
        <v>1910</v>
      </c>
      <c r="D1961" s="10">
        <v>45602</v>
      </c>
      <c r="E1961" s="13" t="str">
        <f>+HYPERLINK("http://trademark.i-assist.jp/data/china/image_1910th/80243828.pdf","80243828")</f>
        <v>80243828</v>
      </c>
      <c r="F1961" s="9" t="s">
        <v>5433</v>
      </c>
      <c r="G1961" s="9" t="s">
        <v>5434</v>
      </c>
      <c r="H1961" s="9" t="s">
        <v>5435</v>
      </c>
      <c r="I1961" s="10">
        <v>45511</v>
      </c>
    </row>
    <row r="1962" spans="1:9" x14ac:dyDescent="0.15">
      <c r="A1962" s="9">
        <v>1961</v>
      </c>
      <c r="B1962" s="9" t="s">
        <v>9</v>
      </c>
      <c r="C1962" s="9">
        <v>1910</v>
      </c>
      <c r="D1962" s="10">
        <v>45602</v>
      </c>
      <c r="E1962" s="13" t="str">
        <f>+HYPERLINK("http://trademark.i-assist.jp/data/china/image_1910th/80244005.pdf","80244005")</f>
        <v>80244005</v>
      </c>
      <c r="F1962" s="11" t="s">
        <v>5436</v>
      </c>
      <c r="G1962" s="9" t="s">
        <v>5437</v>
      </c>
      <c r="H1962" s="9" t="s">
        <v>5438</v>
      </c>
      <c r="I1962" s="10">
        <v>45512</v>
      </c>
    </row>
    <row r="1963" spans="1:9" x14ac:dyDescent="0.15">
      <c r="A1963" s="9">
        <v>1962</v>
      </c>
      <c r="B1963" s="9" t="s">
        <v>9</v>
      </c>
      <c r="C1963" s="9">
        <v>1910</v>
      </c>
      <c r="D1963" s="10">
        <v>45602</v>
      </c>
      <c r="E1963" s="13" t="str">
        <f>+HYPERLINK("http://trademark.i-assist.jp/data/china/image_1910th/80244084.pdf","80244084")</f>
        <v>80244084</v>
      </c>
      <c r="F1963" s="11" t="s">
        <v>5439</v>
      </c>
      <c r="G1963" s="9" t="s">
        <v>5440</v>
      </c>
      <c r="H1963" s="9" t="s">
        <v>5441</v>
      </c>
      <c r="I1963" s="10">
        <v>45512</v>
      </c>
    </row>
    <row r="1964" spans="1:9" x14ac:dyDescent="0.15">
      <c r="A1964" s="9">
        <v>1963</v>
      </c>
      <c r="B1964" s="9" t="s">
        <v>9</v>
      </c>
      <c r="C1964" s="9">
        <v>1910</v>
      </c>
      <c r="D1964" s="10">
        <v>45602</v>
      </c>
      <c r="E1964" s="13" t="str">
        <f>+HYPERLINK("http://trademark.i-assist.jp/data/china/image_1910th/80244116.pdf","80244116")</f>
        <v>80244116</v>
      </c>
      <c r="F1964" s="9" t="s">
        <v>5442</v>
      </c>
      <c r="G1964" s="9" t="s">
        <v>5443</v>
      </c>
      <c r="H1964" s="9" t="s">
        <v>5444</v>
      </c>
      <c r="I1964" s="10">
        <v>45512</v>
      </c>
    </row>
    <row r="1965" spans="1:9" x14ac:dyDescent="0.15">
      <c r="A1965" s="9">
        <v>1964</v>
      </c>
      <c r="B1965" s="9" t="s">
        <v>9</v>
      </c>
      <c r="C1965" s="9">
        <v>1910</v>
      </c>
      <c r="D1965" s="10">
        <v>45602</v>
      </c>
      <c r="E1965" s="13" t="str">
        <f>+HYPERLINK("http://trademark.i-assist.jp/data/china/image_1910th/80244146.pdf","80244146")</f>
        <v>80244146</v>
      </c>
      <c r="F1965" s="9" t="s">
        <v>5445</v>
      </c>
      <c r="G1965" s="9" t="s">
        <v>5446</v>
      </c>
      <c r="H1965" s="11" t="s">
        <v>5447</v>
      </c>
      <c r="I1965" s="10">
        <v>45512</v>
      </c>
    </row>
    <row r="1966" spans="1:9" x14ac:dyDescent="0.15">
      <c r="A1966" s="9">
        <v>1965</v>
      </c>
      <c r="B1966" s="9" t="s">
        <v>9</v>
      </c>
      <c r="C1966" s="9">
        <v>1910</v>
      </c>
      <c r="D1966" s="10">
        <v>45602</v>
      </c>
      <c r="E1966" s="13" t="str">
        <f>+HYPERLINK("http://trademark.i-assist.jp/data/china/image_1910th/80244288.pdf","80244288")</f>
        <v>80244288</v>
      </c>
      <c r="F1966" s="9" t="s">
        <v>5448</v>
      </c>
      <c r="G1966" s="9" t="s">
        <v>5449</v>
      </c>
      <c r="H1966" s="9" t="s">
        <v>5450</v>
      </c>
      <c r="I1966" s="10">
        <v>45512</v>
      </c>
    </row>
    <row r="1967" spans="1:9" x14ac:dyDescent="0.15">
      <c r="A1967" s="9">
        <v>1966</v>
      </c>
      <c r="B1967" s="9" t="s">
        <v>9</v>
      </c>
      <c r="C1967" s="9">
        <v>1910</v>
      </c>
      <c r="D1967" s="10">
        <v>45602</v>
      </c>
      <c r="E1967" s="13" t="str">
        <f>+HYPERLINK("http://trademark.i-assist.jp/data/china/image_1910th/80244498.pdf","80244498")</f>
        <v>80244498</v>
      </c>
      <c r="F1967" s="9" t="s">
        <v>5451</v>
      </c>
      <c r="G1967" s="9" t="s">
        <v>5452</v>
      </c>
      <c r="H1967" s="9" t="s">
        <v>5453</v>
      </c>
      <c r="I1967" s="10">
        <v>45512</v>
      </c>
    </row>
    <row r="1968" spans="1:9" x14ac:dyDescent="0.15">
      <c r="A1968" s="9">
        <v>1967</v>
      </c>
      <c r="B1968" s="9" t="s">
        <v>9</v>
      </c>
      <c r="C1968" s="9">
        <v>1910</v>
      </c>
      <c r="D1968" s="10">
        <v>45602</v>
      </c>
      <c r="E1968" s="13" t="str">
        <f>+HYPERLINK("http://trademark.i-assist.jp/data/china/image_1910th/80244547.pdf","80244547")</f>
        <v>80244547</v>
      </c>
      <c r="F1968" s="9" t="s">
        <v>5454</v>
      </c>
      <c r="G1968" s="9" t="s">
        <v>5455</v>
      </c>
      <c r="H1968" s="9" t="s">
        <v>5456</v>
      </c>
      <c r="I1968" s="10">
        <v>45512</v>
      </c>
    </row>
    <row r="1969" spans="1:9" x14ac:dyDescent="0.15">
      <c r="A1969" s="9">
        <v>1968</v>
      </c>
      <c r="B1969" s="9" t="s">
        <v>9</v>
      </c>
      <c r="C1969" s="9">
        <v>1910</v>
      </c>
      <c r="D1969" s="10">
        <v>45602</v>
      </c>
      <c r="E1969" s="13" t="str">
        <f>+HYPERLINK("http://trademark.i-assist.jp/data/china/image_1910th/80244656.pdf","80244656")</f>
        <v>80244656</v>
      </c>
      <c r="F1969" s="9" t="s">
        <v>5457</v>
      </c>
      <c r="G1969" s="9" t="s">
        <v>5458</v>
      </c>
      <c r="H1969" s="9" t="s">
        <v>5459</v>
      </c>
      <c r="I1969" s="10">
        <v>45512</v>
      </c>
    </row>
    <row r="1970" spans="1:9" x14ac:dyDescent="0.15">
      <c r="A1970" s="9">
        <v>1969</v>
      </c>
      <c r="B1970" s="9" t="s">
        <v>9</v>
      </c>
      <c r="C1970" s="9">
        <v>1910</v>
      </c>
      <c r="D1970" s="10">
        <v>45602</v>
      </c>
      <c r="E1970" s="13" t="str">
        <f>+HYPERLINK("http://trademark.i-assist.jp/data/china/image_1910th/80244721.pdf","80244721")</f>
        <v>80244721</v>
      </c>
      <c r="F1970" s="9" t="s">
        <v>5460</v>
      </c>
      <c r="G1970" s="9" t="s">
        <v>5461</v>
      </c>
      <c r="H1970" s="9" t="s">
        <v>5462</v>
      </c>
      <c r="I1970" s="10">
        <v>45512</v>
      </c>
    </row>
    <row r="1971" spans="1:9" x14ac:dyDescent="0.15">
      <c r="A1971" s="9">
        <v>1970</v>
      </c>
      <c r="B1971" s="9" t="s">
        <v>9</v>
      </c>
      <c r="C1971" s="9">
        <v>1910</v>
      </c>
      <c r="D1971" s="10">
        <v>45602</v>
      </c>
      <c r="E1971" s="13" t="str">
        <f>+HYPERLINK("http://trademark.i-assist.jp/data/china/image_1910th/80244896.pdf","80244896")</f>
        <v>80244896</v>
      </c>
      <c r="F1971" s="9" t="s">
        <v>5463</v>
      </c>
      <c r="G1971" s="9" t="s">
        <v>5464</v>
      </c>
      <c r="H1971" s="9" t="s">
        <v>5465</v>
      </c>
      <c r="I1971" s="10">
        <v>45512</v>
      </c>
    </row>
    <row r="1972" spans="1:9" x14ac:dyDescent="0.15">
      <c r="A1972" s="9">
        <v>1971</v>
      </c>
      <c r="B1972" s="9" t="s">
        <v>9</v>
      </c>
      <c r="C1972" s="9">
        <v>1910</v>
      </c>
      <c r="D1972" s="10">
        <v>45602</v>
      </c>
      <c r="E1972" s="13" t="str">
        <f>+HYPERLINK("http://trademark.i-assist.jp/data/china/image_1910th/80245094.pdf","80245094")</f>
        <v>80245094</v>
      </c>
      <c r="F1972" s="11" t="s">
        <v>19</v>
      </c>
      <c r="G1972" s="9" t="s">
        <v>186</v>
      </c>
      <c r="H1972" s="9" t="s">
        <v>5466</v>
      </c>
      <c r="I1972" s="10">
        <v>45512</v>
      </c>
    </row>
    <row r="1973" spans="1:9" x14ac:dyDescent="0.15">
      <c r="A1973" s="9">
        <v>1972</v>
      </c>
      <c r="B1973" s="9" t="s">
        <v>9</v>
      </c>
      <c r="C1973" s="9">
        <v>1910</v>
      </c>
      <c r="D1973" s="10">
        <v>45602</v>
      </c>
      <c r="E1973" s="13" t="str">
        <f>+HYPERLINK("http://trademark.i-assist.jp/data/china/image_1910th/80245292.pdf","80245292")</f>
        <v>80245292</v>
      </c>
      <c r="F1973" s="9" t="s">
        <v>5467</v>
      </c>
      <c r="G1973" s="9" t="s">
        <v>5468</v>
      </c>
      <c r="H1973" s="9" t="s">
        <v>5469</v>
      </c>
      <c r="I1973" s="10">
        <v>45512</v>
      </c>
    </row>
    <row r="1974" spans="1:9" x14ac:dyDescent="0.15">
      <c r="A1974" s="9">
        <v>1973</v>
      </c>
      <c r="B1974" s="9" t="s">
        <v>9</v>
      </c>
      <c r="C1974" s="9">
        <v>1910</v>
      </c>
      <c r="D1974" s="10">
        <v>45602</v>
      </c>
      <c r="E1974" s="13" t="str">
        <f>+HYPERLINK("http://trademark.i-assist.jp/data/china/image_1910th/80245465.pdf","80245465")</f>
        <v>80245465</v>
      </c>
      <c r="F1974" s="9" t="s">
        <v>5470</v>
      </c>
      <c r="G1974" s="9" t="s">
        <v>5471</v>
      </c>
      <c r="H1974" s="9" t="s">
        <v>5472</v>
      </c>
      <c r="I1974" s="10">
        <v>45512</v>
      </c>
    </row>
    <row r="1975" spans="1:9" x14ac:dyDescent="0.15">
      <c r="A1975" s="9">
        <v>1974</v>
      </c>
      <c r="B1975" s="9" t="s">
        <v>9</v>
      </c>
      <c r="C1975" s="9">
        <v>1910</v>
      </c>
      <c r="D1975" s="10">
        <v>45602</v>
      </c>
      <c r="E1975" s="13" t="str">
        <f>+HYPERLINK("http://trademark.i-assist.jp/data/china/image_1910th/80245618.pdf","80245618")</f>
        <v>80245618</v>
      </c>
      <c r="F1975" s="11" t="s">
        <v>5473</v>
      </c>
      <c r="G1975" s="9" t="s">
        <v>5474</v>
      </c>
      <c r="H1975" s="9" t="s">
        <v>5475</v>
      </c>
      <c r="I1975" s="10">
        <v>45512</v>
      </c>
    </row>
    <row r="1976" spans="1:9" x14ac:dyDescent="0.15">
      <c r="A1976" s="9">
        <v>1975</v>
      </c>
      <c r="B1976" s="9" t="s">
        <v>9</v>
      </c>
      <c r="C1976" s="9">
        <v>1910</v>
      </c>
      <c r="D1976" s="10">
        <v>45602</v>
      </c>
      <c r="E1976" s="13" t="str">
        <f>+HYPERLINK("http://trademark.i-assist.jp/data/china/image_1910th/80245893.pdf","80245893")</f>
        <v>80245893</v>
      </c>
      <c r="F1976" s="9" t="s">
        <v>5476</v>
      </c>
      <c r="G1976" s="9" t="s">
        <v>180</v>
      </c>
      <c r="H1976" s="9" t="s">
        <v>5477</v>
      </c>
      <c r="I1976" s="10">
        <v>45512</v>
      </c>
    </row>
    <row r="1977" spans="1:9" x14ac:dyDescent="0.15">
      <c r="A1977" s="9">
        <v>1976</v>
      </c>
      <c r="B1977" s="9" t="s">
        <v>9</v>
      </c>
      <c r="C1977" s="9">
        <v>1910</v>
      </c>
      <c r="D1977" s="10">
        <v>45602</v>
      </c>
      <c r="E1977" s="13" t="str">
        <f>+HYPERLINK("http://trademark.i-assist.jp/data/china/image_1910th/80245903.pdf","80245903")</f>
        <v>80245903</v>
      </c>
      <c r="F1977" s="9" t="s">
        <v>5478</v>
      </c>
      <c r="G1977" s="9" t="s">
        <v>5479</v>
      </c>
      <c r="H1977" s="9" t="s">
        <v>5480</v>
      </c>
      <c r="I1977" s="10">
        <v>45512</v>
      </c>
    </row>
    <row r="1978" spans="1:9" x14ac:dyDescent="0.15">
      <c r="A1978" s="9">
        <v>1977</v>
      </c>
      <c r="B1978" s="9" t="s">
        <v>9</v>
      </c>
      <c r="C1978" s="9">
        <v>1910</v>
      </c>
      <c r="D1978" s="10">
        <v>45602</v>
      </c>
      <c r="E1978" s="13" t="str">
        <f>+HYPERLINK("http://trademark.i-assist.jp/data/china/image_1910th/80245941.pdf","80245941")</f>
        <v>80245941</v>
      </c>
      <c r="F1978" s="9" t="s">
        <v>5481</v>
      </c>
      <c r="G1978" s="11" t="s">
        <v>5482</v>
      </c>
      <c r="H1978" s="9" t="s">
        <v>5483</v>
      </c>
      <c r="I1978" s="10">
        <v>45512</v>
      </c>
    </row>
    <row r="1979" spans="1:9" x14ac:dyDescent="0.15">
      <c r="A1979" s="9">
        <v>1978</v>
      </c>
      <c r="B1979" s="9" t="s">
        <v>9</v>
      </c>
      <c r="C1979" s="9">
        <v>1910</v>
      </c>
      <c r="D1979" s="10">
        <v>45602</v>
      </c>
      <c r="E1979" s="13" t="str">
        <f>+HYPERLINK("http://trademark.i-assist.jp/data/china/image_1910th/80246086.pdf","80246086")</f>
        <v>80246086</v>
      </c>
      <c r="F1979" s="9" t="s">
        <v>5484</v>
      </c>
      <c r="G1979" s="9" t="s">
        <v>5485</v>
      </c>
      <c r="H1979" s="9" t="s">
        <v>5486</v>
      </c>
      <c r="I1979" s="10">
        <v>45512</v>
      </c>
    </row>
    <row r="1980" spans="1:9" x14ac:dyDescent="0.15">
      <c r="A1980" s="9">
        <v>1979</v>
      </c>
      <c r="B1980" s="9" t="s">
        <v>9</v>
      </c>
      <c r="C1980" s="9">
        <v>1910</v>
      </c>
      <c r="D1980" s="10">
        <v>45602</v>
      </c>
      <c r="E1980" s="13" t="str">
        <f>+HYPERLINK("http://trademark.i-assist.jp/data/china/image_1910th/80246144.pdf","80246144")</f>
        <v>80246144</v>
      </c>
      <c r="F1980" s="9" t="s">
        <v>5487</v>
      </c>
      <c r="G1980" s="11" t="s">
        <v>5488</v>
      </c>
      <c r="H1980" s="9" t="s">
        <v>5489</v>
      </c>
      <c r="I1980" s="10">
        <v>45512</v>
      </c>
    </row>
    <row r="1981" spans="1:9" x14ac:dyDescent="0.15">
      <c r="A1981" s="9">
        <v>1980</v>
      </c>
      <c r="B1981" s="9" t="s">
        <v>9</v>
      </c>
      <c r="C1981" s="9">
        <v>1910</v>
      </c>
      <c r="D1981" s="10">
        <v>45602</v>
      </c>
      <c r="E1981" s="13" t="str">
        <f>+HYPERLINK("http://trademark.i-assist.jp/data/china/image_1910th/80246192.pdf","80246192")</f>
        <v>80246192</v>
      </c>
      <c r="F1981" s="9" t="s">
        <v>5490</v>
      </c>
      <c r="G1981" s="9" t="s">
        <v>5491</v>
      </c>
      <c r="H1981" s="9" t="s">
        <v>5492</v>
      </c>
      <c r="I1981" s="10">
        <v>45512</v>
      </c>
    </row>
    <row r="1982" spans="1:9" x14ac:dyDescent="0.15">
      <c r="A1982" s="9">
        <v>1981</v>
      </c>
      <c r="B1982" s="9" t="s">
        <v>9</v>
      </c>
      <c r="C1982" s="9">
        <v>1910</v>
      </c>
      <c r="D1982" s="10">
        <v>45602</v>
      </c>
      <c r="E1982" s="13" t="str">
        <f>+HYPERLINK("http://trademark.i-assist.jp/data/china/image_1910th/80246231.pdf","80246231")</f>
        <v>80246231</v>
      </c>
      <c r="F1982" s="9" t="s">
        <v>5493</v>
      </c>
      <c r="G1982" s="9" t="s">
        <v>5494</v>
      </c>
      <c r="H1982" s="9" t="s">
        <v>5495</v>
      </c>
      <c r="I1982" s="10">
        <v>45512</v>
      </c>
    </row>
    <row r="1983" spans="1:9" x14ac:dyDescent="0.15">
      <c r="A1983" s="9">
        <v>1982</v>
      </c>
      <c r="B1983" s="9" t="s">
        <v>9</v>
      </c>
      <c r="C1983" s="9">
        <v>1910</v>
      </c>
      <c r="D1983" s="10">
        <v>45602</v>
      </c>
      <c r="E1983" s="13" t="str">
        <f>+HYPERLINK("http://trademark.i-assist.jp/data/china/image_1910th/80246405.pdf","80246405")</f>
        <v>80246405</v>
      </c>
      <c r="F1983" s="9" t="s">
        <v>5496</v>
      </c>
      <c r="G1983" s="9" t="s">
        <v>5497</v>
      </c>
      <c r="H1983" s="9" t="s">
        <v>5498</v>
      </c>
      <c r="I1983" s="10">
        <v>45512</v>
      </c>
    </row>
    <row r="1984" spans="1:9" x14ac:dyDescent="0.15">
      <c r="A1984" s="9">
        <v>1983</v>
      </c>
      <c r="B1984" s="9" t="s">
        <v>9</v>
      </c>
      <c r="C1984" s="9">
        <v>1910</v>
      </c>
      <c r="D1984" s="10">
        <v>45602</v>
      </c>
      <c r="E1984" s="13" t="str">
        <f>+HYPERLINK("http://trademark.i-assist.jp/data/china/image_1910th/80246806.pdf","80246806")</f>
        <v>80246806</v>
      </c>
      <c r="F1984" s="9" t="s">
        <v>5499</v>
      </c>
      <c r="G1984" s="9" t="s">
        <v>5500</v>
      </c>
      <c r="H1984" s="9" t="s">
        <v>5501</v>
      </c>
      <c r="I1984" s="10">
        <v>45512</v>
      </c>
    </row>
    <row r="1985" spans="1:9" x14ac:dyDescent="0.15">
      <c r="A1985" s="9">
        <v>1984</v>
      </c>
      <c r="B1985" s="9" t="s">
        <v>9</v>
      </c>
      <c r="C1985" s="9">
        <v>1910</v>
      </c>
      <c r="D1985" s="10">
        <v>45602</v>
      </c>
      <c r="E1985" s="13" t="str">
        <f>+HYPERLINK("http://trademark.i-assist.jp/data/china/image_1910th/80246819.pdf","80246819")</f>
        <v>80246819</v>
      </c>
      <c r="F1985" s="9" t="s">
        <v>5502</v>
      </c>
      <c r="G1985" s="9" t="s">
        <v>5443</v>
      </c>
      <c r="H1985" s="9" t="s">
        <v>5503</v>
      </c>
      <c r="I1985" s="10">
        <v>45512</v>
      </c>
    </row>
    <row r="1986" spans="1:9" x14ac:dyDescent="0.15">
      <c r="A1986" s="9">
        <v>1985</v>
      </c>
      <c r="B1986" s="9" t="s">
        <v>9</v>
      </c>
      <c r="C1986" s="9">
        <v>1910</v>
      </c>
      <c r="D1986" s="10">
        <v>45602</v>
      </c>
      <c r="E1986" s="13" t="str">
        <f>+HYPERLINK("http://trademark.i-assist.jp/data/china/image_1910th/80246903.pdf","80246903")</f>
        <v>80246903</v>
      </c>
      <c r="F1986" s="9" t="s">
        <v>5504</v>
      </c>
      <c r="G1986" s="11" t="s">
        <v>3364</v>
      </c>
      <c r="H1986" s="9" t="s">
        <v>5505</v>
      </c>
      <c r="I1986" s="10">
        <v>45512</v>
      </c>
    </row>
    <row r="1987" spans="1:9" x14ac:dyDescent="0.15">
      <c r="A1987" s="9">
        <v>1986</v>
      </c>
      <c r="B1987" s="9" t="s">
        <v>9</v>
      </c>
      <c r="C1987" s="9">
        <v>1910</v>
      </c>
      <c r="D1987" s="10">
        <v>45602</v>
      </c>
      <c r="E1987" s="13" t="str">
        <f>+HYPERLINK("http://trademark.i-assist.jp/data/china/image_1910th/80247086.pdf","80247086")</f>
        <v>80247086</v>
      </c>
      <c r="F1987" s="12" t="s">
        <v>5506</v>
      </c>
      <c r="G1987" s="9" t="s">
        <v>5507</v>
      </c>
      <c r="H1987" s="9" t="s">
        <v>5508</v>
      </c>
      <c r="I1987" s="10">
        <v>45512</v>
      </c>
    </row>
    <row r="1988" spans="1:9" x14ac:dyDescent="0.15">
      <c r="A1988" s="9">
        <v>1987</v>
      </c>
      <c r="B1988" s="9" t="s">
        <v>9</v>
      </c>
      <c r="C1988" s="9">
        <v>1910</v>
      </c>
      <c r="D1988" s="10">
        <v>45602</v>
      </c>
      <c r="E1988" s="13" t="str">
        <f>+HYPERLINK("http://trademark.i-assist.jp/data/china/image_1910th/80247382.pdf","80247382")</f>
        <v>80247382</v>
      </c>
      <c r="F1988" s="9" t="s">
        <v>5509</v>
      </c>
      <c r="G1988" s="9" t="s">
        <v>5510</v>
      </c>
      <c r="H1988" s="11" t="s">
        <v>5511</v>
      </c>
      <c r="I1988" s="10">
        <v>45512</v>
      </c>
    </row>
    <row r="1989" spans="1:9" x14ac:dyDescent="0.15">
      <c r="A1989" s="9">
        <v>1988</v>
      </c>
      <c r="B1989" s="9" t="s">
        <v>9</v>
      </c>
      <c r="C1989" s="9">
        <v>1910</v>
      </c>
      <c r="D1989" s="10">
        <v>45602</v>
      </c>
      <c r="E1989" s="13" t="str">
        <f>+HYPERLINK("http://trademark.i-assist.jp/data/china/image_1910th/80247415.pdf","80247415")</f>
        <v>80247415</v>
      </c>
      <c r="F1989" s="11" t="s">
        <v>5512</v>
      </c>
      <c r="G1989" s="11" t="s">
        <v>5513</v>
      </c>
      <c r="H1989" s="9" t="s">
        <v>5514</v>
      </c>
      <c r="I1989" s="10">
        <v>45512</v>
      </c>
    </row>
    <row r="1990" spans="1:9" x14ac:dyDescent="0.15">
      <c r="A1990" s="9">
        <v>1989</v>
      </c>
      <c r="B1990" s="9" t="s">
        <v>9</v>
      </c>
      <c r="C1990" s="9">
        <v>1910</v>
      </c>
      <c r="D1990" s="10">
        <v>45602</v>
      </c>
      <c r="E1990" s="13" t="str">
        <f>+HYPERLINK("http://trademark.i-assist.jp/data/china/image_1910th/80247470.pdf","80247470")</f>
        <v>80247470</v>
      </c>
      <c r="F1990" s="9" t="s">
        <v>5515</v>
      </c>
      <c r="G1990" s="11" t="s">
        <v>5516</v>
      </c>
      <c r="H1990" s="9" t="s">
        <v>5517</v>
      </c>
      <c r="I1990" s="10">
        <v>45512</v>
      </c>
    </row>
    <row r="1991" spans="1:9" x14ac:dyDescent="0.15">
      <c r="A1991" s="9">
        <v>1990</v>
      </c>
      <c r="B1991" s="9" t="s">
        <v>9</v>
      </c>
      <c r="C1991" s="9">
        <v>1910</v>
      </c>
      <c r="D1991" s="10">
        <v>45602</v>
      </c>
      <c r="E1991" s="13" t="str">
        <f>+HYPERLINK("http://trademark.i-assist.jp/data/china/image_1910th/80247534.pdf","80247534")</f>
        <v>80247534</v>
      </c>
      <c r="F1991" s="9" t="s">
        <v>5518</v>
      </c>
      <c r="G1991" s="9" t="s">
        <v>5519</v>
      </c>
      <c r="H1991" s="11" t="s">
        <v>5520</v>
      </c>
      <c r="I1991" s="10">
        <v>45512</v>
      </c>
    </row>
    <row r="1992" spans="1:9" x14ac:dyDescent="0.15">
      <c r="A1992" s="9">
        <v>1991</v>
      </c>
      <c r="B1992" s="9" t="s">
        <v>9</v>
      </c>
      <c r="C1992" s="9">
        <v>1910</v>
      </c>
      <c r="D1992" s="10">
        <v>45602</v>
      </c>
      <c r="E1992" s="13" t="str">
        <f>+HYPERLINK("http://trademark.i-assist.jp/data/china/image_1910th/80247541.pdf","80247541")</f>
        <v>80247541</v>
      </c>
      <c r="F1992" s="9" t="s">
        <v>5521</v>
      </c>
      <c r="G1992" s="9" t="s">
        <v>5522</v>
      </c>
      <c r="H1992" s="9" t="s">
        <v>5523</v>
      </c>
      <c r="I1992" s="10">
        <v>45512</v>
      </c>
    </row>
    <row r="1993" spans="1:9" x14ac:dyDescent="0.15">
      <c r="A1993" s="9">
        <v>1992</v>
      </c>
      <c r="B1993" s="9" t="s">
        <v>9</v>
      </c>
      <c r="C1993" s="9">
        <v>1910</v>
      </c>
      <c r="D1993" s="10">
        <v>45602</v>
      </c>
      <c r="E1993" s="13" t="str">
        <f>+HYPERLINK("http://trademark.i-assist.jp/data/china/image_1910th/80247564.pdf","80247564")</f>
        <v>80247564</v>
      </c>
      <c r="F1993" s="9" t="s">
        <v>5524</v>
      </c>
      <c r="G1993" s="11" t="s">
        <v>67</v>
      </c>
      <c r="H1993" s="9" t="s">
        <v>5525</v>
      </c>
      <c r="I1993" s="10">
        <v>45512</v>
      </c>
    </row>
    <row r="1994" spans="1:9" x14ac:dyDescent="0.15">
      <c r="A1994" s="9">
        <v>1993</v>
      </c>
      <c r="B1994" s="9" t="s">
        <v>9</v>
      </c>
      <c r="C1994" s="9">
        <v>1910</v>
      </c>
      <c r="D1994" s="10">
        <v>45602</v>
      </c>
      <c r="E1994" s="13" t="str">
        <f>+HYPERLINK("http://trademark.i-assist.jp/data/china/image_1910th/80247595.pdf","80247595")</f>
        <v>80247595</v>
      </c>
      <c r="F1994" s="9" t="s">
        <v>5526</v>
      </c>
      <c r="G1994" s="11" t="s">
        <v>5527</v>
      </c>
      <c r="H1994" s="9" t="s">
        <v>5528</v>
      </c>
      <c r="I1994" s="10">
        <v>45512</v>
      </c>
    </row>
    <row r="1995" spans="1:9" x14ac:dyDescent="0.15">
      <c r="A1995" s="9">
        <v>1994</v>
      </c>
      <c r="B1995" s="9" t="s">
        <v>9</v>
      </c>
      <c r="C1995" s="9">
        <v>1910</v>
      </c>
      <c r="D1995" s="10">
        <v>45602</v>
      </c>
      <c r="E1995" s="13" t="str">
        <f>+HYPERLINK("http://trademark.i-assist.jp/data/china/image_1910th/80247781.pdf","80247781")</f>
        <v>80247781</v>
      </c>
      <c r="F1995" s="9" t="s">
        <v>5529</v>
      </c>
      <c r="G1995" s="11" t="s">
        <v>5488</v>
      </c>
      <c r="H1995" s="9" t="s">
        <v>5530</v>
      </c>
      <c r="I1995" s="10">
        <v>45512</v>
      </c>
    </row>
    <row r="1996" spans="1:9" x14ac:dyDescent="0.15">
      <c r="A1996" s="9">
        <v>1995</v>
      </c>
      <c r="B1996" s="9" t="s">
        <v>9</v>
      </c>
      <c r="C1996" s="9">
        <v>1910</v>
      </c>
      <c r="D1996" s="10">
        <v>45602</v>
      </c>
      <c r="E1996" s="13" t="str">
        <f>+HYPERLINK("http://trademark.i-assist.jp/data/china/image_1910th/80247863.pdf","80247863")</f>
        <v>80247863</v>
      </c>
      <c r="F1996" s="9" t="s">
        <v>5531</v>
      </c>
      <c r="G1996" s="9" t="s">
        <v>5532</v>
      </c>
      <c r="H1996" s="9" t="s">
        <v>5533</v>
      </c>
      <c r="I1996" s="10">
        <v>45512</v>
      </c>
    </row>
    <row r="1997" spans="1:9" x14ac:dyDescent="0.15">
      <c r="A1997" s="9">
        <v>1996</v>
      </c>
      <c r="B1997" s="9" t="s">
        <v>9</v>
      </c>
      <c r="C1997" s="9">
        <v>1910</v>
      </c>
      <c r="D1997" s="10">
        <v>45602</v>
      </c>
      <c r="E1997" s="13" t="str">
        <f>+HYPERLINK("http://trademark.i-assist.jp/data/china/image_1910th/80248014.pdf","80248014")</f>
        <v>80248014</v>
      </c>
      <c r="F1997" s="9" t="s">
        <v>5534</v>
      </c>
      <c r="G1997" s="9" t="s">
        <v>5535</v>
      </c>
      <c r="H1997" s="9" t="s">
        <v>5536</v>
      </c>
      <c r="I1997" s="10">
        <v>45512</v>
      </c>
    </row>
    <row r="1998" spans="1:9" x14ac:dyDescent="0.15">
      <c r="A1998" s="9">
        <v>1997</v>
      </c>
      <c r="B1998" s="9" t="s">
        <v>9</v>
      </c>
      <c r="C1998" s="9">
        <v>1910</v>
      </c>
      <c r="D1998" s="10">
        <v>45602</v>
      </c>
      <c r="E1998" s="13" t="str">
        <f>+HYPERLINK("http://trademark.i-assist.jp/data/china/image_1910th/80248087.pdf","80248087")</f>
        <v>80248087</v>
      </c>
      <c r="F1998" s="9" t="s">
        <v>5537</v>
      </c>
      <c r="G1998" s="9" t="s">
        <v>5538</v>
      </c>
      <c r="H1998" s="9" t="s">
        <v>5539</v>
      </c>
      <c r="I1998" s="10">
        <v>45512</v>
      </c>
    </row>
    <row r="1999" spans="1:9" x14ac:dyDescent="0.15">
      <c r="A1999" s="9">
        <v>1998</v>
      </c>
      <c r="B1999" s="9" t="s">
        <v>9</v>
      </c>
      <c r="C1999" s="9">
        <v>1910</v>
      </c>
      <c r="D1999" s="10">
        <v>45602</v>
      </c>
      <c r="E1999" s="13" t="str">
        <f>+HYPERLINK("http://trademark.i-assist.jp/data/china/image_1910th/80248155.pdf","80248155")</f>
        <v>80248155</v>
      </c>
      <c r="F1999" s="11" t="s">
        <v>19</v>
      </c>
      <c r="G1999" s="9" t="s">
        <v>5540</v>
      </c>
      <c r="H1999" s="9" t="s">
        <v>5541</v>
      </c>
      <c r="I1999" s="10">
        <v>45512</v>
      </c>
    </row>
    <row r="2000" spans="1:9" x14ac:dyDescent="0.15">
      <c r="A2000" s="9">
        <v>1999</v>
      </c>
      <c r="B2000" s="9" t="s">
        <v>9</v>
      </c>
      <c r="C2000" s="9">
        <v>1910</v>
      </c>
      <c r="D2000" s="10">
        <v>45602</v>
      </c>
      <c r="E2000" s="13" t="str">
        <f>+HYPERLINK("http://trademark.i-assist.jp/data/china/image_1910th/80248204.pdf","80248204")</f>
        <v>80248204</v>
      </c>
      <c r="F2000" s="9" t="s">
        <v>5542</v>
      </c>
      <c r="G2000" s="9" t="s">
        <v>5543</v>
      </c>
      <c r="H2000" s="9" t="s">
        <v>5544</v>
      </c>
      <c r="I2000" s="10">
        <v>45512</v>
      </c>
    </row>
    <row r="2001" spans="1:9" x14ac:dyDescent="0.15">
      <c r="A2001" s="9">
        <v>2000</v>
      </c>
      <c r="B2001" s="9" t="s">
        <v>9</v>
      </c>
      <c r="C2001" s="9">
        <v>1910</v>
      </c>
      <c r="D2001" s="10">
        <v>45602</v>
      </c>
      <c r="E2001" s="13" t="str">
        <f>+HYPERLINK("http://trademark.i-assist.jp/data/china/image_1910th/80248218.pdf","80248218")</f>
        <v>80248218</v>
      </c>
      <c r="F2001" s="9" t="s">
        <v>5545</v>
      </c>
      <c r="G2001" s="9" t="s">
        <v>180</v>
      </c>
      <c r="H2001" s="9" t="s">
        <v>5546</v>
      </c>
      <c r="I2001" s="10">
        <v>45512</v>
      </c>
    </row>
    <row r="2002" spans="1:9" x14ac:dyDescent="0.15">
      <c r="A2002" s="9">
        <v>2001</v>
      </c>
      <c r="B2002" s="9" t="s">
        <v>9</v>
      </c>
      <c r="C2002" s="9">
        <v>1910</v>
      </c>
      <c r="D2002" s="10">
        <v>45602</v>
      </c>
      <c r="E2002" s="13" t="str">
        <f>+HYPERLINK("http://trademark.i-assist.jp/data/china/image_1910th/80248234.pdf","80248234")</f>
        <v>80248234</v>
      </c>
      <c r="F2002" s="9" t="s">
        <v>5547</v>
      </c>
      <c r="G2002" s="9" t="s">
        <v>5548</v>
      </c>
      <c r="H2002" s="9" t="s">
        <v>5549</v>
      </c>
      <c r="I2002" s="10">
        <v>45512</v>
      </c>
    </row>
    <row r="2003" spans="1:9" x14ac:dyDescent="0.15">
      <c r="A2003" s="9">
        <v>2002</v>
      </c>
      <c r="B2003" s="9" t="s">
        <v>9</v>
      </c>
      <c r="C2003" s="9">
        <v>1910</v>
      </c>
      <c r="D2003" s="10">
        <v>45602</v>
      </c>
      <c r="E2003" s="13" t="str">
        <f>+HYPERLINK("http://trademark.i-assist.jp/data/china/image_1910th/80248278.pdf","80248278")</f>
        <v>80248278</v>
      </c>
      <c r="F2003" s="9" t="s">
        <v>5550</v>
      </c>
      <c r="G2003" s="9" t="s">
        <v>5551</v>
      </c>
      <c r="H2003" s="9" t="s">
        <v>5552</v>
      </c>
      <c r="I2003" s="10">
        <v>45512</v>
      </c>
    </row>
    <row r="2004" spans="1:9" x14ac:dyDescent="0.15">
      <c r="A2004" s="9">
        <v>2003</v>
      </c>
      <c r="B2004" s="9" t="s">
        <v>9</v>
      </c>
      <c r="C2004" s="9">
        <v>1910</v>
      </c>
      <c r="D2004" s="10">
        <v>45602</v>
      </c>
      <c r="E2004" s="13" t="str">
        <f>+HYPERLINK("http://trademark.i-assist.jp/data/china/image_1910th/80248380.pdf","80248380")</f>
        <v>80248380</v>
      </c>
      <c r="F2004" s="11" t="s">
        <v>5553</v>
      </c>
      <c r="G2004" s="9" t="s">
        <v>128</v>
      </c>
      <c r="H2004" s="9" t="s">
        <v>5554</v>
      </c>
      <c r="I2004" s="10">
        <v>45512</v>
      </c>
    </row>
    <row r="2005" spans="1:9" x14ac:dyDescent="0.15">
      <c r="A2005" s="9">
        <v>2004</v>
      </c>
      <c r="B2005" s="9" t="s">
        <v>9</v>
      </c>
      <c r="C2005" s="9">
        <v>1910</v>
      </c>
      <c r="D2005" s="10">
        <v>45602</v>
      </c>
      <c r="E2005" s="13" t="str">
        <f>+HYPERLINK("http://trademark.i-assist.jp/data/china/image_1910th/80248577.pdf","80248577")</f>
        <v>80248577</v>
      </c>
      <c r="F2005" s="9" t="s">
        <v>5555</v>
      </c>
      <c r="G2005" s="9" t="s">
        <v>5556</v>
      </c>
      <c r="H2005" s="9" t="s">
        <v>5557</v>
      </c>
      <c r="I2005" s="10">
        <v>45512</v>
      </c>
    </row>
    <row r="2006" spans="1:9" x14ac:dyDescent="0.15">
      <c r="A2006" s="9">
        <v>2005</v>
      </c>
      <c r="B2006" s="9" t="s">
        <v>9</v>
      </c>
      <c r="C2006" s="9">
        <v>1910</v>
      </c>
      <c r="D2006" s="10">
        <v>45602</v>
      </c>
      <c r="E2006" s="13" t="str">
        <f>+HYPERLINK("http://trademark.i-assist.jp/data/china/image_1910th/80248615.pdf","80248615")</f>
        <v>80248615</v>
      </c>
      <c r="F2006" s="9" t="s">
        <v>5558</v>
      </c>
      <c r="G2006" s="9" t="s">
        <v>5559</v>
      </c>
      <c r="H2006" s="9" t="s">
        <v>5560</v>
      </c>
      <c r="I2006" s="10">
        <v>45512</v>
      </c>
    </row>
    <row r="2007" spans="1:9" x14ac:dyDescent="0.15">
      <c r="A2007" s="9">
        <v>2006</v>
      </c>
      <c r="B2007" s="9" t="s">
        <v>9</v>
      </c>
      <c r="C2007" s="9">
        <v>1910</v>
      </c>
      <c r="D2007" s="10">
        <v>45602</v>
      </c>
      <c r="E2007" s="13" t="str">
        <f>+HYPERLINK("http://trademark.i-assist.jp/data/china/image_1910th/80248781.pdf","80248781")</f>
        <v>80248781</v>
      </c>
      <c r="F2007" s="9" t="s">
        <v>5561</v>
      </c>
      <c r="G2007" s="9" t="s">
        <v>5562</v>
      </c>
      <c r="H2007" s="9" t="s">
        <v>5563</v>
      </c>
      <c r="I2007" s="10">
        <v>45512</v>
      </c>
    </row>
    <row r="2008" spans="1:9" x14ac:dyDescent="0.15">
      <c r="A2008" s="9">
        <v>2007</v>
      </c>
      <c r="B2008" s="9" t="s">
        <v>9</v>
      </c>
      <c r="C2008" s="9">
        <v>1910</v>
      </c>
      <c r="D2008" s="10">
        <v>45602</v>
      </c>
      <c r="E2008" s="13" t="str">
        <f>+HYPERLINK("http://trademark.i-assist.jp/data/china/image_1910th/80249095.pdf","80249095")</f>
        <v>80249095</v>
      </c>
      <c r="F2008" s="9" t="s">
        <v>5564</v>
      </c>
      <c r="G2008" s="9" t="s">
        <v>5565</v>
      </c>
      <c r="H2008" s="9" t="s">
        <v>5566</v>
      </c>
      <c r="I2008" s="10">
        <v>45512</v>
      </c>
    </row>
    <row r="2009" spans="1:9" x14ac:dyDescent="0.15">
      <c r="A2009" s="9">
        <v>2008</v>
      </c>
      <c r="B2009" s="9" t="s">
        <v>9</v>
      </c>
      <c r="C2009" s="9">
        <v>1910</v>
      </c>
      <c r="D2009" s="10">
        <v>45602</v>
      </c>
      <c r="E2009" s="13" t="str">
        <f>+HYPERLINK("http://trademark.i-assist.jp/data/china/image_1910th/80249216.pdf","80249216")</f>
        <v>80249216</v>
      </c>
      <c r="F2009" s="11" t="s">
        <v>19</v>
      </c>
      <c r="G2009" s="9" t="s">
        <v>5567</v>
      </c>
      <c r="H2009" s="9" t="s">
        <v>5568</v>
      </c>
      <c r="I2009" s="10">
        <v>45512</v>
      </c>
    </row>
    <row r="2010" spans="1:9" x14ac:dyDescent="0.15">
      <c r="A2010" s="9">
        <v>2009</v>
      </c>
      <c r="B2010" s="9" t="s">
        <v>9</v>
      </c>
      <c r="C2010" s="9">
        <v>1910</v>
      </c>
      <c r="D2010" s="10">
        <v>45602</v>
      </c>
      <c r="E2010" s="13" t="str">
        <f>+HYPERLINK("http://trademark.i-assist.jp/data/china/image_1910th/80249245.pdf","80249245")</f>
        <v>80249245</v>
      </c>
      <c r="F2010" s="9" t="s">
        <v>5569</v>
      </c>
      <c r="G2010" s="9" t="s">
        <v>5570</v>
      </c>
      <c r="H2010" s="9" t="s">
        <v>5571</v>
      </c>
      <c r="I2010" s="10">
        <v>45512</v>
      </c>
    </row>
    <row r="2011" spans="1:9" x14ac:dyDescent="0.15">
      <c r="A2011" s="9">
        <v>2010</v>
      </c>
      <c r="B2011" s="9" t="s">
        <v>9</v>
      </c>
      <c r="C2011" s="9">
        <v>1910</v>
      </c>
      <c r="D2011" s="10">
        <v>45602</v>
      </c>
      <c r="E2011" s="13" t="str">
        <f>+HYPERLINK("http://trademark.i-assist.jp/data/china/image_1910th/80249249.pdf","80249249")</f>
        <v>80249249</v>
      </c>
      <c r="F2011" s="9" t="s">
        <v>5572</v>
      </c>
      <c r="G2011" s="9" t="s">
        <v>5573</v>
      </c>
      <c r="H2011" s="9" t="s">
        <v>5574</v>
      </c>
      <c r="I2011" s="10">
        <v>45512</v>
      </c>
    </row>
    <row r="2012" spans="1:9" x14ac:dyDescent="0.15">
      <c r="A2012" s="9">
        <v>2011</v>
      </c>
      <c r="B2012" s="9" t="s">
        <v>9</v>
      </c>
      <c r="C2012" s="9">
        <v>1910</v>
      </c>
      <c r="D2012" s="10">
        <v>45602</v>
      </c>
      <c r="E2012" s="13" t="str">
        <f>+HYPERLINK("http://trademark.i-assist.jp/data/china/image_1910th/80249369.pdf","80249369")</f>
        <v>80249369</v>
      </c>
      <c r="F2012" s="11" t="s">
        <v>5575</v>
      </c>
      <c r="G2012" s="9" t="s">
        <v>5576</v>
      </c>
      <c r="H2012" s="9" t="s">
        <v>5577</v>
      </c>
      <c r="I2012" s="10">
        <v>45512</v>
      </c>
    </row>
    <row r="2013" spans="1:9" x14ac:dyDescent="0.15">
      <c r="A2013" s="9">
        <v>2012</v>
      </c>
      <c r="B2013" s="9" t="s">
        <v>9</v>
      </c>
      <c r="C2013" s="9">
        <v>1910</v>
      </c>
      <c r="D2013" s="10">
        <v>45602</v>
      </c>
      <c r="E2013" s="13" t="str">
        <f>+HYPERLINK("http://trademark.i-assist.jp/data/china/image_1910th/80249375.pdf","80249375")</f>
        <v>80249375</v>
      </c>
      <c r="F2013" s="11" t="s">
        <v>5578</v>
      </c>
      <c r="G2013" s="9" t="s">
        <v>5532</v>
      </c>
      <c r="H2013" s="9" t="s">
        <v>5579</v>
      </c>
      <c r="I2013" s="10">
        <v>45512</v>
      </c>
    </row>
    <row r="2014" spans="1:9" x14ac:dyDescent="0.15">
      <c r="A2014" s="9">
        <v>2013</v>
      </c>
      <c r="B2014" s="9" t="s">
        <v>9</v>
      </c>
      <c r="C2014" s="9">
        <v>1910</v>
      </c>
      <c r="D2014" s="10">
        <v>45602</v>
      </c>
      <c r="E2014" s="13" t="str">
        <f>+HYPERLINK("http://trademark.i-assist.jp/data/china/image_1910th/80249401.pdf","80249401")</f>
        <v>80249401</v>
      </c>
      <c r="F2014" s="11" t="s">
        <v>19</v>
      </c>
      <c r="G2014" s="9" t="s">
        <v>5580</v>
      </c>
      <c r="H2014" s="9" t="s">
        <v>5581</v>
      </c>
      <c r="I2014" s="10">
        <v>45512</v>
      </c>
    </row>
    <row r="2015" spans="1:9" x14ac:dyDescent="0.15">
      <c r="A2015" s="9">
        <v>2014</v>
      </c>
      <c r="B2015" s="9" t="s">
        <v>9</v>
      </c>
      <c r="C2015" s="9">
        <v>1910</v>
      </c>
      <c r="D2015" s="10">
        <v>45602</v>
      </c>
      <c r="E2015" s="13" t="str">
        <f>+HYPERLINK("http://trademark.i-assist.jp/data/china/image_1910th/80249505.pdf","80249505")</f>
        <v>80249505</v>
      </c>
      <c r="F2015" s="9" t="s">
        <v>5582</v>
      </c>
      <c r="G2015" s="9" t="s">
        <v>5583</v>
      </c>
      <c r="H2015" s="9" t="s">
        <v>5584</v>
      </c>
      <c r="I2015" s="10">
        <v>45512</v>
      </c>
    </row>
    <row r="2016" spans="1:9" x14ac:dyDescent="0.15">
      <c r="A2016" s="9">
        <v>2015</v>
      </c>
      <c r="B2016" s="9" t="s">
        <v>9</v>
      </c>
      <c r="C2016" s="9">
        <v>1910</v>
      </c>
      <c r="D2016" s="10">
        <v>45602</v>
      </c>
      <c r="E2016" s="13" t="str">
        <f>+HYPERLINK("http://trademark.i-assist.jp/data/china/image_1910th/80249559.pdf","80249559")</f>
        <v>80249559</v>
      </c>
      <c r="F2016" s="11" t="s">
        <v>5585</v>
      </c>
      <c r="G2016" s="9" t="s">
        <v>5586</v>
      </c>
      <c r="H2016" s="11" t="s">
        <v>5587</v>
      </c>
      <c r="I2016" s="10">
        <v>45512</v>
      </c>
    </row>
    <row r="2017" spans="1:9" x14ac:dyDescent="0.15">
      <c r="A2017" s="9">
        <v>2016</v>
      </c>
      <c r="B2017" s="9" t="s">
        <v>9</v>
      </c>
      <c r="C2017" s="9">
        <v>1910</v>
      </c>
      <c r="D2017" s="10">
        <v>45602</v>
      </c>
      <c r="E2017" s="13" t="str">
        <f>+HYPERLINK("http://trademark.i-assist.jp/data/china/image_1910th/80249671.pdf","80249671")</f>
        <v>80249671</v>
      </c>
      <c r="F2017" s="9" t="s">
        <v>5588</v>
      </c>
      <c r="G2017" s="9" t="s">
        <v>5589</v>
      </c>
      <c r="H2017" s="9" t="s">
        <v>5590</v>
      </c>
      <c r="I2017" s="10">
        <v>45512</v>
      </c>
    </row>
    <row r="2018" spans="1:9" x14ac:dyDescent="0.15">
      <c r="A2018" s="9">
        <v>2017</v>
      </c>
      <c r="B2018" s="9" t="s">
        <v>9</v>
      </c>
      <c r="C2018" s="9">
        <v>1910</v>
      </c>
      <c r="D2018" s="10">
        <v>45602</v>
      </c>
      <c r="E2018" s="13" t="str">
        <f>+HYPERLINK("http://trademark.i-assist.jp/data/china/image_1910th/80249848.pdf","80249848")</f>
        <v>80249848</v>
      </c>
      <c r="F2018" s="9" t="s">
        <v>5591</v>
      </c>
      <c r="G2018" s="9" t="s">
        <v>5592</v>
      </c>
      <c r="H2018" s="9" t="s">
        <v>5593</v>
      </c>
      <c r="I2018" s="10">
        <v>45512</v>
      </c>
    </row>
    <row r="2019" spans="1:9" x14ac:dyDescent="0.15">
      <c r="A2019" s="9">
        <v>2018</v>
      </c>
      <c r="B2019" s="9" t="s">
        <v>9</v>
      </c>
      <c r="C2019" s="9">
        <v>1910</v>
      </c>
      <c r="D2019" s="10">
        <v>45602</v>
      </c>
      <c r="E2019" s="13" t="str">
        <f>+HYPERLINK("http://trademark.i-assist.jp/data/china/image_1910th/80249948.pdf","80249948")</f>
        <v>80249948</v>
      </c>
      <c r="F2019" s="9" t="s">
        <v>5594</v>
      </c>
      <c r="G2019" s="9" t="s">
        <v>5595</v>
      </c>
      <c r="H2019" s="9" t="s">
        <v>5596</v>
      </c>
      <c r="I2019" s="10">
        <v>45512</v>
      </c>
    </row>
    <row r="2020" spans="1:9" x14ac:dyDescent="0.15">
      <c r="A2020" s="9">
        <v>2019</v>
      </c>
      <c r="B2020" s="9" t="s">
        <v>9</v>
      </c>
      <c r="C2020" s="9">
        <v>1910</v>
      </c>
      <c r="D2020" s="10">
        <v>45602</v>
      </c>
      <c r="E2020" s="13" t="str">
        <f>+HYPERLINK("http://trademark.i-assist.jp/data/china/image_1910th/80249955.pdf","80249955")</f>
        <v>80249955</v>
      </c>
      <c r="F2020" s="9" t="s">
        <v>5597</v>
      </c>
      <c r="G2020" s="9" t="s">
        <v>5595</v>
      </c>
      <c r="H2020" s="9" t="s">
        <v>5598</v>
      </c>
      <c r="I2020" s="10">
        <v>45512</v>
      </c>
    </row>
    <row r="2021" spans="1:9" x14ac:dyDescent="0.15">
      <c r="A2021" s="9">
        <v>2020</v>
      </c>
      <c r="B2021" s="9" t="s">
        <v>9</v>
      </c>
      <c r="C2021" s="9">
        <v>1910</v>
      </c>
      <c r="D2021" s="10">
        <v>45602</v>
      </c>
      <c r="E2021" s="13" t="str">
        <f>+HYPERLINK("http://trademark.i-assist.jp/data/china/image_1910th/80249987.pdf","80249987")</f>
        <v>80249987</v>
      </c>
      <c r="F2021" s="9" t="s">
        <v>5599</v>
      </c>
      <c r="G2021" s="11" t="s">
        <v>5600</v>
      </c>
      <c r="H2021" s="9" t="s">
        <v>5601</v>
      </c>
      <c r="I2021" s="10">
        <v>45512</v>
      </c>
    </row>
    <row r="2022" spans="1:9" x14ac:dyDescent="0.15">
      <c r="A2022" s="9">
        <v>2021</v>
      </c>
      <c r="B2022" s="9" t="s">
        <v>9</v>
      </c>
      <c r="C2022" s="9">
        <v>1910</v>
      </c>
      <c r="D2022" s="10">
        <v>45602</v>
      </c>
      <c r="E2022" s="13" t="str">
        <f>+HYPERLINK("http://trademark.i-assist.jp/data/china/image_1910th/80250226.pdf","80250226")</f>
        <v>80250226</v>
      </c>
      <c r="F2022" s="9" t="s">
        <v>5602</v>
      </c>
      <c r="G2022" s="11" t="s">
        <v>5603</v>
      </c>
      <c r="H2022" s="11" t="s">
        <v>5604</v>
      </c>
      <c r="I2022" s="10">
        <v>45512</v>
      </c>
    </row>
    <row r="2023" spans="1:9" x14ac:dyDescent="0.15">
      <c r="A2023" s="9">
        <v>2022</v>
      </c>
      <c r="B2023" s="9" t="s">
        <v>9</v>
      </c>
      <c r="C2023" s="9">
        <v>1910</v>
      </c>
      <c r="D2023" s="10">
        <v>45602</v>
      </c>
      <c r="E2023" s="13" t="str">
        <f>+HYPERLINK("http://trademark.i-assist.jp/data/china/image_1910th/80250231.pdf","80250231")</f>
        <v>80250231</v>
      </c>
      <c r="F2023" s="9" t="s">
        <v>5605</v>
      </c>
      <c r="G2023" s="9" t="s">
        <v>5500</v>
      </c>
      <c r="H2023" s="9" t="s">
        <v>5606</v>
      </c>
      <c r="I2023" s="10">
        <v>45512</v>
      </c>
    </row>
    <row r="2024" spans="1:9" x14ac:dyDescent="0.15">
      <c r="A2024" s="9">
        <v>2023</v>
      </c>
      <c r="B2024" s="9" t="s">
        <v>9</v>
      </c>
      <c r="C2024" s="9">
        <v>1910</v>
      </c>
      <c r="D2024" s="10">
        <v>45602</v>
      </c>
      <c r="E2024" s="13" t="str">
        <f>+HYPERLINK("http://trademark.i-assist.jp/data/china/image_1910th/80250254.pdf","80250254")</f>
        <v>80250254</v>
      </c>
      <c r="F2024" s="11" t="s">
        <v>19</v>
      </c>
      <c r="G2024" s="9" t="s">
        <v>5607</v>
      </c>
      <c r="H2024" s="9" t="s">
        <v>5608</v>
      </c>
      <c r="I2024" s="10">
        <v>45512</v>
      </c>
    </row>
    <row r="2025" spans="1:9" x14ac:dyDescent="0.15">
      <c r="A2025" s="9">
        <v>2024</v>
      </c>
      <c r="B2025" s="9" t="s">
        <v>9</v>
      </c>
      <c r="C2025" s="9">
        <v>1910</v>
      </c>
      <c r="D2025" s="10">
        <v>45602</v>
      </c>
      <c r="E2025" s="13" t="str">
        <f>+HYPERLINK("http://trademark.i-assist.jp/data/china/image_1910th/80250408.pdf","80250408")</f>
        <v>80250408</v>
      </c>
      <c r="F2025" s="9" t="s">
        <v>5609</v>
      </c>
      <c r="G2025" s="11" t="s">
        <v>5610</v>
      </c>
      <c r="H2025" s="9" t="s">
        <v>5611</v>
      </c>
      <c r="I2025" s="10">
        <v>45512</v>
      </c>
    </row>
    <row r="2026" spans="1:9" x14ac:dyDescent="0.15">
      <c r="A2026" s="9">
        <v>2025</v>
      </c>
      <c r="B2026" s="9" t="s">
        <v>9</v>
      </c>
      <c r="C2026" s="9">
        <v>1910</v>
      </c>
      <c r="D2026" s="10">
        <v>45602</v>
      </c>
      <c r="E2026" s="13" t="str">
        <f>+HYPERLINK("http://trademark.i-assist.jp/data/china/image_1910th/80250411.pdf","80250411")</f>
        <v>80250411</v>
      </c>
      <c r="F2026" s="9" t="s">
        <v>5612</v>
      </c>
      <c r="G2026" s="9" t="s">
        <v>5613</v>
      </c>
      <c r="H2026" s="9" t="s">
        <v>5614</v>
      </c>
      <c r="I2026" s="10">
        <v>45512</v>
      </c>
    </row>
    <row r="2027" spans="1:9" x14ac:dyDescent="0.15">
      <c r="A2027" s="9">
        <v>2026</v>
      </c>
      <c r="B2027" s="9" t="s">
        <v>9</v>
      </c>
      <c r="C2027" s="9">
        <v>1910</v>
      </c>
      <c r="D2027" s="10">
        <v>45602</v>
      </c>
      <c r="E2027" s="13" t="str">
        <f>+HYPERLINK("http://trademark.i-assist.jp/data/china/image_1910th/80250443.pdf","80250443")</f>
        <v>80250443</v>
      </c>
      <c r="F2027" s="9" t="s">
        <v>5615</v>
      </c>
      <c r="G2027" s="9" t="s">
        <v>5616</v>
      </c>
      <c r="H2027" s="9" t="s">
        <v>5617</v>
      </c>
      <c r="I2027" s="10">
        <v>45512</v>
      </c>
    </row>
    <row r="2028" spans="1:9" x14ac:dyDescent="0.15">
      <c r="A2028" s="9">
        <v>2027</v>
      </c>
      <c r="B2028" s="9" t="s">
        <v>9</v>
      </c>
      <c r="C2028" s="9">
        <v>1910</v>
      </c>
      <c r="D2028" s="10">
        <v>45602</v>
      </c>
      <c r="E2028" s="13" t="str">
        <f>+HYPERLINK("http://trademark.i-assist.jp/data/china/image_1910th/80250711.pdf","80250711")</f>
        <v>80250711</v>
      </c>
      <c r="F2028" s="11" t="s">
        <v>5618</v>
      </c>
      <c r="G2028" s="9" t="s">
        <v>182</v>
      </c>
      <c r="H2028" s="9" t="s">
        <v>5619</v>
      </c>
      <c r="I2028" s="10">
        <v>45512</v>
      </c>
    </row>
    <row r="2029" spans="1:9" x14ac:dyDescent="0.15">
      <c r="A2029" s="9">
        <v>2028</v>
      </c>
      <c r="B2029" s="9" t="s">
        <v>9</v>
      </c>
      <c r="C2029" s="9">
        <v>1910</v>
      </c>
      <c r="D2029" s="10">
        <v>45602</v>
      </c>
      <c r="E2029" s="13" t="str">
        <f>+HYPERLINK("http://trademark.i-assist.jp/data/china/image_1910th/80250715.pdf","80250715")</f>
        <v>80250715</v>
      </c>
      <c r="F2029" s="9" t="s">
        <v>5620</v>
      </c>
      <c r="G2029" s="9" t="s">
        <v>5621</v>
      </c>
      <c r="H2029" s="9" t="s">
        <v>5622</v>
      </c>
      <c r="I2029" s="10">
        <v>45512</v>
      </c>
    </row>
    <row r="2030" spans="1:9" x14ac:dyDescent="0.15">
      <c r="A2030" s="9">
        <v>2029</v>
      </c>
      <c r="B2030" s="9" t="s">
        <v>9</v>
      </c>
      <c r="C2030" s="9">
        <v>1910</v>
      </c>
      <c r="D2030" s="10">
        <v>45602</v>
      </c>
      <c r="E2030" s="13" t="str">
        <f>+HYPERLINK("http://trademark.i-assist.jp/data/china/image_1910th/80250723.pdf","80250723")</f>
        <v>80250723</v>
      </c>
      <c r="F2030" s="9" t="s">
        <v>5623</v>
      </c>
      <c r="G2030" s="9" t="s">
        <v>5621</v>
      </c>
      <c r="H2030" s="9" t="s">
        <v>5624</v>
      </c>
      <c r="I2030" s="10">
        <v>45512</v>
      </c>
    </row>
    <row r="2031" spans="1:9" x14ac:dyDescent="0.15">
      <c r="A2031" s="9">
        <v>2030</v>
      </c>
      <c r="B2031" s="9" t="s">
        <v>9</v>
      </c>
      <c r="C2031" s="9">
        <v>1910</v>
      </c>
      <c r="D2031" s="10">
        <v>45602</v>
      </c>
      <c r="E2031" s="13" t="str">
        <f>+HYPERLINK("http://trademark.i-assist.jp/data/china/image_1910th/80251178.pdf","80251178")</f>
        <v>80251178</v>
      </c>
      <c r="F2031" s="11" t="s">
        <v>5625</v>
      </c>
      <c r="G2031" s="11" t="s">
        <v>5626</v>
      </c>
      <c r="H2031" s="9" t="s">
        <v>5627</v>
      </c>
      <c r="I2031" s="10">
        <v>45512</v>
      </c>
    </row>
    <row r="2032" spans="1:9" x14ac:dyDescent="0.15">
      <c r="A2032" s="9">
        <v>2031</v>
      </c>
      <c r="B2032" s="9" t="s">
        <v>9</v>
      </c>
      <c r="C2032" s="9">
        <v>1910</v>
      </c>
      <c r="D2032" s="10">
        <v>45602</v>
      </c>
      <c r="E2032" s="13" t="str">
        <f>+HYPERLINK("http://trademark.i-assist.jp/data/china/image_1910th/80251258.pdf","80251258")</f>
        <v>80251258</v>
      </c>
      <c r="F2032" s="9" t="s">
        <v>5628</v>
      </c>
      <c r="G2032" s="9" t="s">
        <v>5629</v>
      </c>
      <c r="H2032" s="9" t="s">
        <v>5630</v>
      </c>
      <c r="I2032" s="10">
        <v>45512</v>
      </c>
    </row>
    <row r="2033" spans="1:9" x14ac:dyDescent="0.15">
      <c r="A2033" s="9">
        <v>2032</v>
      </c>
      <c r="B2033" s="9" t="s">
        <v>9</v>
      </c>
      <c r="C2033" s="9">
        <v>1910</v>
      </c>
      <c r="D2033" s="10">
        <v>45602</v>
      </c>
      <c r="E2033" s="13" t="str">
        <f>+HYPERLINK("http://trademark.i-assist.jp/data/china/image_1910th/80251267.pdf","80251267")</f>
        <v>80251267</v>
      </c>
      <c r="F2033" s="9" t="s">
        <v>5631</v>
      </c>
      <c r="G2033" s="11" t="s">
        <v>5610</v>
      </c>
      <c r="H2033" s="9" t="s">
        <v>5632</v>
      </c>
      <c r="I2033" s="10">
        <v>45512</v>
      </c>
    </row>
    <row r="2034" spans="1:9" x14ac:dyDescent="0.15">
      <c r="A2034" s="9">
        <v>2033</v>
      </c>
      <c r="B2034" s="9" t="s">
        <v>9</v>
      </c>
      <c r="C2034" s="9">
        <v>1910</v>
      </c>
      <c r="D2034" s="10">
        <v>45602</v>
      </c>
      <c r="E2034" s="13" t="str">
        <f>+HYPERLINK("http://trademark.i-assist.jp/data/china/image_1910th/80251368.pdf","80251368")</f>
        <v>80251368</v>
      </c>
      <c r="F2034" s="9" t="s">
        <v>5633</v>
      </c>
      <c r="G2034" s="9" t="s">
        <v>5634</v>
      </c>
      <c r="H2034" s="9" t="s">
        <v>5635</v>
      </c>
      <c r="I2034" s="10">
        <v>45512</v>
      </c>
    </row>
    <row r="2035" spans="1:9" x14ac:dyDescent="0.15">
      <c r="A2035" s="9">
        <v>2034</v>
      </c>
      <c r="B2035" s="9" t="s">
        <v>9</v>
      </c>
      <c r="C2035" s="9">
        <v>1910</v>
      </c>
      <c r="D2035" s="10">
        <v>45602</v>
      </c>
      <c r="E2035" s="13" t="str">
        <f>+HYPERLINK("http://trademark.i-assist.jp/data/china/image_1910th/80251473.pdf","80251473")</f>
        <v>80251473</v>
      </c>
      <c r="F2035" s="9" t="s">
        <v>5636</v>
      </c>
      <c r="G2035" s="9" t="s">
        <v>5637</v>
      </c>
      <c r="H2035" s="9" t="s">
        <v>5638</v>
      </c>
      <c r="I2035" s="10">
        <v>45512</v>
      </c>
    </row>
    <row r="2036" spans="1:9" x14ac:dyDescent="0.15">
      <c r="A2036" s="9">
        <v>2035</v>
      </c>
      <c r="B2036" s="9" t="s">
        <v>9</v>
      </c>
      <c r="C2036" s="9">
        <v>1910</v>
      </c>
      <c r="D2036" s="10">
        <v>45602</v>
      </c>
      <c r="E2036" s="13" t="str">
        <f>+HYPERLINK("http://trademark.i-assist.jp/data/china/image_1910th/80251566.pdf","80251566")</f>
        <v>80251566</v>
      </c>
      <c r="F2036" s="9" t="s">
        <v>5639</v>
      </c>
      <c r="G2036" s="9" t="s">
        <v>5640</v>
      </c>
      <c r="H2036" s="9" t="s">
        <v>5641</v>
      </c>
      <c r="I2036" s="10">
        <v>45512</v>
      </c>
    </row>
    <row r="2037" spans="1:9" x14ac:dyDescent="0.15">
      <c r="A2037" s="9">
        <v>2036</v>
      </c>
      <c r="B2037" s="9" t="s">
        <v>9</v>
      </c>
      <c r="C2037" s="9">
        <v>1910</v>
      </c>
      <c r="D2037" s="10">
        <v>45602</v>
      </c>
      <c r="E2037" s="13" t="str">
        <f>+HYPERLINK("http://trademark.i-assist.jp/data/china/image_1910th/80251598.pdf","80251598")</f>
        <v>80251598</v>
      </c>
      <c r="F2037" s="9" t="s">
        <v>5642</v>
      </c>
      <c r="G2037" s="9" t="s">
        <v>2176</v>
      </c>
      <c r="H2037" s="9" t="s">
        <v>5643</v>
      </c>
      <c r="I2037" s="10">
        <v>45512</v>
      </c>
    </row>
    <row r="2038" spans="1:9" x14ac:dyDescent="0.15">
      <c r="A2038" s="9">
        <v>2037</v>
      </c>
      <c r="B2038" s="9" t="s">
        <v>9</v>
      </c>
      <c r="C2038" s="9">
        <v>1910</v>
      </c>
      <c r="D2038" s="10">
        <v>45602</v>
      </c>
      <c r="E2038" s="13" t="str">
        <f>+HYPERLINK("http://trademark.i-assist.jp/data/china/image_1910th/80251706.pdf","80251706")</f>
        <v>80251706</v>
      </c>
      <c r="F2038" s="9" t="s">
        <v>5644</v>
      </c>
      <c r="G2038" s="9" t="s">
        <v>5532</v>
      </c>
      <c r="H2038" s="9" t="s">
        <v>5645</v>
      </c>
      <c r="I2038" s="10">
        <v>45512</v>
      </c>
    </row>
    <row r="2039" spans="1:9" x14ac:dyDescent="0.15">
      <c r="A2039" s="9">
        <v>2038</v>
      </c>
      <c r="B2039" s="9" t="s">
        <v>9</v>
      </c>
      <c r="C2039" s="9">
        <v>1910</v>
      </c>
      <c r="D2039" s="10">
        <v>45602</v>
      </c>
      <c r="E2039" s="13" t="str">
        <f>+HYPERLINK("http://trademark.i-assist.jp/data/china/image_1910th/80252258.pdf","80252258")</f>
        <v>80252258</v>
      </c>
      <c r="F2039" s="11" t="s">
        <v>5646</v>
      </c>
      <c r="G2039" s="9" t="s">
        <v>5647</v>
      </c>
      <c r="H2039" s="9" t="s">
        <v>5648</v>
      </c>
      <c r="I2039" s="10">
        <v>45512</v>
      </c>
    </row>
    <row r="2040" spans="1:9" x14ac:dyDescent="0.15">
      <c r="A2040" s="9">
        <v>2039</v>
      </c>
      <c r="B2040" s="9" t="s">
        <v>9</v>
      </c>
      <c r="C2040" s="9">
        <v>1910</v>
      </c>
      <c r="D2040" s="10">
        <v>45602</v>
      </c>
      <c r="E2040" s="13" t="str">
        <f>+HYPERLINK("http://trademark.i-assist.jp/data/china/image_1910th/80252292.pdf","80252292")</f>
        <v>80252292</v>
      </c>
      <c r="F2040" s="9" t="s">
        <v>5649</v>
      </c>
      <c r="G2040" s="11" t="s">
        <v>5650</v>
      </c>
      <c r="H2040" s="9" t="s">
        <v>5651</v>
      </c>
      <c r="I2040" s="10">
        <v>45512</v>
      </c>
    </row>
    <row r="2041" spans="1:9" x14ac:dyDescent="0.15">
      <c r="A2041" s="9">
        <v>2040</v>
      </c>
      <c r="B2041" s="9" t="s">
        <v>9</v>
      </c>
      <c r="C2041" s="9">
        <v>1910</v>
      </c>
      <c r="D2041" s="10">
        <v>45602</v>
      </c>
      <c r="E2041" s="13" t="str">
        <f>+HYPERLINK("http://trademark.i-assist.jp/data/china/image_1910th/80252304.pdf","80252304")</f>
        <v>80252304</v>
      </c>
      <c r="F2041" s="9" t="s">
        <v>5652</v>
      </c>
      <c r="G2041" s="11" t="s">
        <v>5653</v>
      </c>
      <c r="H2041" s="9" t="s">
        <v>5654</v>
      </c>
      <c r="I2041" s="10">
        <v>45512</v>
      </c>
    </row>
    <row r="2042" spans="1:9" x14ac:dyDescent="0.15">
      <c r="A2042" s="9">
        <v>2041</v>
      </c>
      <c r="B2042" s="9" t="s">
        <v>9</v>
      </c>
      <c r="C2042" s="9">
        <v>1910</v>
      </c>
      <c r="D2042" s="10">
        <v>45602</v>
      </c>
      <c r="E2042" s="13" t="str">
        <f>+HYPERLINK("http://trademark.i-assist.jp/data/china/image_1910th/80252494.pdf","80252494")</f>
        <v>80252494</v>
      </c>
      <c r="F2042" s="9" t="s">
        <v>5655</v>
      </c>
      <c r="G2042" s="11" t="s">
        <v>5656</v>
      </c>
      <c r="H2042" s="9" t="s">
        <v>5657</v>
      </c>
      <c r="I2042" s="10">
        <v>45512</v>
      </c>
    </row>
    <row r="2043" spans="1:9" x14ac:dyDescent="0.15">
      <c r="A2043" s="9">
        <v>2042</v>
      </c>
      <c r="B2043" s="9" t="s">
        <v>9</v>
      </c>
      <c r="C2043" s="9">
        <v>1910</v>
      </c>
      <c r="D2043" s="10">
        <v>45602</v>
      </c>
      <c r="E2043" s="13" t="str">
        <f>+HYPERLINK("http://trademark.i-assist.jp/data/china/image_1910th/80252593.pdf","80252593")</f>
        <v>80252593</v>
      </c>
      <c r="F2043" s="9" t="s">
        <v>5658</v>
      </c>
      <c r="G2043" s="9" t="s">
        <v>5659</v>
      </c>
      <c r="H2043" s="9" t="s">
        <v>5660</v>
      </c>
      <c r="I2043" s="10">
        <v>45512</v>
      </c>
    </row>
    <row r="2044" spans="1:9" x14ac:dyDescent="0.15">
      <c r="A2044" s="9">
        <v>2043</v>
      </c>
      <c r="B2044" s="9" t="s">
        <v>9</v>
      </c>
      <c r="C2044" s="9">
        <v>1910</v>
      </c>
      <c r="D2044" s="10">
        <v>45602</v>
      </c>
      <c r="E2044" s="13" t="str">
        <f>+HYPERLINK("http://trademark.i-assist.jp/data/china/image_1910th/80252769.pdf","80252769")</f>
        <v>80252769</v>
      </c>
      <c r="F2044" s="9" t="s">
        <v>5661</v>
      </c>
      <c r="G2044" s="9" t="s">
        <v>5662</v>
      </c>
      <c r="H2044" s="9" t="s">
        <v>5663</v>
      </c>
      <c r="I2044" s="10">
        <v>45512</v>
      </c>
    </row>
    <row r="2045" spans="1:9" x14ac:dyDescent="0.15">
      <c r="A2045" s="9">
        <v>2044</v>
      </c>
      <c r="B2045" s="9" t="s">
        <v>9</v>
      </c>
      <c r="C2045" s="9">
        <v>1910</v>
      </c>
      <c r="D2045" s="10">
        <v>45602</v>
      </c>
      <c r="E2045" s="13" t="str">
        <f>+HYPERLINK("http://trademark.i-assist.jp/data/china/image_1910th/80252791.pdf","80252791")</f>
        <v>80252791</v>
      </c>
      <c r="F2045" s="11" t="s">
        <v>5664</v>
      </c>
      <c r="G2045" s="9" t="s">
        <v>5586</v>
      </c>
      <c r="H2045" s="9" t="s">
        <v>5665</v>
      </c>
      <c r="I2045" s="10">
        <v>45512</v>
      </c>
    </row>
    <row r="2046" spans="1:9" x14ac:dyDescent="0.15">
      <c r="A2046" s="9">
        <v>2045</v>
      </c>
      <c r="B2046" s="9" t="s">
        <v>9</v>
      </c>
      <c r="C2046" s="9">
        <v>1910</v>
      </c>
      <c r="D2046" s="10">
        <v>45602</v>
      </c>
      <c r="E2046" s="13" t="str">
        <f>+HYPERLINK("http://trademark.i-assist.jp/data/china/image_1910th/80252822.pdf","80252822")</f>
        <v>80252822</v>
      </c>
      <c r="F2046" s="9" t="s">
        <v>5666</v>
      </c>
      <c r="G2046" s="9" t="s">
        <v>5667</v>
      </c>
      <c r="H2046" s="9" t="s">
        <v>5668</v>
      </c>
      <c r="I2046" s="10">
        <v>45512</v>
      </c>
    </row>
    <row r="2047" spans="1:9" x14ac:dyDescent="0.15">
      <c r="A2047" s="9">
        <v>2046</v>
      </c>
      <c r="B2047" s="9" t="s">
        <v>9</v>
      </c>
      <c r="C2047" s="9">
        <v>1910</v>
      </c>
      <c r="D2047" s="10">
        <v>45602</v>
      </c>
      <c r="E2047" s="13" t="str">
        <f>+HYPERLINK("http://trademark.i-assist.jp/data/china/image_1910th/80252873.pdf","80252873")</f>
        <v>80252873</v>
      </c>
      <c r="F2047" s="9" t="s">
        <v>5669</v>
      </c>
      <c r="G2047" s="9" t="s">
        <v>5670</v>
      </c>
      <c r="H2047" s="9" t="s">
        <v>5671</v>
      </c>
      <c r="I2047" s="10">
        <v>45512</v>
      </c>
    </row>
    <row r="2048" spans="1:9" x14ac:dyDescent="0.15">
      <c r="A2048" s="9">
        <v>2047</v>
      </c>
      <c r="B2048" s="9" t="s">
        <v>9</v>
      </c>
      <c r="C2048" s="9">
        <v>1910</v>
      </c>
      <c r="D2048" s="10">
        <v>45602</v>
      </c>
      <c r="E2048" s="13" t="str">
        <f>+HYPERLINK("http://trademark.i-assist.jp/data/china/image_1910th/80253128.pdf","80253128")</f>
        <v>80253128</v>
      </c>
      <c r="F2048" s="12" t="s">
        <v>5672</v>
      </c>
      <c r="G2048" s="9" t="s">
        <v>5673</v>
      </c>
      <c r="H2048" s="9" t="s">
        <v>5674</v>
      </c>
      <c r="I2048" s="10">
        <v>45512</v>
      </c>
    </row>
    <row r="2049" spans="1:9" x14ac:dyDescent="0.15">
      <c r="A2049" s="9">
        <v>2048</v>
      </c>
      <c r="B2049" s="9" t="s">
        <v>9</v>
      </c>
      <c r="C2049" s="9">
        <v>1910</v>
      </c>
      <c r="D2049" s="10">
        <v>45602</v>
      </c>
      <c r="E2049" s="13" t="str">
        <f>+HYPERLINK("http://trademark.i-assist.jp/data/china/image_1910th/80253180.pdf","80253180")</f>
        <v>80253180</v>
      </c>
      <c r="F2049" s="9" t="s">
        <v>5675</v>
      </c>
      <c r="G2049" s="9" t="s">
        <v>5676</v>
      </c>
      <c r="H2049" s="9" t="s">
        <v>5677</v>
      </c>
      <c r="I2049" s="10">
        <v>45512</v>
      </c>
    </row>
    <row r="2050" spans="1:9" x14ac:dyDescent="0.15">
      <c r="A2050" s="9">
        <v>2049</v>
      </c>
      <c r="B2050" s="9" t="s">
        <v>9</v>
      </c>
      <c r="C2050" s="9">
        <v>1910</v>
      </c>
      <c r="D2050" s="10">
        <v>45602</v>
      </c>
      <c r="E2050" s="13" t="str">
        <f>+HYPERLINK("http://trademark.i-assist.jp/data/china/image_1910th/80253294.pdf","80253294")</f>
        <v>80253294</v>
      </c>
      <c r="F2050" s="9" t="s">
        <v>5678</v>
      </c>
      <c r="G2050" s="9" t="s">
        <v>5679</v>
      </c>
      <c r="H2050" s="9" t="s">
        <v>5680</v>
      </c>
      <c r="I2050" s="10">
        <v>45512</v>
      </c>
    </row>
    <row r="2051" spans="1:9" x14ac:dyDescent="0.15">
      <c r="A2051" s="9">
        <v>2050</v>
      </c>
      <c r="B2051" s="9" t="s">
        <v>9</v>
      </c>
      <c r="C2051" s="9">
        <v>1910</v>
      </c>
      <c r="D2051" s="10">
        <v>45602</v>
      </c>
      <c r="E2051" s="13" t="str">
        <f>+HYPERLINK("http://trademark.i-assist.jp/data/china/image_1910th/80253432.pdf","80253432")</f>
        <v>80253432</v>
      </c>
      <c r="F2051" s="9" t="s">
        <v>5681</v>
      </c>
      <c r="G2051" s="9" t="s">
        <v>182</v>
      </c>
      <c r="H2051" s="9" t="s">
        <v>5682</v>
      </c>
      <c r="I2051" s="10">
        <v>45512</v>
      </c>
    </row>
    <row r="2052" spans="1:9" x14ac:dyDescent="0.15">
      <c r="A2052" s="9">
        <v>2051</v>
      </c>
      <c r="B2052" s="9" t="s">
        <v>9</v>
      </c>
      <c r="C2052" s="9">
        <v>1910</v>
      </c>
      <c r="D2052" s="10">
        <v>45602</v>
      </c>
      <c r="E2052" s="13" t="str">
        <f>+HYPERLINK("http://trademark.i-assist.jp/data/china/image_1910th/80253471.pdf","80253471")</f>
        <v>80253471</v>
      </c>
      <c r="F2052" s="9" t="s">
        <v>5683</v>
      </c>
      <c r="G2052" s="9" t="s">
        <v>102</v>
      </c>
      <c r="H2052" s="9" t="s">
        <v>5684</v>
      </c>
      <c r="I2052" s="10">
        <v>45512</v>
      </c>
    </row>
    <row r="2053" spans="1:9" x14ac:dyDescent="0.15">
      <c r="A2053" s="9">
        <v>2052</v>
      </c>
      <c r="B2053" s="9" t="s">
        <v>9</v>
      </c>
      <c r="C2053" s="9">
        <v>1910</v>
      </c>
      <c r="D2053" s="10">
        <v>45602</v>
      </c>
      <c r="E2053" s="13" t="str">
        <f>+HYPERLINK("http://trademark.i-assist.jp/data/china/image_1910th/80253528.pdf","80253528")</f>
        <v>80253528</v>
      </c>
      <c r="F2053" s="9" t="s">
        <v>5685</v>
      </c>
      <c r="G2053" s="9" t="s">
        <v>5686</v>
      </c>
      <c r="H2053" s="11" t="s">
        <v>5687</v>
      </c>
      <c r="I2053" s="10">
        <v>45512</v>
      </c>
    </row>
    <row r="2054" spans="1:9" x14ac:dyDescent="0.15">
      <c r="A2054" s="9">
        <v>2053</v>
      </c>
      <c r="B2054" s="9" t="s">
        <v>9</v>
      </c>
      <c r="C2054" s="9">
        <v>1910</v>
      </c>
      <c r="D2054" s="10">
        <v>45602</v>
      </c>
      <c r="E2054" s="13" t="str">
        <f>+HYPERLINK("http://trademark.i-assist.jp/data/china/image_1910th/80253616.pdf","80253616")</f>
        <v>80253616</v>
      </c>
      <c r="F2054" s="9" t="s">
        <v>5688</v>
      </c>
      <c r="G2054" s="9" t="s">
        <v>5689</v>
      </c>
      <c r="H2054" s="9" t="s">
        <v>5690</v>
      </c>
      <c r="I2054" s="10">
        <v>45512</v>
      </c>
    </row>
    <row r="2055" spans="1:9" x14ac:dyDescent="0.15">
      <c r="A2055" s="9">
        <v>2054</v>
      </c>
      <c r="B2055" s="9" t="s">
        <v>9</v>
      </c>
      <c r="C2055" s="9">
        <v>1910</v>
      </c>
      <c r="D2055" s="10">
        <v>45602</v>
      </c>
      <c r="E2055" s="13" t="str">
        <f>+HYPERLINK("http://trademark.i-assist.jp/data/china/image_1910th/80253698.pdf","80253698")</f>
        <v>80253698</v>
      </c>
      <c r="F2055" s="9" t="s">
        <v>5691</v>
      </c>
      <c r="G2055" s="9" t="s">
        <v>128</v>
      </c>
      <c r="H2055" s="11" t="s">
        <v>5692</v>
      </c>
      <c r="I2055" s="10">
        <v>45512</v>
      </c>
    </row>
    <row r="2056" spans="1:9" x14ac:dyDescent="0.15">
      <c r="A2056" s="9">
        <v>2055</v>
      </c>
      <c r="B2056" s="9" t="s">
        <v>9</v>
      </c>
      <c r="C2056" s="9">
        <v>1910</v>
      </c>
      <c r="D2056" s="10">
        <v>45602</v>
      </c>
      <c r="E2056" s="13" t="str">
        <f>+HYPERLINK("http://trademark.i-assist.jp/data/china/image_1910th/80253700.pdf","80253700")</f>
        <v>80253700</v>
      </c>
      <c r="F2056" s="9" t="s">
        <v>5693</v>
      </c>
      <c r="G2056" s="9" t="s">
        <v>5673</v>
      </c>
      <c r="H2056" s="9" t="s">
        <v>5694</v>
      </c>
      <c r="I2056" s="10">
        <v>45512</v>
      </c>
    </row>
    <row r="2057" spans="1:9" x14ac:dyDescent="0.15">
      <c r="A2057" s="9">
        <v>2056</v>
      </c>
      <c r="B2057" s="9" t="s">
        <v>9</v>
      </c>
      <c r="C2057" s="9">
        <v>1910</v>
      </c>
      <c r="D2057" s="10">
        <v>45602</v>
      </c>
      <c r="E2057" s="13" t="str">
        <f>+HYPERLINK("http://trademark.i-assist.jp/data/china/image_1910th/80253805.pdf","80253805")</f>
        <v>80253805</v>
      </c>
      <c r="F2057" s="11" t="s">
        <v>5695</v>
      </c>
      <c r="G2057" s="9" t="s">
        <v>5696</v>
      </c>
      <c r="H2057" s="9" t="s">
        <v>5697</v>
      </c>
      <c r="I2057" s="10">
        <v>45512</v>
      </c>
    </row>
    <row r="2058" spans="1:9" x14ac:dyDescent="0.15">
      <c r="A2058" s="9">
        <v>2057</v>
      </c>
      <c r="B2058" s="9" t="s">
        <v>9</v>
      </c>
      <c r="C2058" s="9">
        <v>1910</v>
      </c>
      <c r="D2058" s="10">
        <v>45602</v>
      </c>
      <c r="E2058" s="13" t="str">
        <f>+HYPERLINK("http://trademark.i-assist.jp/data/china/image_1910th/80253810.pdf","80253810")</f>
        <v>80253810</v>
      </c>
      <c r="F2058" s="9" t="s">
        <v>5698</v>
      </c>
      <c r="G2058" s="11" t="s">
        <v>5488</v>
      </c>
      <c r="H2058" s="9" t="s">
        <v>5699</v>
      </c>
      <c r="I2058" s="10">
        <v>45512</v>
      </c>
    </row>
    <row r="2059" spans="1:9" x14ac:dyDescent="0.15">
      <c r="A2059" s="9">
        <v>2058</v>
      </c>
      <c r="B2059" s="9" t="s">
        <v>9</v>
      </c>
      <c r="C2059" s="9">
        <v>1910</v>
      </c>
      <c r="D2059" s="10">
        <v>45602</v>
      </c>
      <c r="E2059" s="13" t="str">
        <f>+HYPERLINK("http://trademark.i-assist.jp/data/china/image_1910th/80253838.pdf","80253838")</f>
        <v>80253838</v>
      </c>
      <c r="F2059" s="11" t="s">
        <v>5700</v>
      </c>
      <c r="G2059" s="9" t="s">
        <v>5701</v>
      </c>
      <c r="H2059" s="9" t="s">
        <v>5702</v>
      </c>
      <c r="I2059" s="10">
        <v>45512</v>
      </c>
    </row>
    <row r="2060" spans="1:9" x14ac:dyDescent="0.15">
      <c r="A2060" s="9">
        <v>2059</v>
      </c>
      <c r="B2060" s="9" t="s">
        <v>9</v>
      </c>
      <c r="C2060" s="9">
        <v>1910</v>
      </c>
      <c r="D2060" s="10">
        <v>45602</v>
      </c>
      <c r="E2060" s="13" t="str">
        <f>+HYPERLINK("http://trademark.i-assist.jp/data/china/image_1910th/80253851.pdf","80253851")</f>
        <v>80253851</v>
      </c>
      <c r="F2060" s="9" t="s">
        <v>5703</v>
      </c>
      <c r="G2060" s="9" t="s">
        <v>5704</v>
      </c>
      <c r="H2060" s="11" t="s">
        <v>5705</v>
      </c>
      <c r="I2060" s="10">
        <v>45512</v>
      </c>
    </row>
    <row r="2061" spans="1:9" x14ac:dyDescent="0.15">
      <c r="A2061" s="9">
        <v>2060</v>
      </c>
      <c r="B2061" s="9" t="s">
        <v>9</v>
      </c>
      <c r="C2061" s="9">
        <v>1910</v>
      </c>
      <c r="D2061" s="10">
        <v>45602</v>
      </c>
      <c r="E2061" s="13" t="str">
        <f>+HYPERLINK("http://trademark.i-assist.jp/data/china/image_1910th/80254072.pdf","80254072")</f>
        <v>80254072</v>
      </c>
      <c r="F2061" s="11" t="s">
        <v>5706</v>
      </c>
      <c r="G2061" s="9" t="s">
        <v>5707</v>
      </c>
      <c r="H2061" s="9" t="s">
        <v>5708</v>
      </c>
      <c r="I2061" s="10">
        <v>45512</v>
      </c>
    </row>
    <row r="2062" spans="1:9" x14ac:dyDescent="0.15">
      <c r="A2062" s="9">
        <v>2061</v>
      </c>
      <c r="B2062" s="9" t="s">
        <v>9</v>
      </c>
      <c r="C2062" s="9">
        <v>1910</v>
      </c>
      <c r="D2062" s="10">
        <v>45602</v>
      </c>
      <c r="E2062" s="13" t="str">
        <f>+HYPERLINK("http://trademark.i-assist.jp/data/china/image_1910th/80254078.pdf","80254078")</f>
        <v>80254078</v>
      </c>
      <c r="F2062" s="9" t="s">
        <v>5709</v>
      </c>
      <c r="G2062" s="9" t="s">
        <v>5710</v>
      </c>
      <c r="H2062" s="9" t="s">
        <v>5711</v>
      </c>
      <c r="I2062" s="10">
        <v>45512</v>
      </c>
    </row>
    <row r="2063" spans="1:9" x14ac:dyDescent="0.15">
      <c r="A2063" s="9">
        <v>2062</v>
      </c>
      <c r="B2063" s="9" t="s">
        <v>9</v>
      </c>
      <c r="C2063" s="9">
        <v>1910</v>
      </c>
      <c r="D2063" s="10">
        <v>45602</v>
      </c>
      <c r="E2063" s="13" t="str">
        <f>+HYPERLINK("http://trademark.i-assist.jp/data/china/image_1910th/80254523.pdf","80254523")</f>
        <v>80254523</v>
      </c>
      <c r="F2063" s="11" t="s">
        <v>5712</v>
      </c>
      <c r="G2063" s="9" t="s">
        <v>71</v>
      </c>
      <c r="H2063" s="9" t="s">
        <v>5713</v>
      </c>
      <c r="I2063" s="10">
        <v>45512</v>
      </c>
    </row>
    <row r="2064" spans="1:9" x14ac:dyDescent="0.15">
      <c r="A2064" s="9">
        <v>2063</v>
      </c>
      <c r="B2064" s="9" t="s">
        <v>9</v>
      </c>
      <c r="C2064" s="9">
        <v>1910</v>
      </c>
      <c r="D2064" s="10">
        <v>45602</v>
      </c>
      <c r="E2064" s="13" t="str">
        <f>+HYPERLINK("http://trademark.i-assist.jp/data/china/image_1910th/80254596.pdf","80254596")</f>
        <v>80254596</v>
      </c>
      <c r="F2064" s="9" t="s">
        <v>5714</v>
      </c>
      <c r="G2064" s="9" t="s">
        <v>5715</v>
      </c>
      <c r="H2064" s="9" t="s">
        <v>5716</v>
      </c>
      <c r="I2064" s="10">
        <v>45512</v>
      </c>
    </row>
    <row r="2065" spans="1:9" x14ac:dyDescent="0.15">
      <c r="A2065" s="9">
        <v>2064</v>
      </c>
      <c r="B2065" s="9" t="s">
        <v>9</v>
      </c>
      <c r="C2065" s="9">
        <v>1910</v>
      </c>
      <c r="D2065" s="10">
        <v>45602</v>
      </c>
      <c r="E2065" s="13" t="str">
        <f>+HYPERLINK("http://trademark.i-assist.jp/data/china/image_1910th/80254780.pdf","80254780")</f>
        <v>80254780</v>
      </c>
      <c r="F2065" s="11" t="s">
        <v>5717</v>
      </c>
      <c r="G2065" s="9" t="s">
        <v>5718</v>
      </c>
      <c r="H2065" s="9" t="s">
        <v>5719</v>
      </c>
      <c r="I2065" s="10">
        <v>45512</v>
      </c>
    </row>
    <row r="2066" spans="1:9" x14ac:dyDescent="0.15">
      <c r="A2066" s="9">
        <v>2065</v>
      </c>
      <c r="B2066" s="9" t="s">
        <v>9</v>
      </c>
      <c r="C2066" s="9">
        <v>1910</v>
      </c>
      <c r="D2066" s="10">
        <v>45602</v>
      </c>
      <c r="E2066" s="13" t="str">
        <f>+HYPERLINK("http://trademark.i-assist.jp/data/china/image_1910th/80254865.pdf","80254865")</f>
        <v>80254865</v>
      </c>
      <c r="F2066" s="9" t="s">
        <v>5720</v>
      </c>
      <c r="G2066" s="9" t="s">
        <v>169</v>
      </c>
      <c r="H2066" s="9" t="s">
        <v>5721</v>
      </c>
      <c r="I2066" s="10">
        <v>45512</v>
      </c>
    </row>
    <row r="2067" spans="1:9" x14ac:dyDescent="0.15">
      <c r="A2067" s="9">
        <v>2066</v>
      </c>
      <c r="B2067" s="9" t="s">
        <v>9</v>
      </c>
      <c r="C2067" s="9">
        <v>1910</v>
      </c>
      <c r="D2067" s="10">
        <v>45602</v>
      </c>
      <c r="E2067" s="13" t="str">
        <f>+HYPERLINK("http://trademark.i-assist.jp/data/china/image_1910th/80254916.pdf","80254916")</f>
        <v>80254916</v>
      </c>
      <c r="F2067" s="11" t="s">
        <v>5722</v>
      </c>
      <c r="G2067" s="9" t="s">
        <v>5723</v>
      </c>
      <c r="H2067" s="9" t="s">
        <v>5724</v>
      </c>
      <c r="I2067" s="10">
        <v>45512</v>
      </c>
    </row>
    <row r="2068" spans="1:9" x14ac:dyDescent="0.15">
      <c r="A2068" s="9">
        <v>2067</v>
      </c>
      <c r="B2068" s="9" t="s">
        <v>9</v>
      </c>
      <c r="C2068" s="9">
        <v>1910</v>
      </c>
      <c r="D2068" s="10">
        <v>45602</v>
      </c>
      <c r="E2068" s="13" t="str">
        <f>+HYPERLINK("http://trademark.i-assist.jp/data/china/image_1910th/80255005.pdf","80255005")</f>
        <v>80255005</v>
      </c>
      <c r="F2068" s="9" t="s">
        <v>5725</v>
      </c>
      <c r="G2068" s="9" t="s">
        <v>5726</v>
      </c>
      <c r="H2068" s="9" t="s">
        <v>5727</v>
      </c>
      <c r="I2068" s="10">
        <v>45512</v>
      </c>
    </row>
    <row r="2069" spans="1:9" x14ac:dyDescent="0.15">
      <c r="A2069" s="9">
        <v>2068</v>
      </c>
      <c r="B2069" s="9" t="s">
        <v>9</v>
      </c>
      <c r="C2069" s="9">
        <v>1910</v>
      </c>
      <c r="D2069" s="10">
        <v>45602</v>
      </c>
      <c r="E2069" s="13" t="str">
        <f>+HYPERLINK("http://trademark.i-assist.jp/data/china/image_1910th/80255012.pdf","80255012")</f>
        <v>80255012</v>
      </c>
      <c r="F2069" s="9" t="s">
        <v>5728</v>
      </c>
      <c r="G2069" s="9" t="s">
        <v>184</v>
      </c>
      <c r="H2069" s="11" t="s">
        <v>5729</v>
      </c>
      <c r="I2069" s="10">
        <v>45512</v>
      </c>
    </row>
    <row r="2070" spans="1:9" x14ac:dyDescent="0.15">
      <c r="A2070" s="9">
        <v>2069</v>
      </c>
      <c r="B2070" s="9" t="s">
        <v>9</v>
      </c>
      <c r="C2070" s="9">
        <v>1910</v>
      </c>
      <c r="D2070" s="10">
        <v>45602</v>
      </c>
      <c r="E2070" s="13" t="str">
        <f>+HYPERLINK("http://trademark.i-assist.jp/data/china/image_1910th/80255102.pdf","80255102")</f>
        <v>80255102</v>
      </c>
      <c r="F2070" s="11" t="s">
        <v>5730</v>
      </c>
      <c r="G2070" s="9" t="s">
        <v>5440</v>
      </c>
      <c r="H2070" s="9" t="s">
        <v>5731</v>
      </c>
      <c r="I2070" s="10">
        <v>45512</v>
      </c>
    </row>
    <row r="2071" spans="1:9" x14ac:dyDescent="0.15">
      <c r="A2071" s="9">
        <v>2070</v>
      </c>
      <c r="B2071" s="9" t="s">
        <v>9</v>
      </c>
      <c r="C2071" s="9">
        <v>1910</v>
      </c>
      <c r="D2071" s="10">
        <v>45602</v>
      </c>
      <c r="E2071" s="13" t="str">
        <f>+HYPERLINK("http://trademark.i-assist.jp/data/china/image_1910th/80255105.pdf","80255105")</f>
        <v>80255105</v>
      </c>
      <c r="F2071" s="11" t="s">
        <v>5732</v>
      </c>
      <c r="G2071" s="9" t="s">
        <v>182</v>
      </c>
      <c r="H2071" s="9" t="s">
        <v>5733</v>
      </c>
      <c r="I2071" s="10">
        <v>45512</v>
      </c>
    </row>
    <row r="2072" spans="1:9" x14ac:dyDescent="0.15">
      <c r="A2072" s="9">
        <v>2071</v>
      </c>
      <c r="B2072" s="9" t="s">
        <v>9</v>
      </c>
      <c r="C2072" s="9">
        <v>1910</v>
      </c>
      <c r="D2072" s="10">
        <v>45602</v>
      </c>
      <c r="E2072" s="13" t="str">
        <f>+HYPERLINK("http://trademark.i-assist.jp/data/china/image_1910th/80255114.pdf","80255114")</f>
        <v>80255114</v>
      </c>
      <c r="F2072" s="9" t="s">
        <v>5734</v>
      </c>
      <c r="G2072" s="11" t="s">
        <v>5735</v>
      </c>
      <c r="H2072" s="9" t="s">
        <v>5736</v>
      </c>
      <c r="I2072" s="10">
        <v>45512</v>
      </c>
    </row>
    <row r="2073" spans="1:9" x14ac:dyDescent="0.15">
      <c r="A2073" s="9">
        <v>2072</v>
      </c>
      <c r="B2073" s="9" t="s">
        <v>9</v>
      </c>
      <c r="C2073" s="9">
        <v>1910</v>
      </c>
      <c r="D2073" s="10">
        <v>45602</v>
      </c>
      <c r="E2073" s="13" t="str">
        <f>+HYPERLINK("http://trademark.i-assist.jp/data/china/image_1910th/80255257.pdf","80255257")</f>
        <v>80255257</v>
      </c>
      <c r="F2073" s="9" t="s">
        <v>5594</v>
      </c>
      <c r="G2073" s="9" t="s">
        <v>5595</v>
      </c>
      <c r="H2073" s="9" t="s">
        <v>5737</v>
      </c>
      <c r="I2073" s="10">
        <v>45512</v>
      </c>
    </row>
    <row r="2074" spans="1:9" x14ac:dyDescent="0.15">
      <c r="A2074" s="9">
        <v>2073</v>
      </c>
      <c r="B2074" s="9" t="s">
        <v>9</v>
      </c>
      <c r="C2074" s="9">
        <v>1910</v>
      </c>
      <c r="D2074" s="10">
        <v>45602</v>
      </c>
      <c r="E2074" s="13" t="str">
        <f>+HYPERLINK("http://trademark.i-assist.jp/data/china/image_1910th/80255315.pdf","80255315")</f>
        <v>80255315</v>
      </c>
      <c r="F2074" s="9" t="s">
        <v>5545</v>
      </c>
      <c r="G2074" s="9" t="s">
        <v>180</v>
      </c>
      <c r="H2074" s="9" t="s">
        <v>5738</v>
      </c>
      <c r="I2074" s="10">
        <v>45512</v>
      </c>
    </row>
    <row r="2075" spans="1:9" x14ac:dyDescent="0.15">
      <c r="A2075" s="9">
        <v>2074</v>
      </c>
      <c r="B2075" s="9" t="s">
        <v>9</v>
      </c>
      <c r="C2075" s="9">
        <v>1910</v>
      </c>
      <c r="D2075" s="10">
        <v>45602</v>
      </c>
      <c r="E2075" s="13" t="str">
        <f>+HYPERLINK("http://trademark.i-assist.jp/data/china/image_1910th/80255370.pdf","80255370")</f>
        <v>80255370</v>
      </c>
      <c r="F2075" s="9" t="s">
        <v>5739</v>
      </c>
      <c r="G2075" s="9" t="s">
        <v>5740</v>
      </c>
      <c r="H2075" s="9" t="s">
        <v>5741</v>
      </c>
      <c r="I2075" s="10">
        <v>45512</v>
      </c>
    </row>
    <row r="2076" spans="1:9" x14ac:dyDescent="0.15">
      <c r="A2076" s="9">
        <v>2075</v>
      </c>
      <c r="B2076" s="9" t="s">
        <v>9</v>
      </c>
      <c r="C2076" s="9">
        <v>1910</v>
      </c>
      <c r="D2076" s="10">
        <v>45602</v>
      </c>
      <c r="E2076" s="13" t="str">
        <f>+HYPERLINK("http://trademark.i-assist.jp/data/china/image_1910th/80255583.pdf","80255583")</f>
        <v>80255583</v>
      </c>
      <c r="F2076" s="9" t="s">
        <v>5742</v>
      </c>
      <c r="G2076" s="9" t="s">
        <v>5743</v>
      </c>
      <c r="H2076" s="9" t="s">
        <v>5744</v>
      </c>
      <c r="I2076" s="10">
        <v>45512</v>
      </c>
    </row>
    <row r="2077" spans="1:9" x14ac:dyDescent="0.15">
      <c r="A2077" s="9">
        <v>2076</v>
      </c>
      <c r="B2077" s="9" t="s">
        <v>9</v>
      </c>
      <c r="C2077" s="9">
        <v>1910</v>
      </c>
      <c r="D2077" s="10">
        <v>45602</v>
      </c>
      <c r="E2077" s="13" t="str">
        <f>+HYPERLINK("http://trademark.i-assist.jp/data/china/image_1910th/80255716.pdf","80255716")</f>
        <v>80255716</v>
      </c>
      <c r="F2077" s="9" t="s">
        <v>5745</v>
      </c>
      <c r="G2077" s="11" t="s">
        <v>5746</v>
      </c>
      <c r="H2077" s="9" t="s">
        <v>5747</v>
      </c>
      <c r="I2077" s="10">
        <v>45512</v>
      </c>
    </row>
    <row r="2078" spans="1:9" x14ac:dyDescent="0.15">
      <c r="A2078" s="9">
        <v>2077</v>
      </c>
      <c r="B2078" s="9" t="s">
        <v>9</v>
      </c>
      <c r="C2078" s="9">
        <v>1910</v>
      </c>
      <c r="D2078" s="10">
        <v>45602</v>
      </c>
      <c r="E2078" s="13" t="str">
        <f>+HYPERLINK("http://trademark.i-assist.jp/data/china/image_1910th/80255913.pdf","80255913")</f>
        <v>80255913</v>
      </c>
      <c r="F2078" s="9" t="s">
        <v>5748</v>
      </c>
      <c r="G2078" s="11" t="s">
        <v>5749</v>
      </c>
      <c r="H2078" s="9" t="s">
        <v>5750</v>
      </c>
      <c r="I2078" s="10">
        <v>45512</v>
      </c>
    </row>
    <row r="2079" spans="1:9" x14ac:dyDescent="0.15">
      <c r="A2079" s="9">
        <v>2078</v>
      </c>
      <c r="B2079" s="9" t="s">
        <v>9</v>
      </c>
      <c r="C2079" s="9">
        <v>1910</v>
      </c>
      <c r="D2079" s="10">
        <v>45602</v>
      </c>
      <c r="E2079" s="13" t="str">
        <f>+HYPERLINK("http://trademark.i-assist.jp/data/china/image_1910th/80255965.pdf","80255965")</f>
        <v>80255965</v>
      </c>
      <c r="F2079" s="9" t="s">
        <v>5751</v>
      </c>
      <c r="G2079" s="9" t="s">
        <v>5532</v>
      </c>
      <c r="H2079" s="9" t="s">
        <v>5752</v>
      </c>
      <c r="I2079" s="10">
        <v>45512</v>
      </c>
    </row>
    <row r="2080" spans="1:9" x14ac:dyDescent="0.15">
      <c r="A2080" s="9">
        <v>2079</v>
      </c>
      <c r="B2080" s="9" t="s">
        <v>9</v>
      </c>
      <c r="C2080" s="9">
        <v>1910</v>
      </c>
      <c r="D2080" s="10">
        <v>45602</v>
      </c>
      <c r="E2080" s="13" t="str">
        <f>+HYPERLINK("http://trademark.i-assist.jp/data/china/image_1910th/80256003.pdf","80256003")</f>
        <v>80256003</v>
      </c>
      <c r="F2080" s="9" t="s">
        <v>5753</v>
      </c>
      <c r="G2080" s="9" t="s">
        <v>5754</v>
      </c>
      <c r="H2080" s="11" t="s">
        <v>5755</v>
      </c>
      <c r="I2080" s="10">
        <v>45512</v>
      </c>
    </row>
    <row r="2081" spans="1:9" x14ac:dyDescent="0.15">
      <c r="A2081" s="9">
        <v>2080</v>
      </c>
      <c r="B2081" s="9" t="s">
        <v>9</v>
      </c>
      <c r="C2081" s="9">
        <v>1910</v>
      </c>
      <c r="D2081" s="10">
        <v>45602</v>
      </c>
      <c r="E2081" s="13" t="str">
        <f>+HYPERLINK("http://trademark.i-assist.jp/data/china/image_1910th/80256007.pdf","80256007")</f>
        <v>80256007</v>
      </c>
      <c r="F2081" s="9" t="s">
        <v>5756</v>
      </c>
      <c r="G2081" s="9" t="s">
        <v>5576</v>
      </c>
      <c r="H2081" s="9" t="s">
        <v>5757</v>
      </c>
      <c r="I2081" s="10">
        <v>45512</v>
      </c>
    </row>
    <row r="2082" spans="1:9" x14ac:dyDescent="0.15">
      <c r="A2082" s="9">
        <v>2081</v>
      </c>
      <c r="B2082" s="9" t="s">
        <v>9</v>
      </c>
      <c r="C2082" s="9">
        <v>1910</v>
      </c>
      <c r="D2082" s="10">
        <v>45602</v>
      </c>
      <c r="E2082" s="13" t="str">
        <f>+HYPERLINK("http://trademark.i-assist.jp/data/china/image_1910th/80256262.pdf","80256262")</f>
        <v>80256262</v>
      </c>
      <c r="F2082" s="9" t="s">
        <v>5758</v>
      </c>
      <c r="G2082" s="9" t="s">
        <v>53</v>
      </c>
      <c r="H2082" s="9" t="s">
        <v>5759</v>
      </c>
      <c r="I2082" s="10">
        <v>45512</v>
      </c>
    </row>
    <row r="2083" spans="1:9" x14ac:dyDescent="0.15">
      <c r="A2083" s="9">
        <v>2082</v>
      </c>
      <c r="B2083" s="9" t="s">
        <v>9</v>
      </c>
      <c r="C2083" s="9">
        <v>1910</v>
      </c>
      <c r="D2083" s="10">
        <v>45602</v>
      </c>
      <c r="E2083" s="13" t="str">
        <f>+HYPERLINK("http://trademark.i-assist.jp/data/china/image_1910th/80256421.pdf","80256421")</f>
        <v>80256421</v>
      </c>
      <c r="F2083" s="9" t="s">
        <v>5760</v>
      </c>
      <c r="G2083" s="11" t="s">
        <v>5761</v>
      </c>
      <c r="H2083" s="9" t="s">
        <v>5762</v>
      </c>
      <c r="I2083" s="10">
        <v>45512</v>
      </c>
    </row>
    <row r="2084" spans="1:9" x14ac:dyDescent="0.15">
      <c r="A2084" s="9">
        <v>2083</v>
      </c>
      <c r="B2084" s="9" t="s">
        <v>9</v>
      </c>
      <c r="C2084" s="9">
        <v>1910</v>
      </c>
      <c r="D2084" s="10">
        <v>45602</v>
      </c>
      <c r="E2084" s="13" t="str">
        <f>+HYPERLINK("http://trademark.i-assist.jp/data/china/image_1910th/80256422.pdf","80256422")</f>
        <v>80256422</v>
      </c>
      <c r="F2084" s="9" t="s">
        <v>5763</v>
      </c>
      <c r="G2084" s="9" t="s">
        <v>5764</v>
      </c>
      <c r="H2084" s="9" t="s">
        <v>5765</v>
      </c>
      <c r="I2084" s="10">
        <v>45512</v>
      </c>
    </row>
    <row r="2085" spans="1:9" x14ac:dyDescent="0.15">
      <c r="A2085" s="9">
        <v>2084</v>
      </c>
      <c r="B2085" s="9" t="s">
        <v>9</v>
      </c>
      <c r="C2085" s="9">
        <v>1910</v>
      </c>
      <c r="D2085" s="10">
        <v>45602</v>
      </c>
      <c r="E2085" s="13" t="str">
        <f>+HYPERLINK("http://trademark.i-assist.jp/data/china/image_1910th/80256470.pdf","80256470")</f>
        <v>80256470</v>
      </c>
      <c r="F2085" s="9" t="s">
        <v>5766</v>
      </c>
      <c r="G2085" s="9" t="s">
        <v>5767</v>
      </c>
      <c r="H2085" s="9" t="s">
        <v>5768</v>
      </c>
      <c r="I2085" s="10">
        <v>45512</v>
      </c>
    </row>
    <row r="2086" spans="1:9" x14ac:dyDescent="0.15">
      <c r="A2086" s="9">
        <v>2085</v>
      </c>
      <c r="B2086" s="9" t="s">
        <v>9</v>
      </c>
      <c r="C2086" s="9">
        <v>1910</v>
      </c>
      <c r="D2086" s="10">
        <v>45602</v>
      </c>
      <c r="E2086" s="13" t="str">
        <f>+HYPERLINK("http://trademark.i-assist.jp/data/china/image_1910th/80256485.pdf","80256485")</f>
        <v>80256485</v>
      </c>
      <c r="F2086" s="11" t="s">
        <v>5769</v>
      </c>
      <c r="G2086" s="11" t="s">
        <v>5488</v>
      </c>
      <c r="H2086" s="9" t="s">
        <v>5770</v>
      </c>
      <c r="I2086" s="10">
        <v>45512</v>
      </c>
    </row>
    <row r="2087" spans="1:9" x14ac:dyDescent="0.15">
      <c r="A2087" s="9">
        <v>2086</v>
      </c>
      <c r="B2087" s="9" t="s">
        <v>9</v>
      </c>
      <c r="C2087" s="9">
        <v>1910</v>
      </c>
      <c r="D2087" s="10">
        <v>45602</v>
      </c>
      <c r="E2087" s="13" t="str">
        <f>+HYPERLINK("http://trademark.i-assist.jp/data/china/image_1910th/80256637.pdf","80256637")</f>
        <v>80256637</v>
      </c>
      <c r="F2087" s="9" t="s">
        <v>5771</v>
      </c>
      <c r="G2087" s="9" t="s">
        <v>5772</v>
      </c>
      <c r="H2087" s="11" t="s">
        <v>5773</v>
      </c>
      <c r="I2087" s="10">
        <v>45512</v>
      </c>
    </row>
    <row r="2088" spans="1:9" x14ac:dyDescent="0.15">
      <c r="A2088" s="9">
        <v>2087</v>
      </c>
      <c r="B2088" s="9" t="s">
        <v>9</v>
      </c>
      <c r="C2088" s="9">
        <v>1910</v>
      </c>
      <c r="D2088" s="10">
        <v>45602</v>
      </c>
      <c r="E2088" s="13" t="str">
        <f>+HYPERLINK("http://trademark.i-assist.jp/data/china/image_1910th/80256646.pdf","80256646")</f>
        <v>80256646</v>
      </c>
      <c r="F2088" s="9" t="s">
        <v>5774</v>
      </c>
      <c r="G2088" s="9" t="s">
        <v>5775</v>
      </c>
      <c r="H2088" s="11" t="s">
        <v>5776</v>
      </c>
      <c r="I2088" s="10">
        <v>45512</v>
      </c>
    </row>
    <row r="2089" spans="1:9" x14ac:dyDescent="0.15">
      <c r="A2089" s="9">
        <v>2088</v>
      </c>
      <c r="B2089" s="9" t="s">
        <v>9</v>
      </c>
      <c r="C2089" s="9">
        <v>1910</v>
      </c>
      <c r="D2089" s="10">
        <v>45602</v>
      </c>
      <c r="E2089" s="13" t="str">
        <f>+HYPERLINK("http://trademark.i-assist.jp/data/china/image_1910th/80256751.pdf","80256751")</f>
        <v>80256751</v>
      </c>
      <c r="F2089" s="9" t="s">
        <v>140</v>
      </c>
      <c r="G2089" s="9" t="s">
        <v>141</v>
      </c>
      <c r="H2089" s="9" t="s">
        <v>5777</v>
      </c>
      <c r="I2089" s="10">
        <v>45512</v>
      </c>
    </row>
    <row r="2090" spans="1:9" x14ac:dyDescent="0.15">
      <c r="A2090" s="9">
        <v>2089</v>
      </c>
      <c r="B2090" s="9" t="s">
        <v>9</v>
      </c>
      <c r="C2090" s="9">
        <v>1910</v>
      </c>
      <c r="D2090" s="10">
        <v>45602</v>
      </c>
      <c r="E2090" s="13" t="str">
        <f>+HYPERLINK("http://trademark.i-assist.jp/data/china/image_1910th/80257126.pdf","80257126")</f>
        <v>80257126</v>
      </c>
      <c r="F2090" s="9" t="s">
        <v>5778</v>
      </c>
      <c r="G2090" s="9" t="s">
        <v>5779</v>
      </c>
      <c r="H2090" s="9" t="s">
        <v>5780</v>
      </c>
      <c r="I2090" s="10">
        <v>45512</v>
      </c>
    </row>
    <row r="2091" spans="1:9" x14ac:dyDescent="0.15">
      <c r="A2091" s="9">
        <v>2090</v>
      </c>
      <c r="B2091" s="9" t="s">
        <v>9</v>
      </c>
      <c r="C2091" s="9">
        <v>1910</v>
      </c>
      <c r="D2091" s="10">
        <v>45602</v>
      </c>
      <c r="E2091" s="13" t="str">
        <f>+HYPERLINK("http://trademark.i-assist.jp/data/china/image_1910th/80257238.pdf","80257238")</f>
        <v>80257238</v>
      </c>
      <c r="F2091" s="9" t="s">
        <v>5781</v>
      </c>
      <c r="G2091" s="9" t="s">
        <v>5782</v>
      </c>
      <c r="H2091" s="9" t="s">
        <v>5783</v>
      </c>
      <c r="I2091" s="10">
        <v>45512</v>
      </c>
    </row>
    <row r="2092" spans="1:9" x14ac:dyDescent="0.15">
      <c r="A2092" s="9">
        <v>2091</v>
      </c>
      <c r="B2092" s="9" t="s">
        <v>9</v>
      </c>
      <c r="C2092" s="9">
        <v>1910</v>
      </c>
      <c r="D2092" s="10">
        <v>45602</v>
      </c>
      <c r="E2092" s="13" t="str">
        <f>+HYPERLINK("http://trademark.i-assist.jp/data/china/image_1910th/80257320.pdf","80257320")</f>
        <v>80257320</v>
      </c>
      <c r="F2092" s="9" t="s">
        <v>5784</v>
      </c>
      <c r="G2092" s="9" t="s">
        <v>5785</v>
      </c>
      <c r="H2092" s="9" t="s">
        <v>5786</v>
      </c>
      <c r="I2092" s="10">
        <v>45512</v>
      </c>
    </row>
    <row r="2093" spans="1:9" x14ac:dyDescent="0.15">
      <c r="A2093" s="9">
        <v>2092</v>
      </c>
      <c r="B2093" s="9" t="s">
        <v>9</v>
      </c>
      <c r="C2093" s="9">
        <v>1910</v>
      </c>
      <c r="D2093" s="10">
        <v>45602</v>
      </c>
      <c r="E2093" s="13" t="str">
        <f>+HYPERLINK("http://trademark.i-assist.jp/data/china/image_1910th/80257384.pdf","80257384")</f>
        <v>80257384</v>
      </c>
      <c r="F2093" s="9" t="s">
        <v>5787</v>
      </c>
      <c r="G2093" s="9" t="s">
        <v>5788</v>
      </c>
      <c r="H2093" s="9" t="s">
        <v>5789</v>
      </c>
      <c r="I2093" s="10">
        <v>45512</v>
      </c>
    </row>
    <row r="2094" spans="1:9" x14ac:dyDescent="0.15">
      <c r="A2094" s="9">
        <v>2093</v>
      </c>
      <c r="B2094" s="9" t="s">
        <v>9</v>
      </c>
      <c r="C2094" s="9">
        <v>1910</v>
      </c>
      <c r="D2094" s="10">
        <v>45602</v>
      </c>
      <c r="E2094" s="13" t="str">
        <f>+HYPERLINK("http://trademark.i-assist.jp/data/china/image_1910th/80257490.pdf","80257490")</f>
        <v>80257490</v>
      </c>
      <c r="F2094" s="11" t="s">
        <v>5790</v>
      </c>
      <c r="G2094" s="11" t="s">
        <v>5791</v>
      </c>
      <c r="H2094" s="9" t="s">
        <v>5792</v>
      </c>
      <c r="I2094" s="10">
        <v>45512</v>
      </c>
    </row>
    <row r="2095" spans="1:9" x14ac:dyDescent="0.15">
      <c r="A2095" s="9">
        <v>2094</v>
      </c>
      <c r="B2095" s="9" t="s">
        <v>9</v>
      </c>
      <c r="C2095" s="9">
        <v>1910</v>
      </c>
      <c r="D2095" s="10">
        <v>45602</v>
      </c>
      <c r="E2095" s="13" t="str">
        <f>+HYPERLINK("http://trademark.i-assist.jp/data/china/image_1910th/80257525.pdf","80257525")</f>
        <v>80257525</v>
      </c>
      <c r="F2095" s="9" t="s">
        <v>5793</v>
      </c>
      <c r="G2095" s="11" t="s">
        <v>5794</v>
      </c>
      <c r="H2095" s="9" t="s">
        <v>5795</v>
      </c>
      <c r="I2095" s="10">
        <v>45512</v>
      </c>
    </row>
    <row r="2096" spans="1:9" x14ac:dyDescent="0.15">
      <c r="A2096" s="9">
        <v>2095</v>
      </c>
      <c r="B2096" s="9" t="s">
        <v>9</v>
      </c>
      <c r="C2096" s="9">
        <v>1910</v>
      </c>
      <c r="D2096" s="10">
        <v>45602</v>
      </c>
      <c r="E2096" s="13" t="str">
        <f>+HYPERLINK("http://trademark.i-assist.jp/data/china/image_1910th/80257551.pdf","80257551")</f>
        <v>80257551</v>
      </c>
      <c r="F2096" s="9" t="s">
        <v>5796</v>
      </c>
      <c r="G2096" s="11" t="s">
        <v>5797</v>
      </c>
      <c r="H2096" s="9" t="s">
        <v>5798</v>
      </c>
      <c r="I2096" s="10">
        <v>45512</v>
      </c>
    </row>
    <row r="2097" spans="1:9" x14ac:dyDescent="0.15">
      <c r="A2097" s="9">
        <v>2096</v>
      </c>
      <c r="B2097" s="9" t="s">
        <v>9</v>
      </c>
      <c r="C2097" s="9">
        <v>1910</v>
      </c>
      <c r="D2097" s="10">
        <v>45602</v>
      </c>
      <c r="E2097" s="13" t="str">
        <f>+HYPERLINK("http://trademark.i-assist.jp/data/china/image_1910th/80257598.pdf","80257598")</f>
        <v>80257598</v>
      </c>
      <c r="F2097" s="9" t="s">
        <v>5799</v>
      </c>
      <c r="G2097" s="9" t="s">
        <v>113</v>
      </c>
      <c r="H2097" s="9" t="s">
        <v>5800</v>
      </c>
      <c r="I2097" s="10">
        <v>45512</v>
      </c>
    </row>
    <row r="2098" spans="1:9" x14ac:dyDescent="0.15">
      <c r="A2098" s="9">
        <v>2097</v>
      </c>
      <c r="B2098" s="9" t="s">
        <v>9</v>
      </c>
      <c r="C2098" s="9">
        <v>1910</v>
      </c>
      <c r="D2098" s="10">
        <v>45602</v>
      </c>
      <c r="E2098" s="13" t="str">
        <f>+HYPERLINK("http://trademark.i-assist.jp/data/china/image_1910th/80258118.pdf","80258118")</f>
        <v>80258118</v>
      </c>
      <c r="F2098" s="9" t="s">
        <v>5801</v>
      </c>
      <c r="G2098" s="9" t="s">
        <v>5802</v>
      </c>
      <c r="H2098" s="9" t="s">
        <v>5803</v>
      </c>
      <c r="I2098" s="10">
        <v>45512</v>
      </c>
    </row>
    <row r="2099" spans="1:9" x14ac:dyDescent="0.15">
      <c r="A2099" s="9">
        <v>2098</v>
      </c>
      <c r="B2099" s="9" t="s">
        <v>9</v>
      </c>
      <c r="C2099" s="9">
        <v>1910</v>
      </c>
      <c r="D2099" s="10">
        <v>45602</v>
      </c>
      <c r="E2099" s="13" t="str">
        <f>+HYPERLINK("http://trademark.i-assist.jp/data/china/image_1910th/80258216.pdf","80258216")</f>
        <v>80258216</v>
      </c>
      <c r="F2099" s="11" t="s">
        <v>5804</v>
      </c>
      <c r="G2099" s="9" t="s">
        <v>5805</v>
      </c>
      <c r="H2099" s="9" t="s">
        <v>5806</v>
      </c>
      <c r="I2099" s="10">
        <v>45512</v>
      </c>
    </row>
    <row r="2100" spans="1:9" x14ac:dyDescent="0.15">
      <c r="A2100" s="9">
        <v>2099</v>
      </c>
      <c r="B2100" s="9" t="s">
        <v>9</v>
      </c>
      <c r="C2100" s="9">
        <v>1910</v>
      </c>
      <c r="D2100" s="10">
        <v>45602</v>
      </c>
      <c r="E2100" s="13" t="str">
        <f>+HYPERLINK("http://trademark.i-assist.jp/data/china/image_1910th/80258373.pdf","80258373")</f>
        <v>80258373</v>
      </c>
      <c r="F2100" s="9" t="s">
        <v>5807</v>
      </c>
      <c r="G2100" s="11" t="s">
        <v>5808</v>
      </c>
      <c r="H2100" s="9" t="s">
        <v>5809</v>
      </c>
      <c r="I2100" s="10">
        <v>45512</v>
      </c>
    </row>
    <row r="2101" spans="1:9" x14ac:dyDescent="0.15">
      <c r="A2101" s="9">
        <v>2100</v>
      </c>
      <c r="B2101" s="9" t="s">
        <v>9</v>
      </c>
      <c r="C2101" s="9">
        <v>1910</v>
      </c>
      <c r="D2101" s="10">
        <v>45602</v>
      </c>
      <c r="E2101" s="13" t="str">
        <f>+HYPERLINK("http://trademark.i-assist.jp/data/china/image_1910th/80258387.pdf","80258387")</f>
        <v>80258387</v>
      </c>
      <c r="F2101" s="9" t="s">
        <v>5810</v>
      </c>
      <c r="G2101" s="9" t="s">
        <v>5811</v>
      </c>
      <c r="H2101" s="9" t="s">
        <v>5812</v>
      </c>
      <c r="I2101" s="10">
        <v>45512</v>
      </c>
    </row>
    <row r="2102" spans="1:9" x14ac:dyDescent="0.15">
      <c r="A2102" s="9">
        <v>2101</v>
      </c>
      <c r="B2102" s="9" t="s">
        <v>9</v>
      </c>
      <c r="C2102" s="9">
        <v>1910</v>
      </c>
      <c r="D2102" s="10">
        <v>45602</v>
      </c>
      <c r="E2102" s="13" t="str">
        <f>+HYPERLINK("http://trademark.i-assist.jp/data/china/image_1910th/80258464.pdf","80258464")</f>
        <v>80258464</v>
      </c>
      <c r="F2102" s="9" t="s">
        <v>5813</v>
      </c>
      <c r="G2102" s="9" t="s">
        <v>5814</v>
      </c>
      <c r="H2102" s="9" t="s">
        <v>5815</v>
      </c>
      <c r="I2102" s="10">
        <v>45512</v>
      </c>
    </row>
    <row r="2103" spans="1:9" x14ac:dyDescent="0.15">
      <c r="A2103" s="9">
        <v>2102</v>
      </c>
      <c r="B2103" s="9" t="s">
        <v>9</v>
      </c>
      <c r="C2103" s="9">
        <v>1910</v>
      </c>
      <c r="D2103" s="10">
        <v>45602</v>
      </c>
      <c r="E2103" s="13" t="str">
        <f>+HYPERLINK("http://trademark.i-assist.jp/data/china/image_1910th/80258583.pdf","80258583")</f>
        <v>80258583</v>
      </c>
      <c r="F2103" s="11" t="s">
        <v>5816</v>
      </c>
      <c r="G2103" s="9" t="s">
        <v>5817</v>
      </c>
      <c r="H2103" s="9" t="s">
        <v>5818</v>
      </c>
      <c r="I2103" s="10">
        <v>45512</v>
      </c>
    </row>
    <row r="2104" spans="1:9" x14ac:dyDescent="0.15">
      <c r="A2104" s="9">
        <v>2103</v>
      </c>
      <c r="B2104" s="9" t="s">
        <v>9</v>
      </c>
      <c r="C2104" s="9">
        <v>1910</v>
      </c>
      <c r="D2104" s="10">
        <v>45602</v>
      </c>
      <c r="E2104" s="13" t="str">
        <f>+HYPERLINK("http://trademark.i-assist.jp/data/china/image_1910th/80258609.pdf","80258609")</f>
        <v>80258609</v>
      </c>
      <c r="F2104" s="9" t="s">
        <v>5819</v>
      </c>
      <c r="G2104" s="9" t="s">
        <v>39</v>
      </c>
      <c r="H2104" s="9" t="s">
        <v>5820</v>
      </c>
      <c r="I2104" s="10">
        <v>45512</v>
      </c>
    </row>
    <row r="2105" spans="1:9" x14ac:dyDescent="0.15">
      <c r="A2105" s="9">
        <v>2104</v>
      </c>
      <c r="B2105" s="9" t="s">
        <v>9</v>
      </c>
      <c r="C2105" s="9">
        <v>1910</v>
      </c>
      <c r="D2105" s="10">
        <v>45602</v>
      </c>
      <c r="E2105" s="13" t="str">
        <f>+HYPERLINK("http://trademark.i-assist.jp/data/china/image_1910th/80258800.pdf","80258800")</f>
        <v>80258800</v>
      </c>
      <c r="F2105" s="9" t="s">
        <v>5821</v>
      </c>
      <c r="G2105" s="9" t="s">
        <v>5565</v>
      </c>
      <c r="H2105" s="9" t="s">
        <v>5822</v>
      </c>
      <c r="I2105" s="10">
        <v>45512</v>
      </c>
    </row>
    <row r="2106" spans="1:9" x14ac:dyDescent="0.15">
      <c r="A2106" s="9">
        <v>2105</v>
      </c>
      <c r="B2106" s="9" t="s">
        <v>9</v>
      </c>
      <c r="C2106" s="9">
        <v>1910</v>
      </c>
      <c r="D2106" s="10">
        <v>45602</v>
      </c>
      <c r="E2106" s="13" t="str">
        <f>+HYPERLINK("http://trademark.i-assist.jp/data/china/image_1910th/80258807.pdf","80258807")</f>
        <v>80258807</v>
      </c>
      <c r="F2106" s="9" t="s">
        <v>5823</v>
      </c>
      <c r="G2106" s="9" t="s">
        <v>5824</v>
      </c>
      <c r="H2106" s="9" t="s">
        <v>5825</v>
      </c>
      <c r="I2106" s="10">
        <v>45512</v>
      </c>
    </row>
    <row r="2107" spans="1:9" x14ac:dyDescent="0.15">
      <c r="A2107" s="9">
        <v>2106</v>
      </c>
      <c r="B2107" s="9" t="s">
        <v>9</v>
      </c>
      <c r="C2107" s="9">
        <v>1910</v>
      </c>
      <c r="D2107" s="10">
        <v>45602</v>
      </c>
      <c r="E2107" s="13" t="str">
        <f>+HYPERLINK("http://trademark.i-assist.jp/data/china/image_1910th/80258917.pdf","80258917")</f>
        <v>80258917</v>
      </c>
      <c r="F2107" s="9" t="s">
        <v>5826</v>
      </c>
      <c r="G2107" s="9" t="s">
        <v>5519</v>
      </c>
      <c r="H2107" s="9" t="s">
        <v>5827</v>
      </c>
      <c r="I2107" s="10">
        <v>45512</v>
      </c>
    </row>
    <row r="2108" spans="1:9" x14ac:dyDescent="0.15">
      <c r="A2108" s="9">
        <v>2107</v>
      </c>
      <c r="B2108" s="9" t="s">
        <v>9</v>
      </c>
      <c r="C2108" s="9">
        <v>1910</v>
      </c>
      <c r="D2108" s="10">
        <v>45602</v>
      </c>
      <c r="E2108" s="13" t="str">
        <f>+HYPERLINK("http://trademark.i-assist.jp/data/china/image_1910th/80259114.pdf","80259114")</f>
        <v>80259114</v>
      </c>
      <c r="F2108" s="9" t="s">
        <v>5828</v>
      </c>
      <c r="G2108" s="9" t="s">
        <v>5829</v>
      </c>
      <c r="H2108" s="9" t="s">
        <v>5830</v>
      </c>
      <c r="I2108" s="10">
        <v>45512</v>
      </c>
    </row>
    <row r="2109" spans="1:9" x14ac:dyDescent="0.15">
      <c r="A2109" s="9">
        <v>2108</v>
      </c>
      <c r="B2109" s="9" t="s">
        <v>9</v>
      </c>
      <c r="C2109" s="9">
        <v>1910</v>
      </c>
      <c r="D2109" s="10">
        <v>45602</v>
      </c>
      <c r="E2109" s="13" t="str">
        <f>+HYPERLINK("http://trademark.i-assist.jp/data/china/image_1910th/80259235.pdf","80259235")</f>
        <v>80259235</v>
      </c>
      <c r="F2109" s="9" t="s">
        <v>5831</v>
      </c>
      <c r="G2109" s="9" t="s">
        <v>5474</v>
      </c>
      <c r="H2109" s="9" t="s">
        <v>5832</v>
      </c>
      <c r="I2109" s="10">
        <v>45512</v>
      </c>
    </row>
    <row r="2110" spans="1:9" x14ac:dyDescent="0.15">
      <c r="A2110" s="9">
        <v>2109</v>
      </c>
      <c r="B2110" s="9" t="s">
        <v>9</v>
      </c>
      <c r="C2110" s="9">
        <v>1910</v>
      </c>
      <c r="D2110" s="10">
        <v>45602</v>
      </c>
      <c r="E2110" s="13" t="str">
        <f>+HYPERLINK("http://trademark.i-assist.jp/data/china/image_1910th/80259541.pdf","80259541")</f>
        <v>80259541</v>
      </c>
      <c r="F2110" s="11" t="s">
        <v>5833</v>
      </c>
      <c r="G2110" s="9" t="s">
        <v>5834</v>
      </c>
      <c r="H2110" s="9" t="s">
        <v>5835</v>
      </c>
      <c r="I2110" s="10">
        <v>45512</v>
      </c>
    </row>
    <row r="2111" spans="1:9" x14ac:dyDescent="0.15">
      <c r="A2111" s="9">
        <v>2110</v>
      </c>
      <c r="B2111" s="9" t="s">
        <v>9</v>
      </c>
      <c r="C2111" s="9">
        <v>1910</v>
      </c>
      <c r="D2111" s="10">
        <v>45602</v>
      </c>
      <c r="E2111" s="13" t="str">
        <f>+HYPERLINK("http://trademark.i-assist.jp/data/china/image_1910th/80259603.pdf","80259603")</f>
        <v>80259603</v>
      </c>
      <c r="F2111" s="9" t="s">
        <v>5836</v>
      </c>
      <c r="G2111" s="9" t="s">
        <v>5837</v>
      </c>
      <c r="H2111" s="9" t="s">
        <v>5838</v>
      </c>
      <c r="I2111" s="10">
        <v>45512</v>
      </c>
    </row>
    <row r="2112" spans="1:9" x14ac:dyDescent="0.15">
      <c r="A2112" s="9">
        <v>2111</v>
      </c>
      <c r="B2112" s="9" t="s">
        <v>9</v>
      </c>
      <c r="C2112" s="9">
        <v>1910</v>
      </c>
      <c r="D2112" s="10">
        <v>45602</v>
      </c>
      <c r="E2112" s="13" t="str">
        <f>+HYPERLINK("http://trademark.i-assist.jp/data/china/image_1910th/80259882.pdf","80259882")</f>
        <v>80259882</v>
      </c>
      <c r="F2112" s="11" t="s">
        <v>5839</v>
      </c>
      <c r="G2112" s="9" t="s">
        <v>71</v>
      </c>
      <c r="H2112" s="9" t="s">
        <v>5840</v>
      </c>
      <c r="I2112" s="10">
        <v>45512</v>
      </c>
    </row>
    <row r="2113" spans="1:9" x14ac:dyDescent="0.15">
      <c r="A2113" s="9">
        <v>2112</v>
      </c>
      <c r="B2113" s="9" t="s">
        <v>9</v>
      </c>
      <c r="C2113" s="9">
        <v>1910</v>
      </c>
      <c r="D2113" s="10">
        <v>45602</v>
      </c>
      <c r="E2113" s="13" t="str">
        <f>+HYPERLINK("http://trademark.i-assist.jp/data/china/image_1910th/80260178.pdf","80260178")</f>
        <v>80260178</v>
      </c>
      <c r="F2113" s="11" t="s">
        <v>19</v>
      </c>
      <c r="G2113" s="9" t="s">
        <v>5841</v>
      </c>
      <c r="H2113" s="9" t="s">
        <v>5842</v>
      </c>
      <c r="I2113" s="10">
        <v>45512</v>
      </c>
    </row>
    <row r="2114" spans="1:9" x14ac:dyDescent="0.15">
      <c r="A2114" s="9">
        <v>2113</v>
      </c>
      <c r="B2114" s="9" t="s">
        <v>9</v>
      </c>
      <c r="C2114" s="9">
        <v>1910</v>
      </c>
      <c r="D2114" s="10">
        <v>45602</v>
      </c>
      <c r="E2114" s="13" t="str">
        <f>+HYPERLINK("http://trademark.i-assist.jp/data/china/image_1910th/80260270.pdf","80260270")</f>
        <v>80260270</v>
      </c>
      <c r="F2114" s="9" t="s">
        <v>5843</v>
      </c>
      <c r="G2114" s="11" t="s">
        <v>25</v>
      </c>
      <c r="H2114" s="9" t="s">
        <v>5844</v>
      </c>
      <c r="I2114" s="10">
        <v>45512</v>
      </c>
    </row>
    <row r="2115" spans="1:9" x14ac:dyDescent="0.15">
      <c r="A2115" s="9">
        <v>2114</v>
      </c>
      <c r="B2115" s="9" t="s">
        <v>9</v>
      </c>
      <c r="C2115" s="9">
        <v>1910</v>
      </c>
      <c r="D2115" s="10">
        <v>45602</v>
      </c>
      <c r="E2115" s="13" t="str">
        <f>+HYPERLINK("http://trademark.i-assist.jp/data/china/image_1910th/80260846.pdf","80260846")</f>
        <v>80260846</v>
      </c>
      <c r="F2115" s="9" t="s">
        <v>5845</v>
      </c>
      <c r="G2115" s="11" t="s">
        <v>5846</v>
      </c>
      <c r="H2115" s="9" t="s">
        <v>5847</v>
      </c>
      <c r="I2115" s="10">
        <v>45512</v>
      </c>
    </row>
    <row r="2116" spans="1:9" x14ac:dyDescent="0.15">
      <c r="A2116" s="9">
        <v>2115</v>
      </c>
      <c r="B2116" s="9" t="s">
        <v>9</v>
      </c>
      <c r="C2116" s="9">
        <v>1910</v>
      </c>
      <c r="D2116" s="10">
        <v>45602</v>
      </c>
      <c r="E2116" s="13" t="str">
        <f>+HYPERLINK("http://trademark.i-assist.jp/data/china/image_1910th/80261136.pdf","80261136")</f>
        <v>80261136</v>
      </c>
      <c r="F2116" s="11" t="s">
        <v>5848</v>
      </c>
      <c r="G2116" s="9" t="s">
        <v>5834</v>
      </c>
      <c r="H2116" s="9" t="s">
        <v>5849</v>
      </c>
      <c r="I2116" s="10">
        <v>45512</v>
      </c>
    </row>
    <row r="2117" spans="1:9" x14ac:dyDescent="0.15">
      <c r="A2117" s="9">
        <v>2116</v>
      </c>
      <c r="B2117" s="9" t="s">
        <v>9</v>
      </c>
      <c r="C2117" s="9">
        <v>1910</v>
      </c>
      <c r="D2117" s="10">
        <v>45602</v>
      </c>
      <c r="E2117" s="13" t="str">
        <f>+HYPERLINK("http://trademark.i-assist.jp/data/china/image_1910th/80261194.pdf","80261194")</f>
        <v>80261194</v>
      </c>
      <c r="F2117" s="9" t="s">
        <v>5850</v>
      </c>
      <c r="G2117" s="11" t="s">
        <v>4491</v>
      </c>
      <c r="H2117" s="9" t="s">
        <v>5851</v>
      </c>
      <c r="I2117" s="10">
        <v>45512</v>
      </c>
    </row>
    <row r="2118" spans="1:9" x14ac:dyDescent="0.15">
      <c r="A2118" s="9">
        <v>2117</v>
      </c>
      <c r="B2118" s="9" t="s">
        <v>9</v>
      </c>
      <c r="C2118" s="9">
        <v>1910</v>
      </c>
      <c r="D2118" s="10">
        <v>45602</v>
      </c>
      <c r="E2118" s="13" t="str">
        <f>+HYPERLINK("http://trademark.i-assist.jp/data/china/image_1910th/80261367.pdf","80261367")</f>
        <v>80261367</v>
      </c>
      <c r="F2118" s="11" t="s">
        <v>5852</v>
      </c>
      <c r="G2118" s="9" t="s">
        <v>5853</v>
      </c>
      <c r="H2118" s="9" t="s">
        <v>5854</v>
      </c>
      <c r="I2118" s="10">
        <v>45512</v>
      </c>
    </row>
    <row r="2119" spans="1:9" x14ac:dyDescent="0.15">
      <c r="A2119" s="9">
        <v>2118</v>
      </c>
      <c r="B2119" s="9" t="s">
        <v>9</v>
      </c>
      <c r="C2119" s="9">
        <v>1910</v>
      </c>
      <c r="D2119" s="10">
        <v>45602</v>
      </c>
      <c r="E2119" s="13" t="str">
        <f>+HYPERLINK("http://trademark.i-assist.jp/data/china/image_1910th/80261507.pdf","80261507")</f>
        <v>80261507</v>
      </c>
      <c r="F2119" s="9" t="s">
        <v>5855</v>
      </c>
      <c r="G2119" s="9" t="s">
        <v>5856</v>
      </c>
      <c r="H2119" s="11" t="s">
        <v>5857</v>
      </c>
      <c r="I2119" s="10">
        <v>45512</v>
      </c>
    </row>
    <row r="2120" spans="1:9" x14ac:dyDescent="0.15">
      <c r="A2120" s="9">
        <v>2119</v>
      </c>
      <c r="B2120" s="9" t="s">
        <v>9</v>
      </c>
      <c r="C2120" s="9">
        <v>1910</v>
      </c>
      <c r="D2120" s="10">
        <v>45602</v>
      </c>
      <c r="E2120" s="13" t="str">
        <f>+HYPERLINK("http://trademark.i-assist.jp/data/china/image_1910th/80261573.pdf","80261573")</f>
        <v>80261573</v>
      </c>
      <c r="F2120" s="9" t="s">
        <v>5858</v>
      </c>
      <c r="G2120" s="9" t="s">
        <v>102</v>
      </c>
      <c r="H2120" s="9" t="s">
        <v>5859</v>
      </c>
      <c r="I2120" s="10">
        <v>45512</v>
      </c>
    </row>
    <row r="2121" spans="1:9" x14ac:dyDescent="0.15">
      <c r="A2121" s="9">
        <v>2120</v>
      </c>
      <c r="B2121" s="9" t="s">
        <v>9</v>
      </c>
      <c r="C2121" s="9">
        <v>1910</v>
      </c>
      <c r="D2121" s="10">
        <v>45602</v>
      </c>
      <c r="E2121" s="13" t="str">
        <f>+HYPERLINK("http://trademark.i-assist.jp/data/china/image_1910th/80261659.pdf","80261659")</f>
        <v>80261659</v>
      </c>
      <c r="F2121" s="9" t="s">
        <v>5860</v>
      </c>
      <c r="G2121" s="9" t="s">
        <v>5861</v>
      </c>
      <c r="H2121" s="9" t="s">
        <v>5862</v>
      </c>
      <c r="I2121" s="10">
        <v>45512</v>
      </c>
    </row>
    <row r="2122" spans="1:9" x14ac:dyDescent="0.15">
      <c r="A2122" s="9">
        <v>2121</v>
      </c>
      <c r="B2122" s="9" t="s">
        <v>9</v>
      </c>
      <c r="C2122" s="9">
        <v>1910</v>
      </c>
      <c r="D2122" s="10">
        <v>45602</v>
      </c>
      <c r="E2122" s="13" t="str">
        <f>+HYPERLINK("http://trademark.i-assist.jp/data/china/image_1910th/80261906.pdf","80261906")</f>
        <v>80261906</v>
      </c>
      <c r="F2122" s="9" t="s">
        <v>5863</v>
      </c>
      <c r="G2122" s="9" t="s">
        <v>5864</v>
      </c>
      <c r="H2122" s="9" t="s">
        <v>5865</v>
      </c>
      <c r="I2122" s="10">
        <v>45512</v>
      </c>
    </row>
    <row r="2123" spans="1:9" x14ac:dyDescent="0.15">
      <c r="A2123" s="9">
        <v>2122</v>
      </c>
      <c r="B2123" s="9" t="s">
        <v>9</v>
      </c>
      <c r="C2123" s="9">
        <v>1910</v>
      </c>
      <c r="D2123" s="10">
        <v>45602</v>
      </c>
      <c r="E2123" s="13" t="str">
        <f>+HYPERLINK("http://trademark.i-assist.jp/data/china/image_1910th/80262134.pdf","80262134")</f>
        <v>80262134</v>
      </c>
      <c r="F2123" s="9" t="s">
        <v>5550</v>
      </c>
      <c r="G2123" s="9" t="s">
        <v>5551</v>
      </c>
      <c r="H2123" s="9" t="s">
        <v>5866</v>
      </c>
      <c r="I2123" s="10">
        <v>45512</v>
      </c>
    </row>
    <row r="2124" spans="1:9" x14ac:dyDescent="0.15">
      <c r="A2124" s="9">
        <v>2123</v>
      </c>
      <c r="B2124" s="9" t="s">
        <v>9</v>
      </c>
      <c r="C2124" s="9">
        <v>1910</v>
      </c>
      <c r="D2124" s="10">
        <v>45602</v>
      </c>
      <c r="E2124" s="13" t="str">
        <f>+HYPERLINK("http://trademark.i-assist.jp/data/china/image_1910th/80262147.pdf","80262147")</f>
        <v>80262147</v>
      </c>
      <c r="F2124" s="9" t="s">
        <v>5867</v>
      </c>
      <c r="G2124" s="9" t="s">
        <v>5868</v>
      </c>
      <c r="H2124" s="9" t="s">
        <v>5869</v>
      </c>
      <c r="I2124" s="10">
        <v>45512</v>
      </c>
    </row>
    <row r="2125" spans="1:9" x14ac:dyDescent="0.15">
      <c r="A2125" s="9">
        <v>2124</v>
      </c>
      <c r="B2125" s="9" t="s">
        <v>9</v>
      </c>
      <c r="C2125" s="9">
        <v>1910</v>
      </c>
      <c r="D2125" s="10">
        <v>45602</v>
      </c>
      <c r="E2125" s="13" t="str">
        <f>+HYPERLINK("http://trademark.i-assist.jp/data/china/image_1910th/80262216.pdf","80262216")</f>
        <v>80262216</v>
      </c>
      <c r="F2125" s="9" t="s">
        <v>5870</v>
      </c>
      <c r="G2125" s="9" t="s">
        <v>5871</v>
      </c>
      <c r="H2125" s="9" t="s">
        <v>5872</v>
      </c>
      <c r="I2125" s="10">
        <v>45512</v>
      </c>
    </row>
    <row r="2126" spans="1:9" x14ac:dyDescent="0.15">
      <c r="A2126" s="9">
        <v>2125</v>
      </c>
      <c r="B2126" s="9" t="s">
        <v>9</v>
      </c>
      <c r="C2126" s="9">
        <v>1910</v>
      </c>
      <c r="D2126" s="10">
        <v>45602</v>
      </c>
      <c r="E2126" s="13" t="str">
        <f>+HYPERLINK("http://trademark.i-assist.jp/data/china/image_1910th/80262365.pdf","80262365")</f>
        <v>80262365</v>
      </c>
      <c r="F2126" s="9" t="s">
        <v>5873</v>
      </c>
      <c r="G2126" s="11" t="s">
        <v>5874</v>
      </c>
      <c r="H2126" s="9" t="s">
        <v>5875</v>
      </c>
      <c r="I2126" s="10">
        <v>45512</v>
      </c>
    </row>
    <row r="2127" spans="1:9" x14ac:dyDescent="0.15">
      <c r="A2127" s="9">
        <v>2126</v>
      </c>
      <c r="B2127" s="9" t="s">
        <v>9</v>
      </c>
      <c r="C2127" s="9">
        <v>1910</v>
      </c>
      <c r="D2127" s="10">
        <v>45602</v>
      </c>
      <c r="E2127" s="13" t="str">
        <f>+HYPERLINK("http://trademark.i-assist.jp/data/china/image_1910th/80262403.pdf","80262403")</f>
        <v>80262403</v>
      </c>
      <c r="F2127" s="9" t="s">
        <v>5876</v>
      </c>
      <c r="G2127" s="9" t="s">
        <v>181</v>
      </c>
      <c r="H2127" s="9" t="s">
        <v>5877</v>
      </c>
      <c r="I2127" s="10">
        <v>45512</v>
      </c>
    </row>
    <row r="2128" spans="1:9" x14ac:dyDescent="0.15">
      <c r="A2128" s="9">
        <v>2127</v>
      </c>
      <c r="B2128" s="9" t="s">
        <v>9</v>
      </c>
      <c r="C2128" s="9">
        <v>1910</v>
      </c>
      <c r="D2128" s="10">
        <v>45602</v>
      </c>
      <c r="E2128" s="13" t="str">
        <f>+HYPERLINK("http://trademark.i-assist.jp/data/china/image_1910th/80262462.pdf","80262462")</f>
        <v>80262462</v>
      </c>
      <c r="F2128" s="9" t="s">
        <v>5878</v>
      </c>
      <c r="G2128" s="9" t="s">
        <v>5879</v>
      </c>
      <c r="H2128" s="9" t="s">
        <v>5880</v>
      </c>
      <c r="I2128" s="10">
        <v>45512</v>
      </c>
    </row>
    <row r="2129" spans="1:9" x14ac:dyDescent="0.15">
      <c r="A2129" s="9">
        <v>2128</v>
      </c>
      <c r="B2129" s="9" t="s">
        <v>9</v>
      </c>
      <c r="C2129" s="9">
        <v>1910</v>
      </c>
      <c r="D2129" s="10">
        <v>45602</v>
      </c>
      <c r="E2129" s="13" t="str">
        <f>+HYPERLINK("http://trademark.i-assist.jp/data/china/image_1910th/80262492.pdf","80262492")</f>
        <v>80262492</v>
      </c>
      <c r="F2129" s="9" t="s">
        <v>5881</v>
      </c>
      <c r="G2129" s="9" t="s">
        <v>5882</v>
      </c>
      <c r="H2129" s="11" t="s">
        <v>5883</v>
      </c>
      <c r="I2129" s="10">
        <v>45512</v>
      </c>
    </row>
    <row r="2130" spans="1:9" x14ac:dyDescent="0.15">
      <c r="A2130" s="9">
        <v>2129</v>
      </c>
      <c r="B2130" s="9" t="s">
        <v>9</v>
      </c>
      <c r="C2130" s="9">
        <v>1910</v>
      </c>
      <c r="D2130" s="10">
        <v>45602</v>
      </c>
      <c r="E2130" s="13" t="str">
        <f>+HYPERLINK("http://trademark.i-assist.jp/data/china/image_1910th/80262523.pdf","80262523")</f>
        <v>80262523</v>
      </c>
      <c r="F2130" s="9" t="s">
        <v>5884</v>
      </c>
      <c r="G2130" s="9" t="s">
        <v>5885</v>
      </c>
      <c r="H2130" s="9" t="s">
        <v>5886</v>
      </c>
      <c r="I2130" s="10">
        <v>45512</v>
      </c>
    </row>
    <row r="2131" spans="1:9" x14ac:dyDescent="0.15">
      <c r="A2131" s="9">
        <v>2130</v>
      </c>
      <c r="B2131" s="9" t="s">
        <v>9</v>
      </c>
      <c r="C2131" s="9">
        <v>1910</v>
      </c>
      <c r="D2131" s="10">
        <v>45602</v>
      </c>
      <c r="E2131" s="13" t="str">
        <f>+HYPERLINK("http://trademark.i-assist.jp/data/china/image_1910th/80262610.pdf","80262610")</f>
        <v>80262610</v>
      </c>
      <c r="F2131" s="9" t="s">
        <v>5887</v>
      </c>
      <c r="G2131" s="9" t="s">
        <v>5888</v>
      </c>
      <c r="H2131" s="9" t="s">
        <v>5889</v>
      </c>
      <c r="I2131" s="10">
        <v>45512</v>
      </c>
    </row>
    <row r="2132" spans="1:9" x14ac:dyDescent="0.15">
      <c r="A2132" s="9">
        <v>2131</v>
      </c>
      <c r="B2132" s="9" t="s">
        <v>9</v>
      </c>
      <c r="C2132" s="9">
        <v>1910</v>
      </c>
      <c r="D2132" s="10">
        <v>45602</v>
      </c>
      <c r="E2132" s="13" t="str">
        <f>+HYPERLINK("http://trademark.i-assist.jp/data/china/image_1910th/80262659.pdf","80262659")</f>
        <v>80262659</v>
      </c>
      <c r="F2132" s="9" t="s">
        <v>5890</v>
      </c>
      <c r="G2132" s="9" t="s">
        <v>5532</v>
      </c>
      <c r="H2132" s="9" t="s">
        <v>5891</v>
      </c>
      <c r="I2132" s="10">
        <v>45512</v>
      </c>
    </row>
    <row r="2133" spans="1:9" x14ac:dyDescent="0.15">
      <c r="A2133" s="9">
        <v>2132</v>
      </c>
      <c r="B2133" s="9" t="s">
        <v>9</v>
      </c>
      <c r="C2133" s="9">
        <v>1910</v>
      </c>
      <c r="D2133" s="10">
        <v>45602</v>
      </c>
      <c r="E2133" s="13" t="str">
        <f>+HYPERLINK("http://trademark.i-assist.jp/data/china/image_1910th/80262670.pdf","80262670")</f>
        <v>80262670</v>
      </c>
      <c r="F2133" s="11" t="s">
        <v>5892</v>
      </c>
      <c r="G2133" s="11" t="s">
        <v>5893</v>
      </c>
      <c r="H2133" s="9" t="s">
        <v>5894</v>
      </c>
      <c r="I2133" s="10">
        <v>45512</v>
      </c>
    </row>
    <row r="2134" spans="1:9" x14ac:dyDescent="0.15">
      <c r="A2134" s="9">
        <v>2133</v>
      </c>
      <c r="B2134" s="9" t="s">
        <v>9</v>
      </c>
      <c r="C2134" s="9">
        <v>1910</v>
      </c>
      <c r="D2134" s="10">
        <v>45602</v>
      </c>
      <c r="E2134" s="13" t="str">
        <f>+HYPERLINK("http://trademark.i-assist.jp/data/china/image_1910th/80262937.pdf","80262937")</f>
        <v>80262937</v>
      </c>
      <c r="F2134" s="9" t="s">
        <v>5895</v>
      </c>
      <c r="G2134" s="9" t="s">
        <v>5896</v>
      </c>
      <c r="H2134" s="9" t="s">
        <v>5897</v>
      </c>
      <c r="I2134" s="10">
        <v>45512</v>
      </c>
    </row>
    <row r="2135" spans="1:9" x14ac:dyDescent="0.15">
      <c r="A2135" s="9">
        <v>2134</v>
      </c>
      <c r="B2135" s="9" t="s">
        <v>9</v>
      </c>
      <c r="C2135" s="9">
        <v>1910</v>
      </c>
      <c r="D2135" s="10">
        <v>45602</v>
      </c>
      <c r="E2135" s="13" t="str">
        <f>+HYPERLINK("http://trademark.i-assist.jp/data/china/image_1910th/80262945.pdf","80262945")</f>
        <v>80262945</v>
      </c>
      <c r="F2135" s="9" t="s">
        <v>5898</v>
      </c>
      <c r="G2135" s="11" t="s">
        <v>5488</v>
      </c>
      <c r="H2135" s="9" t="s">
        <v>5899</v>
      </c>
      <c r="I2135" s="10">
        <v>45512</v>
      </c>
    </row>
    <row r="2136" spans="1:9" x14ac:dyDescent="0.15">
      <c r="A2136" s="9">
        <v>2135</v>
      </c>
      <c r="B2136" s="9" t="s">
        <v>9</v>
      </c>
      <c r="C2136" s="9">
        <v>1910</v>
      </c>
      <c r="D2136" s="10">
        <v>45602</v>
      </c>
      <c r="E2136" s="13" t="str">
        <f>+HYPERLINK("http://trademark.i-assist.jp/data/china/image_1910th/80262972.pdf","80262972")</f>
        <v>80262972</v>
      </c>
      <c r="F2136" s="9" t="s">
        <v>5900</v>
      </c>
      <c r="G2136" s="9" t="s">
        <v>5901</v>
      </c>
      <c r="H2136" s="9" t="s">
        <v>5902</v>
      </c>
      <c r="I2136" s="10">
        <v>45512</v>
      </c>
    </row>
    <row r="2137" spans="1:9" x14ac:dyDescent="0.15">
      <c r="A2137" s="9">
        <v>2136</v>
      </c>
      <c r="B2137" s="9" t="s">
        <v>9</v>
      </c>
      <c r="C2137" s="9">
        <v>1910</v>
      </c>
      <c r="D2137" s="10">
        <v>45602</v>
      </c>
      <c r="E2137" s="13" t="str">
        <f>+HYPERLINK("http://trademark.i-assist.jp/data/china/image_1910th/80263412.pdf","80263412")</f>
        <v>80263412</v>
      </c>
      <c r="F2137" s="9" t="s">
        <v>5903</v>
      </c>
      <c r="G2137" s="9" t="s">
        <v>5802</v>
      </c>
      <c r="H2137" s="9" t="s">
        <v>5904</v>
      </c>
      <c r="I2137" s="10">
        <v>45512</v>
      </c>
    </row>
    <row r="2138" spans="1:9" x14ac:dyDescent="0.15">
      <c r="A2138" s="9">
        <v>2137</v>
      </c>
      <c r="B2138" s="9" t="s">
        <v>9</v>
      </c>
      <c r="C2138" s="9">
        <v>1910</v>
      </c>
      <c r="D2138" s="10">
        <v>45602</v>
      </c>
      <c r="E2138" s="13" t="str">
        <f>+HYPERLINK("http://trademark.i-assist.jp/data/china/image_1910th/80263691.pdf","80263691")</f>
        <v>80263691</v>
      </c>
      <c r="F2138" s="11" t="s">
        <v>19</v>
      </c>
      <c r="G2138" s="9" t="s">
        <v>5905</v>
      </c>
      <c r="H2138" s="9" t="s">
        <v>5906</v>
      </c>
      <c r="I2138" s="10">
        <v>45512</v>
      </c>
    </row>
    <row r="2139" spans="1:9" x14ac:dyDescent="0.15">
      <c r="A2139" s="9">
        <v>2138</v>
      </c>
      <c r="B2139" s="9" t="s">
        <v>9</v>
      </c>
      <c r="C2139" s="9">
        <v>1910</v>
      </c>
      <c r="D2139" s="10">
        <v>45602</v>
      </c>
      <c r="E2139" s="13" t="str">
        <f>+HYPERLINK("http://trademark.i-assist.jp/data/china/image_1910th/80263858.pdf","80263858")</f>
        <v>80263858</v>
      </c>
      <c r="F2139" s="9" t="s">
        <v>5907</v>
      </c>
      <c r="G2139" s="9" t="s">
        <v>5532</v>
      </c>
      <c r="H2139" s="9" t="s">
        <v>5908</v>
      </c>
      <c r="I2139" s="10">
        <v>45512</v>
      </c>
    </row>
    <row r="2140" spans="1:9" x14ac:dyDescent="0.15">
      <c r="A2140" s="9">
        <v>2139</v>
      </c>
      <c r="B2140" s="9" t="s">
        <v>9</v>
      </c>
      <c r="C2140" s="9">
        <v>1910</v>
      </c>
      <c r="D2140" s="10">
        <v>45602</v>
      </c>
      <c r="E2140" s="13" t="str">
        <f>+HYPERLINK("http://trademark.i-assist.jp/data/china/image_1910th/80263867.pdf","80263867")</f>
        <v>80263867</v>
      </c>
      <c r="F2140" s="9" t="s">
        <v>5909</v>
      </c>
      <c r="G2140" s="9" t="s">
        <v>5910</v>
      </c>
      <c r="H2140" s="9" t="s">
        <v>5911</v>
      </c>
      <c r="I2140" s="10">
        <v>45512</v>
      </c>
    </row>
    <row r="2141" spans="1:9" x14ac:dyDescent="0.15">
      <c r="A2141" s="9">
        <v>2140</v>
      </c>
      <c r="B2141" s="9" t="s">
        <v>9</v>
      </c>
      <c r="C2141" s="9">
        <v>1910</v>
      </c>
      <c r="D2141" s="10">
        <v>45602</v>
      </c>
      <c r="E2141" s="13" t="str">
        <f>+HYPERLINK("http://trademark.i-assist.jp/data/china/image_1910th/80264052.pdf","80264052")</f>
        <v>80264052</v>
      </c>
      <c r="F2141" s="9" t="s">
        <v>5912</v>
      </c>
      <c r="G2141" s="11" t="s">
        <v>5913</v>
      </c>
      <c r="H2141" s="9" t="s">
        <v>5914</v>
      </c>
      <c r="I2141" s="10">
        <v>45512</v>
      </c>
    </row>
    <row r="2142" spans="1:9" x14ac:dyDescent="0.15">
      <c r="A2142" s="9">
        <v>2141</v>
      </c>
      <c r="B2142" s="9" t="s">
        <v>9</v>
      </c>
      <c r="C2142" s="9">
        <v>1910</v>
      </c>
      <c r="D2142" s="10">
        <v>45602</v>
      </c>
      <c r="E2142" s="13" t="str">
        <f>+HYPERLINK("http://trademark.i-assist.jp/data/china/image_1910th/80264333.pdf","80264333")</f>
        <v>80264333</v>
      </c>
      <c r="F2142" s="9" t="s">
        <v>5915</v>
      </c>
      <c r="G2142" s="9" t="s">
        <v>1610</v>
      </c>
      <c r="H2142" s="9" t="s">
        <v>5916</v>
      </c>
      <c r="I2142" s="10">
        <v>45512</v>
      </c>
    </row>
    <row r="2143" spans="1:9" x14ac:dyDescent="0.15">
      <c r="A2143" s="9">
        <v>2142</v>
      </c>
      <c r="B2143" s="9" t="s">
        <v>9</v>
      </c>
      <c r="C2143" s="9">
        <v>1910</v>
      </c>
      <c r="D2143" s="10">
        <v>45602</v>
      </c>
      <c r="E2143" s="13" t="str">
        <f>+HYPERLINK("http://trademark.i-assist.jp/data/china/image_1910th/80264466.pdf","80264466")</f>
        <v>80264466</v>
      </c>
      <c r="F2143" s="9" t="s">
        <v>5917</v>
      </c>
      <c r="G2143" s="9" t="s">
        <v>183</v>
      </c>
      <c r="H2143" s="9" t="s">
        <v>5918</v>
      </c>
      <c r="I2143" s="10">
        <v>45512</v>
      </c>
    </row>
    <row r="2144" spans="1:9" x14ac:dyDescent="0.15">
      <c r="A2144" s="9">
        <v>2143</v>
      </c>
      <c r="B2144" s="9" t="s">
        <v>9</v>
      </c>
      <c r="C2144" s="9">
        <v>1910</v>
      </c>
      <c r="D2144" s="10">
        <v>45602</v>
      </c>
      <c r="E2144" s="13" t="str">
        <f>+HYPERLINK("http://trademark.i-assist.jp/data/china/image_1910th/80264876.pdf","80264876")</f>
        <v>80264876</v>
      </c>
      <c r="F2144" s="11" t="s">
        <v>5919</v>
      </c>
      <c r="G2144" s="9" t="s">
        <v>5920</v>
      </c>
      <c r="H2144" s="9" t="s">
        <v>5921</v>
      </c>
      <c r="I2144" s="10">
        <v>45512</v>
      </c>
    </row>
    <row r="2145" spans="1:9" x14ac:dyDescent="0.15">
      <c r="A2145" s="9">
        <v>2144</v>
      </c>
      <c r="B2145" s="9" t="s">
        <v>9</v>
      </c>
      <c r="C2145" s="9">
        <v>1910</v>
      </c>
      <c r="D2145" s="10">
        <v>45602</v>
      </c>
      <c r="E2145" s="13" t="str">
        <f>+HYPERLINK("http://trademark.i-assist.jp/data/china/image_1910th/80264906.pdf","80264906")</f>
        <v>80264906</v>
      </c>
      <c r="F2145" s="9" t="s">
        <v>5922</v>
      </c>
      <c r="G2145" s="9" t="s">
        <v>5923</v>
      </c>
      <c r="H2145" s="9" t="s">
        <v>5924</v>
      </c>
      <c r="I2145" s="10">
        <v>45512</v>
      </c>
    </row>
    <row r="2146" spans="1:9" x14ac:dyDescent="0.15">
      <c r="A2146" s="9">
        <v>2145</v>
      </c>
      <c r="B2146" s="9" t="s">
        <v>9</v>
      </c>
      <c r="C2146" s="9">
        <v>1910</v>
      </c>
      <c r="D2146" s="10">
        <v>45602</v>
      </c>
      <c r="E2146" s="13" t="str">
        <f>+HYPERLINK("http://trademark.i-assist.jp/data/china/image_1910th/80264949.pdf","80264949")</f>
        <v>80264949</v>
      </c>
      <c r="F2146" s="9" t="s">
        <v>5925</v>
      </c>
      <c r="G2146" s="9" t="s">
        <v>5926</v>
      </c>
      <c r="H2146" s="9" t="s">
        <v>5927</v>
      </c>
      <c r="I2146" s="10">
        <v>45512</v>
      </c>
    </row>
    <row r="2147" spans="1:9" x14ac:dyDescent="0.15">
      <c r="A2147" s="9">
        <v>2146</v>
      </c>
      <c r="B2147" s="9" t="s">
        <v>9</v>
      </c>
      <c r="C2147" s="9">
        <v>1910</v>
      </c>
      <c r="D2147" s="10">
        <v>45602</v>
      </c>
      <c r="E2147" s="13" t="str">
        <f>+HYPERLINK("http://trademark.i-assist.jp/data/china/image_1910th/80265075.pdf","80265075")</f>
        <v>80265075</v>
      </c>
      <c r="F2147" s="9" t="s">
        <v>5928</v>
      </c>
      <c r="G2147" s="9" t="s">
        <v>5929</v>
      </c>
      <c r="H2147" s="9" t="s">
        <v>5930</v>
      </c>
      <c r="I2147" s="10">
        <v>45512</v>
      </c>
    </row>
    <row r="2148" spans="1:9" x14ac:dyDescent="0.15">
      <c r="A2148" s="9">
        <v>2147</v>
      </c>
      <c r="B2148" s="9" t="s">
        <v>9</v>
      </c>
      <c r="C2148" s="9">
        <v>1910</v>
      </c>
      <c r="D2148" s="10">
        <v>45602</v>
      </c>
      <c r="E2148" s="13" t="str">
        <f>+HYPERLINK("http://trademark.i-assist.jp/data/china/image_1910th/80265197.pdf","80265197")</f>
        <v>80265197</v>
      </c>
      <c r="F2148" s="11" t="s">
        <v>5931</v>
      </c>
      <c r="G2148" s="9" t="s">
        <v>5932</v>
      </c>
      <c r="H2148" s="9" t="s">
        <v>5933</v>
      </c>
      <c r="I2148" s="10">
        <v>45512</v>
      </c>
    </row>
    <row r="2149" spans="1:9" x14ac:dyDescent="0.15">
      <c r="A2149" s="9">
        <v>2148</v>
      </c>
      <c r="B2149" s="9" t="s">
        <v>9</v>
      </c>
      <c r="C2149" s="9">
        <v>1910</v>
      </c>
      <c r="D2149" s="10">
        <v>45602</v>
      </c>
      <c r="E2149" s="13" t="str">
        <f>+HYPERLINK("http://trademark.i-assist.jp/data/china/image_1910th/80265199.pdf","80265199")</f>
        <v>80265199</v>
      </c>
      <c r="F2149" s="11" t="s">
        <v>5934</v>
      </c>
      <c r="G2149" s="9" t="s">
        <v>5935</v>
      </c>
      <c r="H2149" s="9" t="s">
        <v>5936</v>
      </c>
      <c r="I2149" s="10">
        <v>45512</v>
      </c>
    </row>
    <row r="2150" spans="1:9" x14ac:dyDescent="0.15">
      <c r="A2150" s="9">
        <v>2149</v>
      </c>
      <c r="B2150" s="9" t="s">
        <v>9</v>
      </c>
      <c r="C2150" s="9">
        <v>1910</v>
      </c>
      <c r="D2150" s="10">
        <v>45602</v>
      </c>
      <c r="E2150" s="13" t="str">
        <f>+HYPERLINK("http://trademark.i-assist.jp/data/china/image_1910th/80265206.pdf","80265206")</f>
        <v>80265206</v>
      </c>
      <c r="F2150" s="9" t="s">
        <v>5937</v>
      </c>
      <c r="G2150" s="9" t="s">
        <v>5932</v>
      </c>
      <c r="H2150" s="9" t="s">
        <v>5938</v>
      </c>
      <c r="I2150" s="10">
        <v>45512</v>
      </c>
    </row>
    <row r="2151" spans="1:9" x14ac:dyDescent="0.15">
      <c r="A2151" s="9">
        <v>2150</v>
      </c>
      <c r="B2151" s="9" t="s">
        <v>9</v>
      </c>
      <c r="C2151" s="9">
        <v>1910</v>
      </c>
      <c r="D2151" s="10">
        <v>45602</v>
      </c>
      <c r="E2151" s="13" t="str">
        <f>+HYPERLINK("http://trademark.i-assist.jp/data/china/image_1910th/80265230.pdf","80265230")</f>
        <v>80265230</v>
      </c>
      <c r="F2151" s="11" t="s">
        <v>5939</v>
      </c>
      <c r="G2151" s="11" t="s">
        <v>5940</v>
      </c>
      <c r="H2151" s="9" t="s">
        <v>5941</v>
      </c>
      <c r="I2151" s="10">
        <v>45512</v>
      </c>
    </row>
    <row r="2152" spans="1:9" x14ac:dyDescent="0.15">
      <c r="A2152" s="9">
        <v>2151</v>
      </c>
      <c r="B2152" s="9" t="s">
        <v>9</v>
      </c>
      <c r="C2152" s="9">
        <v>1910</v>
      </c>
      <c r="D2152" s="10">
        <v>45602</v>
      </c>
      <c r="E2152" s="13" t="str">
        <f>+HYPERLINK("http://trademark.i-assist.jp/data/china/image_1910th/80265275.pdf","80265275")</f>
        <v>80265275</v>
      </c>
      <c r="F2152" s="9" t="s">
        <v>5942</v>
      </c>
      <c r="G2152" s="9" t="s">
        <v>5943</v>
      </c>
      <c r="H2152" s="9" t="s">
        <v>5944</v>
      </c>
      <c r="I2152" s="10">
        <v>45512</v>
      </c>
    </row>
    <row r="2153" spans="1:9" x14ac:dyDescent="0.15">
      <c r="A2153" s="9">
        <v>2152</v>
      </c>
      <c r="B2153" s="9" t="s">
        <v>9</v>
      </c>
      <c r="C2153" s="9">
        <v>1910</v>
      </c>
      <c r="D2153" s="10">
        <v>45602</v>
      </c>
      <c r="E2153" s="13" t="str">
        <f>+HYPERLINK("http://trademark.i-assist.jp/data/china/image_1910th/80265330.pdf","80265330")</f>
        <v>80265330</v>
      </c>
      <c r="F2153" s="9" t="s">
        <v>5945</v>
      </c>
      <c r="G2153" s="9" t="s">
        <v>5861</v>
      </c>
      <c r="H2153" s="9" t="s">
        <v>5946</v>
      </c>
      <c r="I2153" s="10">
        <v>45512</v>
      </c>
    </row>
    <row r="2154" spans="1:9" x14ac:dyDescent="0.15">
      <c r="A2154" s="9">
        <v>2153</v>
      </c>
      <c r="B2154" s="9" t="s">
        <v>9</v>
      </c>
      <c r="C2154" s="9">
        <v>1910</v>
      </c>
      <c r="D2154" s="10">
        <v>45602</v>
      </c>
      <c r="E2154" s="13" t="str">
        <f>+HYPERLINK("http://trademark.i-assist.jp/data/china/image_1910th/80265343.pdf","80265343")</f>
        <v>80265343</v>
      </c>
      <c r="F2154" s="9" t="s">
        <v>5947</v>
      </c>
      <c r="G2154" s="9" t="s">
        <v>5861</v>
      </c>
      <c r="H2154" s="9" t="s">
        <v>5948</v>
      </c>
      <c r="I2154" s="10">
        <v>45512</v>
      </c>
    </row>
    <row r="2155" spans="1:9" x14ac:dyDescent="0.15">
      <c r="A2155" s="9">
        <v>2154</v>
      </c>
      <c r="B2155" s="9" t="s">
        <v>9</v>
      </c>
      <c r="C2155" s="9">
        <v>1910</v>
      </c>
      <c r="D2155" s="10">
        <v>45602</v>
      </c>
      <c r="E2155" s="13" t="str">
        <f>+HYPERLINK("http://trademark.i-assist.jp/data/china/image_1910th/80265576.pdf","80265576")</f>
        <v>80265576</v>
      </c>
      <c r="F2155" s="11" t="s">
        <v>5949</v>
      </c>
      <c r="G2155" s="11" t="s">
        <v>5950</v>
      </c>
      <c r="H2155" s="11" t="s">
        <v>5951</v>
      </c>
      <c r="I2155" s="10">
        <v>45512</v>
      </c>
    </row>
    <row r="2156" spans="1:9" x14ac:dyDescent="0.15">
      <c r="A2156" s="9">
        <v>2155</v>
      </c>
      <c r="B2156" s="9" t="s">
        <v>9</v>
      </c>
      <c r="C2156" s="9">
        <v>1910</v>
      </c>
      <c r="D2156" s="10">
        <v>45602</v>
      </c>
      <c r="E2156" s="13" t="str">
        <f>+HYPERLINK("http://trademark.i-assist.jp/data/china/image_1910th/80265615.pdf","80265615")</f>
        <v>80265615</v>
      </c>
      <c r="F2156" s="9" t="s">
        <v>5952</v>
      </c>
      <c r="G2156" s="9" t="s">
        <v>5953</v>
      </c>
      <c r="H2156" s="11" t="s">
        <v>5954</v>
      </c>
      <c r="I2156" s="10">
        <v>45512</v>
      </c>
    </row>
    <row r="2157" spans="1:9" x14ac:dyDescent="0.15">
      <c r="A2157" s="9">
        <v>2156</v>
      </c>
      <c r="B2157" s="9" t="s">
        <v>9</v>
      </c>
      <c r="C2157" s="9">
        <v>1910</v>
      </c>
      <c r="D2157" s="10">
        <v>45602</v>
      </c>
      <c r="E2157" s="13" t="str">
        <f>+HYPERLINK("http://trademark.i-assist.jp/data/china/image_1910th/80265687.pdf","80265687")</f>
        <v>80265687</v>
      </c>
      <c r="F2157" s="9" t="s">
        <v>5955</v>
      </c>
      <c r="G2157" s="9" t="s">
        <v>5956</v>
      </c>
      <c r="H2157" s="9" t="s">
        <v>5957</v>
      </c>
      <c r="I2157" s="10">
        <v>45512</v>
      </c>
    </row>
    <row r="2158" spans="1:9" x14ac:dyDescent="0.15">
      <c r="A2158" s="9">
        <v>2157</v>
      </c>
      <c r="B2158" s="9" t="s">
        <v>9</v>
      </c>
      <c r="C2158" s="9">
        <v>1910</v>
      </c>
      <c r="D2158" s="10">
        <v>45602</v>
      </c>
      <c r="E2158" s="13" t="str">
        <f>+HYPERLINK("http://trademark.i-assist.jp/data/china/image_1910th/80265806.pdf","80265806")</f>
        <v>80265806</v>
      </c>
      <c r="F2158" s="11" t="s">
        <v>5958</v>
      </c>
      <c r="G2158" s="9" t="s">
        <v>5834</v>
      </c>
      <c r="H2158" s="9" t="s">
        <v>5959</v>
      </c>
      <c r="I2158" s="10">
        <v>45512</v>
      </c>
    </row>
    <row r="2159" spans="1:9" x14ac:dyDescent="0.15">
      <c r="A2159" s="9">
        <v>2158</v>
      </c>
      <c r="B2159" s="9" t="s">
        <v>9</v>
      </c>
      <c r="C2159" s="9">
        <v>1910</v>
      </c>
      <c r="D2159" s="10">
        <v>45602</v>
      </c>
      <c r="E2159" s="13" t="str">
        <f>+HYPERLINK("http://trademark.i-assist.jp/data/china/image_1910th/80266001.pdf","80266001")</f>
        <v>80266001</v>
      </c>
      <c r="F2159" s="11" t="s">
        <v>5960</v>
      </c>
      <c r="G2159" s="9" t="s">
        <v>5961</v>
      </c>
      <c r="H2159" s="9" t="s">
        <v>5962</v>
      </c>
      <c r="I2159" s="10">
        <v>45512</v>
      </c>
    </row>
    <row r="2160" spans="1:9" x14ac:dyDescent="0.15">
      <c r="A2160" s="9">
        <v>2159</v>
      </c>
      <c r="B2160" s="9" t="s">
        <v>9</v>
      </c>
      <c r="C2160" s="9">
        <v>1910</v>
      </c>
      <c r="D2160" s="10">
        <v>45602</v>
      </c>
      <c r="E2160" s="13" t="str">
        <f>+HYPERLINK("http://trademark.i-assist.jp/data/china/image_1910th/80266238.pdf","80266238")</f>
        <v>80266238</v>
      </c>
      <c r="F2160" s="9" t="s">
        <v>5963</v>
      </c>
      <c r="G2160" s="9" t="s">
        <v>5964</v>
      </c>
      <c r="H2160" s="9" t="s">
        <v>5965</v>
      </c>
      <c r="I2160" s="10">
        <v>45512</v>
      </c>
    </row>
    <row r="2161" spans="1:9" x14ac:dyDescent="0.15">
      <c r="A2161" s="9">
        <v>2160</v>
      </c>
      <c r="B2161" s="9" t="s">
        <v>9</v>
      </c>
      <c r="C2161" s="9">
        <v>1910</v>
      </c>
      <c r="D2161" s="10">
        <v>45602</v>
      </c>
      <c r="E2161" s="13" t="str">
        <f>+HYPERLINK("http://trademark.i-assist.jp/data/china/image_1910th/80266331.pdf","80266331")</f>
        <v>80266331</v>
      </c>
      <c r="F2161" s="9" t="s">
        <v>5966</v>
      </c>
      <c r="G2161" s="9" t="s">
        <v>29</v>
      </c>
      <c r="H2161" s="9" t="s">
        <v>5967</v>
      </c>
      <c r="I2161" s="10">
        <v>45512</v>
      </c>
    </row>
    <row r="2162" spans="1:9" x14ac:dyDescent="0.15">
      <c r="A2162" s="9">
        <v>2161</v>
      </c>
      <c r="B2162" s="9" t="s">
        <v>9</v>
      </c>
      <c r="C2162" s="9">
        <v>1910</v>
      </c>
      <c r="D2162" s="10">
        <v>45602</v>
      </c>
      <c r="E2162" s="13" t="str">
        <f>+HYPERLINK("http://trademark.i-assist.jp/data/china/image_1910th/80266496.pdf","80266496")</f>
        <v>80266496</v>
      </c>
      <c r="F2162" s="9" t="s">
        <v>5968</v>
      </c>
      <c r="G2162" s="9" t="s">
        <v>5814</v>
      </c>
      <c r="H2162" s="9" t="s">
        <v>5969</v>
      </c>
      <c r="I2162" s="10">
        <v>45512</v>
      </c>
    </row>
    <row r="2163" spans="1:9" x14ac:dyDescent="0.15">
      <c r="A2163" s="9">
        <v>2162</v>
      </c>
      <c r="B2163" s="9" t="s">
        <v>9</v>
      </c>
      <c r="C2163" s="9">
        <v>1910</v>
      </c>
      <c r="D2163" s="10">
        <v>45602</v>
      </c>
      <c r="E2163" s="13" t="str">
        <f>+HYPERLINK("http://trademark.i-assist.jp/data/china/image_1910th/80266519.pdf","80266519")</f>
        <v>80266519</v>
      </c>
      <c r="F2163" s="11" t="s">
        <v>5970</v>
      </c>
      <c r="G2163" s="11" t="s">
        <v>5971</v>
      </c>
      <c r="H2163" s="9" t="s">
        <v>5972</v>
      </c>
      <c r="I2163" s="10">
        <v>45512</v>
      </c>
    </row>
    <row r="2164" spans="1:9" x14ac:dyDescent="0.15">
      <c r="A2164" s="9">
        <v>2163</v>
      </c>
      <c r="B2164" s="9" t="s">
        <v>9</v>
      </c>
      <c r="C2164" s="9">
        <v>1910</v>
      </c>
      <c r="D2164" s="10">
        <v>45602</v>
      </c>
      <c r="E2164" s="13" t="str">
        <f>+HYPERLINK("http://trademark.i-assist.jp/data/china/image_1910th/80266618.pdf","80266618")</f>
        <v>80266618</v>
      </c>
      <c r="F2164" s="9" t="s">
        <v>5973</v>
      </c>
      <c r="G2164" s="11" t="s">
        <v>5974</v>
      </c>
      <c r="H2164" s="9" t="s">
        <v>5975</v>
      </c>
      <c r="I2164" s="10">
        <v>45512</v>
      </c>
    </row>
    <row r="2165" spans="1:9" x14ac:dyDescent="0.15">
      <c r="A2165" s="9">
        <v>2164</v>
      </c>
      <c r="B2165" s="9" t="s">
        <v>9</v>
      </c>
      <c r="C2165" s="9">
        <v>1910</v>
      </c>
      <c r="D2165" s="10">
        <v>45602</v>
      </c>
      <c r="E2165" s="13" t="str">
        <f>+HYPERLINK("http://trademark.i-assist.jp/data/china/image_1910th/80266638.pdf","80266638")</f>
        <v>80266638</v>
      </c>
      <c r="F2165" s="11" t="s">
        <v>5976</v>
      </c>
      <c r="G2165" s="9" t="s">
        <v>5977</v>
      </c>
      <c r="H2165" s="9" t="s">
        <v>5978</v>
      </c>
      <c r="I2165" s="10">
        <v>45512</v>
      </c>
    </row>
    <row r="2166" spans="1:9" x14ac:dyDescent="0.15">
      <c r="A2166" s="9">
        <v>2165</v>
      </c>
      <c r="B2166" s="9" t="s">
        <v>9</v>
      </c>
      <c r="C2166" s="9">
        <v>1910</v>
      </c>
      <c r="D2166" s="10">
        <v>45602</v>
      </c>
      <c r="E2166" s="13" t="str">
        <f>+HYPERLINK("http://trademark.i-assist.jp/data/china/image_1910th/80266675.pdf","80266675")</f>
        <v>80266675</v>
      </c>
      <c r="F2166" s="11" t="s">
        <v>19</v>
      </c>
      <c r="G2166" s="9" t="s">
        <v>5559</v>
      </c>
      <c r="H2166" s="9" t="s">
        <v>5979</v>
      </c>
      <c r="I2166" s="10">
        <v>45512</v>
      </c>
    </row>
    <row r="2167" spans="1:9" x14ac:dyDescent="0.15">
      <c r="A2167" s="9">
        <v>2166</v>
      </c>
      <c r="B2167" s="9" t="s">
        <v>9</v>
      </c>
      <c r="C2167" s="9">
        <v>1910</v>
      </c>
      <c r="D2167" s="10">
        <v>45602</v>
      </c>
      <c r="E2167" s="13" t="str">
        <f>+HYPERLINK("http://trademark.i-assist.jp/data/china/image_1910th/80266816.pdf","80266816")</f>
        <v>80266816</v>
      </c>
      <c r="F2167" s="9" t="s">
        <v>5980</v>
      </c>
      <c r="G2167" s="11" t="s">
        <v>5981</v>
      </c>
      <c r="H2167" s="9" t="s">
        <v>5982</v>
      </c>
      <c r="I2167" s="10">
        <v>45512</v>
      </c>
    </row>
    <row r="2168" spans="1:9" x14ac:dyDescent="0.15">
      <c r="A2168" s="9">
        <v>2167</v>
      </c>
      <c r="B2168" s="9" t="s">
        <v>9</v>
      </c>
      <c r="C2168" s="9">
        <v>1910</v>
      </c>
      <c r="D2168" s="10">
        <v>45602</v>
      </c>
      <c r="E2168" s="13" t="str">
        <f>+HYPERLINK("http://trademark.i-assist.jp/data/china/image_1910th/80266892.pdf","80266892")</f>
        <v>80266892</v>
      </c>
      <c r="F2168" s="9" t="s">
        <v>5983</v>
      </c>
      <c r="G2168" s="9" t="s">
        <v>5984</v>
      </c>
      <c r="H2168" s="9" t="s">
        <v>5985</v>
      </c>
      <c r="I2168" s="10">
        <v>45512</v>
      </c>
    </row>
    <row r="2169" spans="1:9" x14ac:dyDescent="0.15">
      <c r="A2169" s="9">
        <v>2168</v>
      </c>
      <c r="B2169" s="9" t="s">
        <v>9</v>
      </c>
      <c r="C2169" s="9">
        <v>1910</v>
      </c>
      <c r="D2169" s="10">
        <v>45602</v>
      </c>
      <c r="E2169" s="13" t="str">
        <f>+HYPERLINK("http://trademark.i-assist.jp/data/china/image_1910th/80267152.pdf","80267152")</f>
        <v>80267152</v>
      </c>
      <c r="F2169" s="9" t="s">
        <v>5986</v>
      </c>
      <c r="G2169" s="9" t="s">
        <v>5987</v>
      </c>
      <c r="H2169" s="9" t="s">
        <v>5988</v>
      </c>
      <c r="I2169" s="10">
        <v>45512</v>
      </c>
    </row>
    <row r="2170" spans="1:9" x14ac:dyDescent="0.15">
      <c r="A2170" s="9">
        <v>2169</v>
      </c>
      <c r="B2170" s="9" t="s">
        <v>9</v>
      </c>
      <c r="C2170" s="9">
        <v>1910</v>
      </c>
      <c r="D2170" s="10">
        <v>45602</v>
      </c>
      <c r="E2170" s="13" t="str">
        <f>+HYPERLINK("http://trademark.i-assist.jp/data/china/image_1910th/80267251.pdf","80267251")</f>
        <v>80267251</v>
      </c>
      <c r="F2170" s="11" t="s">
        <v>5989</v>
      </c>
      <c r="G2170" s="9" t="s">
        <v>5990</v>
      </c>
      <c r="H2170" s="9" t="s">
        <v>5991</v>
      </c>
      <c r="I2170" s="10">
        <v>45513</v>
      </c>
    </row>
    <row r="2171" spans="1:9" x14ac:dyDescent="0.15">
      <c r="A2171" s="9">
        <v>2170</v>
      </c>
      <c r="B2171" s="9" t="s">
        <v>9</v>
      </c>
      <c r="C2171" s="9">
        <v>1910</v>
      </c>
      <c r="D2171" s="10">
        <v>45602</v>
      </c>
      <c r="E2171" s="13" t="str">
        <f>+HYPERLINK("http://trademark.i-assist.jp/data/china/image_1910th/80267383.pdf","80267383")</f>
        <v>80267383</v>
      </c>
      <c r="F2171" s="9" t="s">
        <v>5992</v>
      </c>
      <c r="G2171" s="9" t="s">
        <v>5993</v>
      </c>
      <c r="H2171" s="9" t="s">
        <v>5994</v>
      </c>
      <c r="I2171" s="10">
        <v>45513</v>
      </c>
    </row>
    <row r="2172" spans="1:9" x14ac:dyDescent="0.15">
      <c r="A2172" s="9">
        <v>2171</v>
      </c>
      <c r="B2172" s="9" t="s">
        <v>9</v>
      </c>
      <c r="C2172" s="9">
        <v>1910</v>
      </c>
      <c r="D2172" s="10">
        <v>45602</v>
      </c>
      <c r="E2172" s="13" t="str">
        <f>+HYPERLINK("http://trademark.i-assist.jp/data/china/image_1910th/80267389.pdf","80267389")</f>
        <v>80267389</v>
      </c>
      <c r="F2172" s="9" t="s">
        <v>5995</v>
      </c>
      <c r="G2172" s="9" t="s">
        <v>5996</v>
      </c>
      <c r="H2172" s="9" t="s">
        <v>5997</v>
      </c>
      <c r="I2172" s="10">
        <v>45513</v>
      </c>
    </row>
    <row r="2173" spans="1:9" x14ac:dyDescent="0.15">
      <c r="A2173" s="9">
        <v>2172</v>
      </c>
      <c r="B2173" s="9" t="s">
        <v>9</v>
      </c>
      <c r="C2173" s="9">
        <v>1910</v>
      </c>
      <c r="D2173" s="10">
        <v>45602</v>
      </c>
      <c r="E2173" s="13" t="str">
        <f>+HYPERLINK("http://trademark.i-assist.jp/data/china/image_1910th/80267479.pdf","80267479")</f>
        <v>80267479</v>
      </c>
      <c r="F2173" s="9" t="s">
        <v>5998</v>
      </c>
      <c r="G2173" s="11" t="s">
        <v>5999</v>
      </c>
      <c r="H2173" s="11" t="s">
        <v>6000</v>
      </c>
      <c r="I2173" s="10">
        <v>45513</v>
      </c>
    </row>
    <row r="2174" spans="1:9" x14ac:dyDescent="0.15">
      <c r="A2174" s="9">
        <v>2173</v>
      </c>
      <c r="B2174" s="9" t="s">
        <v>9</v>
      </c>
      <c r="C2174" s="9">
        <v>1910</v>
      </c>
      <c r="D2174" s="10">
        <v>45602</v>
      </c>
      <c r="E2174" s="13" t="str">
        <f>+HYPERLINK("http://trademark.i-assist.jp/data/china/image_1910th/80267514.pdf","80267514")</f>
        <v>80267514</v>
      </c>
      <c r="F2174" s="9" t="s">
        <v>6001</v>
      </c>
      <c r="G2174" s="11" t="s">
        <v>5999</v>
      </c>
      <c r="H2174" s="11" t="s">
        <v>6002</v>
      </c>
      <c r="I2174" s="10">
        <v>45513</v>
      </c>
    </row>
    <row r="2175" spans="1:9" x14ac:dyDescent="0.15">
      <c r="A2175" s="9">
        <v>2174</v>
      </c>
      <c r="B2175" s="9" t="s">
        <v>9</v>
      </c>
      <c r="C2175" s="9">
        <v>1910</v>
      </c>
      <c r="D2175" s="10">
        <v>45602</v>
      </c>
      <c r="E2175" s="13" t="str">
        <f>+HYPERLINK("http://trademark.i-assist.jp/data/china/image_1910th/80267542.pdf","80267542")</f>
        <v>80267542</v>
      </c>
      <c r="F2175" s="9" t="s">
        <v>6003</v>
      </c>
      <c r="G2175" s="9" t="s">
        <v>5392</v>
      </c>
      <c r="H2175" s="9" t="s">
        <v>6004</v>
      </c>
      <c r="I2175" s="10">
        <v>45513</v>
      </c>
    </row>
    <row r="2176" spans="1:9" x14ac:dyDescent="0.15">
      <c r="A2176" s="9">
        <v>2175</v>
      </c>
      <c r="B2176" s="9" t="s">
        <v>9</v>
      </c>
      <c r="C2176" s="9">
        <v>1910</v>
      </c>
      <c r="D2176" s="10">
        <v>45602</v>
      </c>
      <c r="E2176" s="13" t="str">
        <f>+HYPERLINK("http://trademark.i-assist.jp/data/china/image_1910th/80267545.pdf","80267545")</f>
        <v>80267545</v>
      </c>
      <c r="F2176" s="9" t="s">
        <v>6005</v>
      </c>
      <c r="G2176" s="9" t="s">
        <v>6006</v>
      </c>
      <c r="H2176" s="11" t="s">
        <v>6007</v>
      </c>
      <c r="I2176" s="10">
        <v>45513</v>
      </c>
    </row>
    <row r="2177" spans="1:9" x14ac:dyDescent="0.15">
      <c r="A2177" s="9">
        <v>2176</v>
      </c>
      <c r="B2177" s="9" t="s">
        <v>9</v>
      </c>
      <c r="C2177" s="9">
        <v>1910</v>
      </c>
      <c r="D2177" s="10">
        <v>45602</v>
      </c>
      <c r="E2177" s="13" t="str">
        <f>+HYPERLINK("http://trademark.i-assist.jp/data/china/image_1910th/80267592.pdf","80267592")</f>
        <v>80267592</v>
      </c>
      <c r="F2177" s="9" t="s">
        <v>6008</v>
      </c>
      <c r="G2177" s="9" t="s">
        <v>6009</v>
      </c>
      <c r="H2177" s="9" t="s">
        <v>6010</v>
      </c>
      <c r="I2177" s="10">
        <v>45513</v>
      </c>
    </row>
    <row r="2178" spans="1:9" x14ac:dyDescent="0.15">
      <c r="A2178" s="9">
        <v>2177</v>
      </c>
      <c r="B2178" s="9" t="s">
        <v>9</v>
      </c>
      <c r="C2178" s="9">
        <v>1910</v>
      </c>
      <c r="D2178" s="10">
        <v>45602</v>
      </c>
      <c r="E2178" s="13" t="str">
        <f>+HYPERLINK("http://trademark.i-assist.jp/data/china/image_1910th/80267596.pdf","80267596")</f>
        <v>80267596</v>
      </c>
      <c r="F2178" s="9" t="s">
        <v>6011</v>
      </c>
      <c r="G2178" s="9" t="s">
        <v>6012</v>
      </c>
      <c r="H2178" s="9" t="s">
        <v>6013</v>
      </c>
      <c r="I2178" s="10">
        <v>45513</v>
      </c>
    </row>
    <row r="2179" spans="1:9" x14ac:dyDescent="0.15">
      <c r="A2179" s="9">
        <v>2178</v>
      </c>
      <c r="B2179" s="9" t="s">
        <v>9</v>
      </c>
      <c r="C2179" s="9">
        <v>1910</v>
      </c>
      <c r="D2179" s="10">
        <v>45602</v>
      </c>
      <c r="E2179" s="13" t="str">
        <f>+HYPERLINK("http://trademark.i-assist.jp/data/china/image_1910th/80267840.pdf","80267840")</f>
        <v>80267840</v>
      </c>
      <c r="F2179" s="9" t="s">
        <v>6014</v>
      </c>
      <c r="G2179" s="11" t="s">
        <v>6015</v>
      </c>
      <c r="H2179" s="9" t="s">
        <v>6016</v>
      </c>
      <c r="I2179" s="10">
        <v>45513</v>
      </c>
    </row>
    <row r="2180" spans="1:9" x14ac:dyDescent="0.15">
      <c r="A2180" s="9">
        <v>2179</v>
      </c>
      <c r="B2180" s="9" t="s">
        <v>9</v>
      </c>
      <c r="C2180" s="9">
        <v>1910</v>
      </c>
      <c r="D2180" s="10">
        <v>45602</v>
      </c>
      <c r="E2180" s="13" t="str">
        <f>+HYPERLINK("http://trademark.i-assist.jp/data/china/image_1910th/80267999.pdf","80267999")</f>
        <v>80267999</v>
      </c>
      <c r="F2180" s="9" t="s">
        <v>6017</v>
      </c>
      <c r="G2180" s="11" t="s">
        <v>6018</v>
      </c>
      <c r="H2180" s="9" t="s">
        <v>6019</v>
      </c>
      <c r="I2180" s="10">
        <v>45513</v>
      </c>
    </row>
    <row r="2181" spans="1:9" x14ac:dyDescent="0.15">
      <c r="A2181" s="9">
        <v>2180</v>
      </c>
      <c r="B2181" s="9" t="s">
        <v>9</v>
      </c>
      <c r="C2181" s="9">
        <v>1910</v>
      </c>
      <c r="D2181" s="10">
        <v>45602</v>
      </c>
      <c r="E2181" s="13" t="str">
        <f>+HYPERLINK("http://trademark.i-assist.jp/data/china/image_1910th/80268009.pdf","80268009")</f>
        <v>80268009</v>
      </c>
      <c r="F2181" s="9" t="s">
        <v>6020</v>
      </c>
      <c r="G2181" s="9" t="s">
        <v>6021</v>
      </c>
      <c r="H2181" s="9" t="s">
        <v>6022</v>
      </c>
      <c r="I2181" s="10">
        <v>45513</v>
      </c>
    </row>
    <row r="2182" spans="1:9" x14ac:dyDescent="0.15">
      <c r="A2182" s="9">
        <v>2181</v>
      </c>
      <c r="B2182" s="9" t="s">
        <v>9</v>
      </c>
      <c r="C2182" s="9">
        <v>1910</v>
      </c>
      <c r="D2182" s="10">
        <v>45602</v>
      </c>
      <c r="E2182" s="13" t="str">
        <f>+HYPERLINK("http://trademark.i-assist.jp/data/china/image_1910th/80268256.pdf","80268256")</f>
        <v>80268256</v>
      </c>
      <c r="F2182" s="11" t="s">
        <v>6023</v>
      </c>
      <c r="G2182" s="11" t="s">
        <v>6024</v>
      </c>
      <c r="H2182" s="9" t="s">
        <v>6025</v>
      </c>
      <c r="I2182" s="10">
        <v>45513</v>
      </c>
    </row>
    <row r="2183" spans="1:9" x14ac:dyDescent="0.15">
      <c r="A2183" s="9">
        <v>2182</v>
      </c>
      <c r="B2183" s="9" t="s">
        <v>9</v>
      </c>
      <c r="C2183" s="9">
        <v>1910</v>
      </c>
      <c r="D2183" s="10">
        <v>45602</v>
      </c>
      <c r="E2183" s="13" t="str">
        <f>+HYPERLINK("http://trademark.i-assist.jp/data/china/image_1910th/80268558.pdf","80268558")</f>
        <v>80268558</v>
      </c>
      <c r="F2183" s="9" t="s">
        <v>6026</v>
      </c>
      <c r="G2183" s="9" t="s">
        <v>6027</v>
      </c>
      <c r="H2183" s="9" t="s">
        <v>6028</v>
      </c>
      <c r="I2183" s="10">
        <v>45513</v>
      </c>
    </row>
    <row r="2184" spans="1:9" x14ac:dyDescent="0.15">
      <c r="A2184" s="9">
        <v>2183</v>
      </c>
      <c r="B2184" s="9" t="s">
        <v>9</v>
      </c>
      <c r="C2184" s="9">
        <v>1910</v>
      </c>
      <c r="D2184" s="10">
        <v>45602</v>
      </c>
      <c r="E2184" s="13" t="str">
        <f>+HYPERLINK("http://trademark.i-assist.jp/data/china/image_1910th/80268664.pdf","80268664")</f>
        <v>80268664</v>
      </c>
      <c r="F2184" s="11" t="s">
        <v>6029</v>
      </c>
      <c r="G2184" s="9" t="s">
        <v>71</v>
      </c>
      <c r="H2184" s="9" t="s">
        <v>6030</v>
      </c>
      <c r="I2184" s="10">
        <v>45513</v>
      </c>
    </row>
    <row r="2185" spans="1:9" x14ac:dyDescent="0.15">
      <c r="A2185" s="9">
        <v>2184</v>
      </c>
      <c r="B2185" s="9" t="s">
        <v>9</v>
      </c>
      <c r="C2185" s="9">
        <v>1910</v>
      </c>
      <c r="D2185" s="10">
        <v>45602</v>
      </c>
      <c r="E2185" s="13" t="str">
        <f>+HYPERLINK("http://trademark.i-assist.jp/data/china/image_1910th/80268869.pdf","80268869")</f>
        <v>80268869</v>
      </c>
      <c r="F2185" s="9" t="s">
        <v>6031</v>
      </c>
      <c r="G2185" s="9" t="s">
        <v>6032</v>
      </c>
      <c r="H2185" s="9" t="s">
        <v>6033</v>
      </c>
      <c r="I2185" s="10">
        <v>45513</v>
      </c>
    </row>
    <row r="2186" spans="1:9" x14ac:dyDescent="0.15">
      <c r="A2186" s="9">
        <v>2185</v>
      </c>
      <c r="B2186" s="9" t="s">
        <v>9</v>
      </c>
      <c r="C2186" s="9">
        <v>1910</v>
      </c>
      <c r="D2186" s="10">
        <v>45602</v>
      </c>
      <c r="E2186" s="13" t="str">
        <f>+HYPERLINK("http://trademark.i-assist.jp/data/china/image_1910th/80268977.pdf","80268977")</f>
        <v>80268977</v>
      </c>
      <c r="F2186" s="9" t="s">
        <v>6034</v>
      </c>
      <c r="G2186" s="9" t="s">
        <v>6035</v>
      </c>
      <c r="H2186" s="9" t="s">
        <v>6036</v>
      </c>
      <c r="I2186" s="10">
        <v>45513</v>
      </c>
    </row>
    <row r="2187" spans="1:9" x14ac:dyDescent="0.15">
      <c r="A2187" s="9">
        <v>2186</v>
      </c>
      <c r="B2187" s="9" t="s">
        <v>9</v>
      </c>
      <c r="C2187" s="9">
        <v>1910</v>
      </c>
      <c r="D2187" s="10">
        <v>45602</v>
      </c>
      <c r="E2187" s="13" t="str">
        <f>+HYPERLINK("http://trademark.i-assist.jp/data/china/image_1910th/80268984.pdf","80268984")</f>
        <v>80268984</v>
      </c>
      <c r="F2187" s="11" t="s">
        <v>6037</v>
      </c>
      <c r="G2187" s="9" t="s">
        <v>6035</v>
      </c>
      <c r="H2187" s="9" t="s">
        <v>6038</v>
      </c>
      <c r="I2187" s="10">
        <v>45513</v>
      </c>
    </row>
    <row r="2188" spans="1:9" x14ac:dyDescent="0.15">
      <c r="A2188" s="9">
        <v>2187</v>
      </c>
      <c r="B2188" s="9" t="s">
        <v>9</v>
      </c>
      <c r="C2188" s="9">
        <v>1910</v>
      </c>
      <c r="D2188" s="10">
        <v>45602</v>
      </c>
      <c r="E2188" s="13" t="str">
        <f>+HYPERLINK("http://trademark.i-assist.jp/data/china/image_1910th/80268989.pdf","80268989")</f>
        <v>80268989</v>
      </c>
      <c r="F2188" s="9" t="s">
        <v>6039</v>
      </c>
      <c r="G2188" s="9" t="s">
        <v>6040</v>
      </c>
      <c r="H2188" s="9" t="s">
        <v>6041</v>
      </c>
      <c r="I2188" s="10">
        <v>45513</v>
      </c>
    </row>
    <row r="2189" spans="1:9" x14ac:dyDescent="0.15">
      <c r="A2189" s="9">
        <v>2188</v>
      </c>
      <c r="B2189" s="9" t="s">
        <v>9</v>
      </c>
      <c r="C2189" s="9">
        <v>1910</v>
      </c>
      <c r="D2189" s="10">
        <v>45602</v>
      </c>
      <c r="E2189" s="13" t="str">
        <f>+HYPERLINK("http://trademark.i-assist.jp/data/china/image_1910th/80269062.pdf","80269062")</f>
        <v>80269062</v>
      </c>
      <c r="F2189" s="9" t="s">
        <v>6042</v>
      </c>
      <c r="G2189" s="11" t="s">
        <v>6043</v>
      </c>
      <c r="H2189" s="9" t="s">
        <v>6044</v>
      </c>
      <c r="I2189" s="10">
        <v>45513</v>
      </c>
    </row>
    <row r="2190" spans="1:9" x14ac:dyDescent="0.15">
      <c r="A2190" s="9">
        <v>2189</v>
      </c>
      <c r="B2190" s="9" t="s">
        <v>9</v>
      </c>
      <c r="C2190" s="9">
        <v>1910</v>
      </c>
      <c r="D2190" s="10">
        <v>45602</v>
      </c>
      <c r="E2190" s="13" t="str">
        <f>+HYPERLINK("http://trademark.i-assist.jp/data/china/image_1910th/80269140.pdf","80269140")</f>
        <v>80269140</v>
      </c>
      <c r="F2190" s="9" t="s">
        <v>6045</v>
      </c>
      <c r="G2190" s="9" t="s">
        <v>6046</v>
      </c>
      <c r="H2190" s="9" t="s">
        <v>6047</v>
      </c>
      <c r="I2190" s="10">
        <v>45513</v>
      </c>
    </row>
    <row r="2191" spans="1:9" x14ac:dyDescent="0.15">
      <c r="A2191" s="9">
        <v>2190</v>
      </c>
      <c r="B2191" s="9" t="s">
        <v>9</v>
      </c>
      <c r="C2191" s="9">
        <v>1910</v>
      </c>
      <c r="D2191" s="10">
        <v>45602</v>
      </c>
      <c r="E2191" s="13" t="str">
        <f>+HYPERLINK("http://trademark.i-assist.jp/data/china/image_1910th/80269506.pdf","80269506")</f>
        <v>80269506</v>
      </c>
      <c r="F2191" s="9" t="s">
        <v>6048</v>
      </c>
      <c r="G2191" s="9" t="s">
        <v>6049</v>
      </c>
      <c r="H2191" s="11" t="s">
        <v>6050</v>
      </c>
      <c r="I2191" s="10">
        <v>45513</v>
      </c>
    </row>
    <row r="2192" spans="1:9" x14ac:dyDescent="0.15">
      <c r="A2192" s="9">
        <v>2191</v>
      </c>
      <c r="B2192" s="9" t="s">
        <v>9</v>
      </c>
      <c r="C2192" s="9">
        <v>1910</v>
      </c>
      <c r="D2192" s="10">
        <v>45602</v>
      </c>
      <c r="E2192" s="13" t="str">
        <f>+HYPERLINK("http://trademark.i-assist.jp/data/china/image_1910th/80269600.pdf","80269600")</f>
        <v>80269600</v>
      </c>
      <c r="F2192" s="9" t="s">
        <v>6051</v>
      </c>
      <c r="G2192" s="9" t="s">
        <v>6052</v>
      </c>
      <c r="H2192" s="9" t="s">
        <v>6053</v>
      </c>
      <c r="I2192" s="10">
        <v>45513</v>
      </c>
    </row>
    <row r="2193" spans="1:9" x14ac:dyDescent="0.15">
      <c r="A2193" s="9">
        <v>2192</v>
      </c>
      <c r="B2193" s="9" t="s">
        <v>9</v>
      </c>
      <c r="C2193" s="9">
        <v>1910</v>
      </c>
      <c r="D2193" s="10">
        <v>45602</v>
      </c>
      <c r="E2193" s="13" t="str">
        <f>+HYPERLINK("http://trademark.i-assist.jp/data/china/image_1910th/80269646.pdf","80269646")</f>
        <v>80269646</v>
      </c>
      <c r="F2193" s="9" t="s">
        <v>6054</v>
      </c>
      <c r="G2193" s="11" t="s">
        <v>6055</v>
      </c>
      <c r="H2193" s="9" t="s">
        <v>6056</v>
      </c>
      <c r="I2193" s="10">
        <v>45513</v>
      </c>
    </row>
    <row r="2194" spans="1:9" x14ac:dyDescent="0.15">
      <c r="A2194" s="9">
        <v>2193</v>
      </c>
      <c r="B2194" s="9" t="s">
        <v>9</v>
      </c>
      <c r="C2194" s="9">
        <v>1910</v>
      </c>
      <c r="D2194" s="10">
        <v>45602</v>
      </c>
      <c r="E2194" s="13" t="str">
        <f>+HYPERLINK("http://trademark.i-assist.jp/data/china/image_1910th/80269647.pdf","80269647")</f>
        <v>80269647</v>
      </c>
      <c r="F2194" s="9" t="s">
        <v>6057</v>
      </c>
      <c r="G2194" s="11" t="s">
        <v>6058</v>
      </c>
      <c r="H2194" s="9" t="s">
        <v>6059</v>
      </c>
      <c r="I2194" s="10">
        <v>45513</v>
      </c>
    </row>
    <row r="2195" spans="1:9" x14ac:dyDescent="0.15">
      <c r="A2195" s="9">
        <v>2194</v>
      </c>
      <c r="B2195" s="9" t="s">
        <v>9</v>
      </c>
      <c r="C2195" s="9">
        <v>1910</v>
      </c>
      <c r="D2195" s="10">
        <v>45602</v>
      </c>
      <c r="E2195" s="13" t="str">
        <f>+HYPERLINK("http://trademark.i-assist.jp/data/china/image_1910th/80269766.pdf","80269766")</f>
        <v>80269766</v>
      </c>
      <c r="F2195" s="9" t="s">
        <v>6060</v>
      </c>
      <c r="G2195" s="9" t="s">
        <v>6061</v>
      </c>
      <c r="H2195" s="11" t="s">
        <v>6062</v>
      </c>
      <c r="I2195" s="10">
        <v>45513</v>
      </c>
    </row>
    <row r="2196" spans="1:9" x14ac:dyDescent="0.15">
      <c r="A2196" s="9">
        <v>2195</v>
      </c>
      <c r="B2196" s="9" t="s">
        <v>9</v>
      </c>
      <c r="C2196" s="9">
        <v>1910</v>
      </c>
      <c r="D2196" s="10">
        <v>45602</v>
      </c>
      <c r="E2196" s="13" t="str">
        <f>+HYPERLINK("http://trademark.i-assist.jp/data/china/image_1910th/80269934.pdf","80269934")</f>
        <v>80269934</v>
      </c>
      <c r="F2196" s="9" t="s">
        <v>6063</v>
      </c>
      <c r="G2196" s="9" t="s">
        <v>6064</v>
      </c>
      <c r="H2196" s="9" t="s">
        <v>6065</v>
      </c>
      <c r="I2196" s="10">
        <v>45513</v>
      </c>
    </row>
    <row r="2197" spans="1:9" x14ac:dyDescent="0.15">
      <c r="A2197" s="9">
        <v>2196</v>
      </c>
      <c r="B2197" s="9" t="s">
        <v>9</v>
      </c>
      <c r="C2197" s="9">
        <v>1910</v>
      </c>
      <c r="D2197" s="10">
        <v>45602</v>
      </c>
      <c r="E2197" s="13" t="str">
        <f>+HYPERLINK("http://trademark.i-assist.jp/data/china/image_1910th/80269991.pdf","80269991")</f>
        <v>80269991</v>
      </c>
      <c r="F2197" s="9" t="s">
        <v>6066</v>
      </c>
      <c r="G2197" s="9" t="s">
        <v>6067</v>
      </c>
      <c r="H2197" s="9" t="s">
        <v>6068</v>
      </c>
      <c r="I2197" s="10">
        <v>45513</v>
      </c>
    </row>
    <row r="2198" spans="1:9" x14ac:dyDescent="0.15">
      <c r="A2198" s="9">
        <v>2197</v>
      </c>
      <c r="B2198" s="9" t="s">
        <v>9</v>
      </c>
      <c r="C2198" s="9">
        <v>1910</v>
      </c>
      <c r="D2198" s="10">
        <v>45602</v>
      </c>
      <c r="E2198" s="13" t="str">
        <f>+HYPERLINK("http://trademark.i-assist.jp/data/china/image_1910th/80270046.pdf","80270046")</f>
        <v>80270046</v>
      </c>
      <c r="F2198" s="11" t="s">
        <v>6069</v>
      </c>
      <c r="G2198" s="9" t="s">
        <v>192</v>
      </c>
      <c r="H2198" s="11" t="s">
        <v>6070</v>
      </c>
      <c r="I2198" s="10">
        <v>45513</v>
      </c>
    </row>
    <row r="2199" spans="1:9" x14ac:dyDescent="0.15">
      <c r="A2199" s="9">
        <v>2198</v>
      </c>
      <c r="B2199" s="9" t="s">
        <v>9</v>
      </c>
      <c r="C2199" s="9">
        <v>1910</v>
      </c>
      <c r="D2199" s="10">
        <v>45602</v>
      </c>
      <c r="E2199" s="13" t="str">
        <f>+HYPERLINK("http://trademark.i-assist.jp/data/china/image_1910th/80270096.pdf","80270096")</f>
        <v>80270096</v>
      </c>
      <c r="F2199" s="9" t="s">
        <v>6071</v>
      </c>
      <c r="G2199" s="11" t="s">
        <v>6072</v>
      </c>
      <c r="H2199" s="9" t="s">
        <v>6073</v>
      </c>
      <c r="I2199" s="10">
        <v>45513</v>
      </c>
    </row>
    <row r="2200" spans="1:9" x14ac:dyDescent="0.15">
      <c r="A2200" s="9">
        <v>2199</v>
      </c>
      <c r="B2200" s="9" t="s">
        <v>9</v>
      </c>
      <c r="C2200" s="9">
        <v>1910</v>
      </c>
      <c r="D2200" s="10">
        <v>45602</v>
      </c>
      <c r="E2200" s="13" t="str">
        <f>+HYPERLINK("http://trademark.i-assist.jp/data/china/image_1910th/80270105.pdf","80270105")</f>
        <v>80270105</v>
      </c>
      <c r="F2200" s="9" t="s">
        <v>6074</v>
      </c>
      <c r="G2200" s="11" t="s">
        <v>6072</v>
      </c>
      <c r="H2200" s="9" t="s">
        <v>6075</v>
      </c>
      <c r="I2200" s="10">
        <v>45513</v>
      </c>
    </row>
    <row r="2201" spans="1:9" x14ac:dyDescent="0.15">
      <c r="A2201" s="9">
        <v>2200</v>
      </c>
      <c r="B2201" s="9" t="s">
        <v>9</v>
      </c>
      <c r="C2201" s="9">
        <v>1910</v>
      </c>
      <c r="D2201" s="10">
        <v>45602</v>
      </c>
      <c r="E2201" s="13" t="str">
        <f>+HYPERLINK("http://trademark.i-assist.jp/data/china/image_1910th/80270184.pdf","80270184")</f>
        <v>80270184</v>
      </c>
      <c r="F2201" s="9" t="s">
        <v>6076</v>
      </c>
      <c r="G2201" s="9" t="s">
        <v>5392</v>
      </c>
      <c r="H2201" s="9" t="s">
        <v>6077</v>
      </c>
      <c r="I2201" s="10">
        <v>45513</v>
      </c>
    </row>
    <row r="2202" spans="1:9" x14ac:dyDescent="0.15">
      <c r="A2202" s="9">
        <v>2201</v>
      </c>
      <c r="B2202" s="9" t="s">
        <v>9</v>
      </c>
      <c r="C2202" s="9">
        <v>1910</v>
      </c>
      <c r="D2202" s="10">
        <v>45602</v>
      </c>
      <c r="E2202" s="13" t="str">
        <f>+HYPERLINK("http://trademark.i-assist.jp/data/china/image_1910th/80270273.pdf","80270273")</f>
        <v>80270273</v>
      </c>
      <c r="F2202" s="11" t="s">
        <v>6078</v>
      </c>
      <c r="G2202" s="9" t="s">
        <v>6079</v>
      </c>
      <c r="H2202" s="9" t="s">
        <v>6080</v>
      </c>
      <c r="I2202" s="10">
        <v>45513</v>
      </c>
    </row>
    <row r="2203" spans="1:9" x14ac:dyDescent="0.15">
      <c r="A2203" s="9">
        <v>2202</v>
      </c>
      <c r="B2203" s="9" t="s">
        <v>9</v>
      </c>
      <c r="C2203" s="9">
        <v>1910</v>
      </c>
      <c r="D2203" s="10">
        <v>45602</v>
      </c>
      <c r="E2203" s="13" t="str">
        <f>+HYPERLINK("http://trademark.i-assist.jp/data/china/image_1910th/80270417.pdf","80270417")</f>
        <v>80270417</v>
      </c>
      <c r="F2203" s="11" t="s">
        <v>6081</v>
      </c>
      <c r="G2203" s="9" t="s">
        <v>6082</v>
      </c>
      <c r="H2203" s="9" t="s">
        <v>6083</v>
      </c>
      <c r="I2203" s="10">
        <v>45513</v>
      </c>
    </row>
    <row r="2204" spans="1:9" x14ac:dyDescent="0.15">
      <c r="A2204" s="9">
        <v>2203</v>
      </c>
      <c r="B2204" s="9" t="s">
        <v>9</v>
      </c>
      <c r="C2204" s="9">
        <v>1910</v>
      </c>
      <c r="D2204" s="10">
        <v>45602</v>
      </c>
      <c r="E2204" s="13" t="str">
        <f>+HYPERLINK("http://trademark.i-assist.jp/data/china/image_1910th/80270566.pdf","80270566")</f>
        <v>80270566</v>
      </c>
      <c r="F2204" s="11" t="s">
        <v>6084</v>
      </c>
      <c r="G2204" s="9" t="s">
        <v>6085</v>
      </c>
      <c r="H2204" s="9" t="s">
        <v>6086</v>
      </c>
      <c r="I2204" s="10">
        <v>45513</v>
      </c>
    </row>
    <row r="2205" spans="1:9" x14ac:dyDescent="0.15">
      <c r="A2205" s="9">
        <v>2204</v>
      </c>
      <c r="B2205" s="9" t="s">
        <v>9</v>
      </c>
      <c r="C2205" s="9">
        <v>1910</v>
      </c>
      <c r="D2205" s="10">
        <v>45602</v>
      </c>
      <c r="E2205" s="13" t="str">
        <f>+HYPERLINK("http://trademark.i-assist.jp/data/china/image_1910th/80270573.pdf","80270573")</f>
        <v>80270573</v>
      </c>
      <c r="F2205" s="11" t="s">
        <v>6087</v>
      </c>
      <c r="G2205" s="9" t="s">
        <v>6088</v>
      </c>
      <c r="H2205" s="9" t="s">
        <v>6089</v>
      </c>
      <c r="I2205" s="10">
        <v>45513</v>
      </c>
    </row>
    <row r="2206" spans="1:9" x14ac:dyDescent="0.15">
      <c r="A2206" s="9">
        <v>2205</v>
      </c>
      <c r="B2206" s="9" t="s">
        <v>9</v>
      </c>
      <c r="C2206" s="9">
        <v>1910</v>
      </c>
      <c r="D2206" s="10">
        <v>45602</v>
      </c>
      <c r="E2206" s="13" t="str">
        <f>+HYPERLINK("http://trademark.i-assist.jp/data/china/image_1910th/80270788.pdf","80270788")</f>
        <v>80270788</v>
      </c>
      <c r="F2206" s="9" t="s">
        <v>6090</v>
      </c>
      <c r="G2206" s="9" t="s">
        <v>6091</v>
      </c>
      <c r="H2206" s="9" t="s">
        <v>6092</v>
      </c>
      <c r="I2206" s="10">
        <v>45513</v>
      </c>
    </row>
    <row r="2207" spans="1:9" x14ac:dyDescent="0.15">
      <c r="A2207" s="9">
        <v>2206</v>
      </c>
      <c r="B2207" s="9" t="s">
        <v>9</v>
      </c>
      <c r="C2207" s="9">
        <v>1910</v>
      </c>
      <c r="D2207" s="10">
        <v>45602</v>
      </c>
      <c r="E2207" s="13" t="str">
        <f>+HYPERLINK("http://trademark.i-assist.jp/data/china/image_1910th/80270821.pdf","80270821")</f>
        <v>80270821</v>
      </c>
      <c r="F2207" s="9" t="s">
        <v>6093</v>
      </c>
      <c r="G2207" s="9" t="s">
        <v>6094</v>
      </c>
      <c r="H2207" s="9" t="s">
        <v>6095</v>
      </c>
      <c r="I2207" s="10">
        <v>45513</v>
      </c>
    </row>
    <row r="2208" spans="1:9" x14ac:dyDescent="0.15">
      <c r="A2208" s="9">
        <v>2207</v>
      </c>
      <c r="B2208" s="9" t="s">
        <v>9</v>
      </c>
      <c r="C2208" s="9">
        <v>1910</v>
      </c>
      <c r="D2208" s="10">
        <v>45602</v>
      </c>
      <c r="E2208" s="13" t="str">
        <f>+HYPERLINK("http://trademark.i-assist.jp/data/china/image_1910th/80270840.pdf","80270840")</f>
        <v>80270840</v>
      </c>
      <c r="F2208" s="9" t="s">
        <v>6096</v>
      </c>
      <c r="G2208" s="11" t="s">
        <v>6097</v>
      </c>
      <c r="H2208" s="9" t="s">
        <v>6098</v>
      </c>
      <c r="I2208" s="10">
        <v>45513</v>
      </c>
    </row>
    <row r="2209" spans="1:9" x14ac:dyDescent="0.15">
      <c r="A2209" s="9">
        <v>2208</v>
      </c>
      <c r="B2209" s="9" t="s">
        <v>9</v>
      </c>
      <c r="C2209" s="9">
        <v>1910</v>
      </c>
      <c r="D2209" s="10">
        <v>45602</v>
      </c>
      <c r="E2209" s="13" t="str">
        <f>+HYPERLINK("http://trademark.i-assist.jp/data/china/image_1910th/80270933.pdf","80270933")</f>
        <v>80270933</v>
      </c>
      <c r="F2209" s="9" t="s">
        <v>6099</v>
      </c>
      <c r="G2209" s="9" t="s">
        <v>6100</v>
      </c>
      <c r="H2209" s="9" t="s">
        <v>6101</v>
      </c>
      <c r="I2209" s="10">
        <v>45513</v>
      </c>
    </row>
    <row r="2210" spans="1:9" x14ac:dyDescent="0.15">
      <c r="A2210" s="9">
        <v>2209</v>
      </c>
      <c r="B2210" s="9" t="s">
        <v>9</v>
      </c>
      <c r="C2210" s="9">
        <v>1910</v>
      </c>
      <c r="D2210" s="10">
        <v>45602</v>
      </c>
      <c r="E2210" s="13" t="str">
        <f>+HYPERLINK("http://trademark.i-assist.jp/data/china/image_1910th/80271162.pdf","80271162")</f>
        <v>80271162</v>
      </c>
      <c r="F2210" s="9" t="s">
        <v>6102</v>
      </c>
      <c r="G2210" s="9" t="s">
        <v>6103</v>
      </c>
      <c r="H2210" s="9" t="s">
        <v>6104</v>
      </c>
      <c r="I2210" s="10">
        <v>45513</v>
      </c>
    </row>
    <row r="2211" spans="1:9" x14ac:dyDescent="0.15">
      <c r="A2211" s="9">
        <v>2210</v>
      </c>
      <c r="B2211" s="9" t="s">
        <v>9</v>
      </c>
      <c r="C2211" s="9">
        <v>1910</v>
      </c>
      <c r="D2211" s="10">
        <v>45602</v>
      </c>
      <c r="E2211" s="13" t="str">
        <f>+HYPERLINK("http://trademark.i-assist.jp/data/china/image_1910th/80271176.pdf","80271176")</f>
        <v>80271176</v>
      </c>
      <c r="F2211" s="11" t="s">
        <v>6105</v>
      </c>
      <c r="G2211" s="9" t="s">
        <v>6106</v>
      </c>
      <c r="H2211" s="9" t="s">
        <v>6107</v>
      </c>
      <c r="I2211" s="10">
        <v>45513</v>
      </c>
    </row>
    <row r="2212" spans="1:9" x14ac:dyDescent="0.15">
      <c r="A2212" s="9">
        <v>2211</v>
      </c>
      <c r="B2212" s="9" t="s">
        <v>9</v>
      </c>
      <c r="C2212" s="9">
        <v>1910</v>
      </c>
      <c r="D2212" s="10">
        <v>45602</v>
      </c>
      <c r="E2212" s="13" t="str">
        <f>+HYPERLINK("http://trademark.i-assist.jp/data/china/image_1910th/80271191.pdf","80271191")</f>
        <v>80271191</v>
      </c>
      <c r="F2212" s="9" t="s">
        <v>6108</v>
      </c>
      <c r="G2212" s="9" t="s">
        <v>6103</v>
      </c>
      <c r="H2212" s="9" t="s">
        <v>6109</v>
      </c>
      <c r="I2212" s="10">
        <v>45513</v>
      </c>
    </row>
    <row r="2213" spans="1:9" x14ac:dyDescent="0.15">
      <c r="A2213" s="9">
        <v>2212</v>
      </c>
      <c r="B2213" s="9" t="s">
        <v>9</v>
      </c>
      <c r="C2213" s="9">
        <v>1910</v>
      </c>
      <c r="D2213" s="10">
        <v>45602</v>
      </c>
      <c r="E2213" s="13" t="str">
        <f>+HYPERLINK("http://trademark.i-assist.jp/data/china/image_1910th/80271327.pdf","80271327")</f>
        <v>80271327</v>
      </c>
      <c r="F2213" s="9" t="s">
        <v>6110</v>
      </c>
      <c r="G2213" s="9" t="s">
        <v>6111</v>
      </c>
      <c r="H2213" s="9" t="s">
        <v>6112</v>
      </c>
      <c r="I2213" s="10">
        <v>45513</v>
      </c>
    </row>
    <row r="2214" spans="1:9" x14ac:dyDescent="0.15">
      <c r="A2214" s="9">
        <v>2213</v>
      </c>
      <c r="B2214" s="9" t="s">
        <v>9</v>
      </c>
      <c r="C2214" s="9">
        <v>1910</v>
      </c>
      <c r="D2214" s="10">
        <v>45602</v>
      </c>
      <c r="E2214" s="13" t="str">
        <f>+HYPERLINK("http://trademark.i-assist.jp/data/china/image_1910th/80271342.pdf","80271342")</f>
        <v>80271342</v>
      </c>
      <c r="F2214" s="9" t="s">
        <v>6113</v>
      </c>
      <c r="G2214" s="11" t="s">
        <v>6114</v>
      </c>
      <c r="H2214" s="9" t="s">
        <v>6115</v>
      </c>
      <c r="I2214" s="10">
        <v>45513</v>
      </c>
    </row>
    <row r="2215" spans="1:9" x14ac:dyDescent="0.15">
      <c r="A2215" s="9">
        <v>2214</v>
      </c>
      <c r="B2215" s="9" t="s">
        <v>9</v>
      </c>
      <c r="C2215" s="9">
        <v>1910</v>
      </c>
      <c r="D2215" s="10">
        <v>45602</v>
      </c>
      <c r="E2215" s="13" t="str">
        <f>+HYPERLINK("http://trademark.i-assist.jp/data/china/image_1910th/80271524.pdf","80271524")</f>
        <v>80271524</v>
      </c>
      <c r="F2215" s="9" t="s">
        <v>6116</v>
      </c>
      <c r="G2215" s="9" t="s">
        <v>6117</v>
      </c>
      <c r="H2215" s="9" t="s">
        <v>6118</v>
      </c>
      <c r="I2215" s="10">
        <v>45513</v>
      </c>
    </row>
    <row r="2216" spans="1:9" x14ac:dyDescent="0.15">
      <c r="A2216" s="9">
        <v>2215</v>
      </c>
      <c r="B2216" s="9" t="s">
        <v>9</v>
      </c>
      <c r="C2216" s="9">
        <v>1910</v>
      </c>
      <c r="D2216" s="10">
        <v>45602</v>
      </c>
      <c r="E2216" s="13" t="str">
        <f>+HYPERLINK("http://trademark.i-assist.jp/data/china/image_1910th/80271532.pdf","80271532")</f>
        <v>80271532</v>
      </c>
      <c r="F2216" s="9" t="s">
        <v>6119</v>
      </c>
      <c r="G2216" s="9" t="s">
        <v>6064</v>
      </c>
      <c r="H2216" s="11" t="s">
        <v>6120</v>
      </c>
      <c r="I2216" s="10">
        <v>45513</v>
      </c>
    </row>
    <row r="2217" spans="1:9" x14ac:dyDescent="0.15">
      <c r="A2217" s="9">
        <v>2216</v>
      </c>
      <c r="B2217" s="9" t="s">
        <v>9</v>
      </c>
      <c r="C2217" s="9">
        <v>1910</v>
      </c>
      <c r="D2217" s="10">
        <v>45602</v>
      </c>
      <c r="E2217" s="13" t="str">
        <f>+HYPERLINK("http://trademark.i-assist.jp/data/china/image_1910th/80271565.pdf","80271565")</f>
        <v>80271565</v>
      </c>
      <c r="F2217" s="9" t="s">
        <v>6121</v>
      </c>
      <c r="G2217" s="9" t="s">
        <v>6122</v>
      </c>
      <c r="H2217" s="9" t="s">
        <v>6123</v>
      </c>
      <c r="I2217" s="10">
        <v>45513</v>
      </c>
    </row>
    <row r="2218" spans="1:9" x14ac:dyDescent="0.15">
      <c r="A2218" s="9">
        <v>2217</v>
      </c>
      <c r="B2218" s="9" t="s">
        <v>9</v>
      </c>
      <c r="C2218" s="9">
        <v>1910</v>
      </c>
      <c r="D2218" s="10">
        <v>45602</v>
      </c>
      <c r="E2218" s="13" t="str">
        <f>+HYPERLINK("http://trademark.i-assist.jp/data/china/image_1910th/80271744.pdf","80271744")</f>
        <v>80271744</v>
      </c>
      <c r="F2218" s="9" t="s">
        <v>6124</v>
      </c>
      <c r="G2218" s="11" t="s">
        <v>5999</v>
      </c>
      <c r="H2218" s="9" t="s">
        <v>6125</v>
      </c>
      <c r="I2218" s="10">
        <v>45513</v>
      </c>
    </row>
    <row r="2219" spans="1:9" x14ac:dyDescent="0.15">
      <c r="A2219" s="9">
        <v>2218</v>
      </c>
      <c r="B2219" s="9" t="s">
        <v>9</v>
      </c>
      <c r="C2219" s="9">
        <v>1910</v>
      </c>
      <c r="D2219" s="10">
        <v>45602</v>
      </c>
      <c r="E2219" s="13" t="str">
        <f>+HYPERLINK("http://trademark.i-assist.jp/data/china/image_1910th/80271750.pdf","80271750")</f>
        <v>80271750</v>
      </c>
      <c r="F2219" s="9" t="s">
        <v>6126</v>
      </c>
      <c r="G2219" s="11" t="s">
        <v>6127</v>
      </c>
      <c r="H2219" s="9" t="s">
        <v>6128</v>
      </c>
      <c r="I2219" s="10">
        <v>45513</v>
      </c>
    </row>
    <row r="2220" spans="1:9" x14ac:dyDescent="0.15">
      <c r="A2220" s="9">
        <v>2219</v>
      </c>
      <c r="B2220" s="9" t="s">
        <v>9</v>
      </c>
      <c r="C2220" s="9">
        <v>1910</v>
      </c>
      <c r="D2220" s="10">
        <v>45602</v>
      </c>
      <c r="E2220" s="13" t="str">
        <f>+HYPERLINK("http://trademark.i-assist.jp/data/china/image_1910th/80271761.pdf","80271761")</f>
        <v>80271761</v>
      </c>
      <c r="F2220" s="9" t="s">
        <v>6129</v>
      </c>
      <c r="G2220" s="11" t="s">
        <v>5999</v>
      </c>
      <c r="H2220" s="9" t="s">
        <v>6130</v>
      </c>
      <c r="I2220" s="10">
        <v>45513</v>
      </c>
    </row>
    <row r="2221" spans="1:9" x14ac:dyDescent="0.15">
      <c r="A2221" s="9">
        <v>2220</v>
      </c>
      <c r="B2221" s="9" t="s">
        <v>9</v>
      </c>
      <c r="C2221" s="9">
        <v>1910</v>
      </c>
      <c r="D2221" s="10">
        <v>45602</v>
      </c>
      <c r="E2221" s="13" t="str">
        <f>+HYPERLINK("http://trademark.i-assist.jp/data/china/image_1910th/80271802.pdf","80271802")</f>
        <v>80271802</v>
      </c>
      <c r="F2221" s="9" t="s">
        <v>6131</v>
      </c>
      <c r="G2221" s="9" t="s">
        <v>6132</v>
      </c>
      <c r="H2221" s="9" t="s">
        <v>6133</v>
      </c>
      <c r="I2221" s="10">
        <v>45513</v>
      </c>
    </row>
    <row r="2222" spans="1:9" x14ac:dyDescent="0.15">
      <c r="A2222" s="9">
        <v>2221</v>
      </c>
      <c r="B2222" s="9" t="s">
        <v>9</v>
      </c>
      <c r="C2222" s="9">
        <v>1910</v>
      </c>
      <c r="D2222" s="10">
        <v>45602</v>
      </c>
      <c r="E2222" s="13" t="str">
        <f>+HYPERLINK("http://trademark.i-assist.jp/data/china/image_1910th/80271903.pdf","80271903")</f>
        <v>80271903</v>
      </c>
      <c r="F2222" s="11" t="s">
        <v>6134</v>
      </c>
      <c r="G2222" s="9" t="s">
        <v>6135</v>
      </c>
      <c r="H2222" s="9" t="s">
        <v>6136</v>
      </c>
      <c r="I2222" s="10">
        <v>45513</v>
      </c>
    </row>
    <row r="2223" spans="1:9" x14ac:dyDescent="0.15">
      <c r="A2223" s="9">
        <v>2222</v>
      </c>
      <c r="B2223" s="9" t="s">
        <v>9</v>
      </c>
      <c r="C2223" s="9">
        <v>1910</v>
      </c>
      <c r="D2223" s="10">
        <v>45602</v>
      </c>
      <c r="E2223" s="13" t="str">
        <f>+HYPERLINK("http://trademark.i-assist.jp/data/china/image_1910th/80272194.pdf","80272194")</f>
        <v>80272194</v>
      </c>
      <c r="F2223" s="9" t="s">
        <v>6137</v>
      </c>
      <c r="G2223" s="9" t="s">
        <v>6138</v>
      </c>
      <c r="H2223" s="11" t="s">
        <v>6139</v>
      </c>
      <c r="I2223" s="10">
        <v>45513</v>
      </c>
    </row>
    <row r="2224" spans="1:9" x14ac:dyDescent="0.15">
      <c r="A2224" s="9">
        <v>2223</v>
      </c>
      <c r="B2224" s="9" t="s">
        <v>9</v>
      </c>
      <c r="C2224" s="9">
        <v>1910</v>
      </c>
      <c r="D2224" s="10">
        <v>45602</v>
      </c>
      <c r="E2224" s="13" t="str">
        <f>+HYPERLINK("http://trademark.i-assist.jp/data/china/image_1910th/80272274.pdf","80272274")</f>
        <v>80272274</v>
      </c>
      <c r="F2224" s="9" t="s">
        <v>6140</v>
      </c>
      <c r="G2224" s="9" t="s">
        <v>6079</v>
      </c>
      <c r="H2224" s="9" t="s">
        <v>6141</v>
      </c>
      <c r="I2224" s="10">
        <v>45513</v>
      </c>
    </row>
    <row r="2225" spans="1:9" x14ac:dyDescent="0.15">
      <c r="A2225" s="9">
        <v>2224</v>
      </c>
      <c r="B2225" s="9" t="s">
        <v>9</v>
      </c>
      <c r="C2225" s="9">
        <v>1910</v>
      </c>
      <c r="D2225" s="10">
        <v>45602</v>
      </c>
      <c r="E2225" s="13" t="str">
        <f>+HYPERLINK("http://trademark.i-assist.jp/data/china/image_1910th/80272287.pdf","80272287")</f>
        <v>80272287</v>
      </c>
      <c r="F2225" s="11" t="s">
        <v>6142</v>
      </c>
      <c r="G2225" s="9" t="s">
        <v>6085</v>
      </c>
      <c r="H2225" s="9" t="s">
        <v>6143</v>
      </c>
      <c r="I2225" s="10">
        <v>45513</v>
      </c>
    </row>
    <row r="2226" spans="1:9" x14ac:dyDescent="0.15">
      <c r="A2226" s="9">
        <v>2225</v>
      </c>
      <c r="B2226" s="9" t="s">
        <v>9</v>
      </c>
      <c r="C2226" s="9">
        <v>1910</v>
      </c>
      <c r="D2226" s="10">
        <v>45602</v>
      </c>
      <c r="E2226" s="13" t="str">
        <f>+HYPERLINK("http://trademark.i-assist.jp/data/china/image_1910th/80272288.pdf","80272288")</f>
        <v>80272288</v>
      </c>
      <c r="F2226" s="9" t="s">
        <v>6144</v>
      </c>
      <c r="G2226" s="9" t="s">
        <v>6079</v>
      </c>
      <c r="H2226" s="9" t="s">
        <v>6145</v>
      </c>
      <c r="I2226" s="10">
        <v>45513</v>
      </c>
    </row>
    <row r="2227" spans="1:9" x14ac:dyDescent="0.15">
      <c r="A2227" s="9">
        <v>2226</v>
      </c>
      <c r="B2227" s="9" t="s">
        <v>9</v>
      </c>
      <c r="C2227" s="9">
        <v>1910</v>
      </c>
      <c r="D2227" s="10">
        <v>45602</v>
      </c>
      <c r="E2227" s="13" t="str">
        <f>+HYPERLINK("http://trademark.i-assist.jp/data/china/image_1910th/80272573.pdf","80272573")</f>
        <v>80272573</v>
      </c>
      <c r="F2227" s="9" t="s">
        <v>6146</v>
      </c>
      <c r="G2227" s="9" t="s">
        <v>6147</v>
      </c>
      <c r="H2227" s="9" t="s">
        <v>6148</v>
      </c>
      <c r="I2227" s="10">
        <v>45513</v>
      </c>
    </row>
    <row r="2228" spans="1:9" x14ac:dyDescent="0.15">
      <c r="A2228" s="9">
        <v>2227</v>
      </c>
      <c r="B2228" s="9" t="s">
        <v>9</v>
      </c>
      <c r="C2228" s="9">
        <v>1910</v>
      </c>
      <c r="D2228" s="10">
        <v>45602</v>
      </c>
      <c r="E2228" s="13" t="str">
        <f>+HYPERLINK("http://trademark.i-assist.jp/data/china/image_1910th/80272665.pdf","80272665")</f>
        <v>80272665</v>
      </c>
      <c r="F2228" s="9" t="s">
        <v>6149</v>
      </c>
      <c r="G2228" s="11" t="s">
        <v>6150</v>
      </c>
      <c r="H2228" s="9" t="s">
        <v>6151</v>
      </c>
      <c r="I2228" s="10">
        <v>45513</v>
      </c>
    </row>
    <row r="2229" spans="1:9" x14ac:dyDescent="0.15">
      <c r="A2229" s="9">
        <v>2228</v>
      </c>
      <c r="B2229" s="9" t="s">
        <v>9</v>
      </c>
      <c r="C2229" s="9">
        <v>1910</v>
      </c>
      <c r="D2229" s="10">
        <v>45602</v>
      </c>
      <c r="E2229" s="13" t="str">
        <f>+HYPERLINK("http://trademark.i-assist.jp/data/china/image_1910th/80272754.pdf","80272754")</f>
        <v>80272754</v>
      </c>
      <c r="F2229" s="11" t="s">
        <v>6152</v>
      </c>
      <c r="G2229" s="11" t="s">
        <v>6153</v>
      </c>
      <c r="H2229" s="9" t="s">
        <v>6154</v>
      </c>
      <c r="I2229" s="10">
        <v>45513</v>
      </c>
    </row>
    <row r="2230" spans="1:9" x14ac:dyDescent="0.15">
      <c r="A2230" s="9">
        <v>2229</v>
      </c>
      <c r="B2230" s="9" t="s">
        <v>9</v>
      </c>
      <c r="C2230" s="9">
        <v>1910</v>
      </c>
      <c r="D2230" s="10">
        <v>45602</v>
      </c>
      <c r="E2230" s="13" t="str">
        <f>+HYPERLINK("http://trademark.i-assist.jp/data/china/image_1910th/80272834.pdf","80272834")</f>
        <v>80272834</v>
      </c>
      <c r="F2230" s="9" t="s">
        <v>6155</v>
      </c>
      <c r="G2230" s="9" t="s">
        <v>6156</v>
      </c>
      <c r="H2230" s="9" t="s">
        <v>6157</v>
      </c>
      <c r="I2230" s="10">
        <v>45513</v>
      </c>
    </row>
    <row r="2231" spans="1:9" x14ac:dyDescent="0.15">
      <c r="A2231" s="9">
        <v>2230</v>
      </c>
      <c r="B2231" s="9" t="s">
        <v>9</v>
      </c>
      <c r="C2231" s="9">
        <v>1910</v>
      </c>
      <c r="D2231" s="10">
        <v>45602</v>
      </c>
      <c r="E2231" s="13" t="str">
        <f>+HYPERLINK("http://trademark.i-assist.jp/data/china/image_1910th/80272895.pdf","80272895")</f>
        <v>80272895</v>
      </c>
      <c r="F2231" s="11" t="s">
        <v>6158</v>
      </c>
      <c r="G2231" s="9" t="s">
        <v>6159</v>
      </c>
      <c r="H2231" s="11" t="s">
        <v>6160</v>
      </c>
      <c r="I2231" s="10">
        <v>45513</v>
      </c>
    </row>
    <row r="2232" spans="1:9" x14ac:dyDescent="0.15">
      <c r="A2232" s="9">
        <v>2231</v>
      </c>
      <c r="B2232" s="9" t="s">
        <v>9</v>
      </c>
      <c r="C2232" s="9">
        <v>1910</v>
      </c>
      <c r="D2232" s="10">
        <v>45602</v>
      </c>
      <c r="E2232" s="13" t="str">
        <f>+HYPERLINK("http://trademark.i-assist.jp/data/china/image_1910th/80272948.pdf","80272948")</f>
        <v>80272948</v>
      </c>
      <c r="F2232" s="9" t="s">
        <v>6161</v>
      </c>
      <c r="G2232" s="11" t="s">
        <v>2217</v>
      </c>
      <c r="H2232" s="9" t="s">
        <v>6162</v>
      </c>
      <c r="I2232" s="10">
        <v>45513</v>
      </c>
    </row>
    <row r="2233" spans="1:9" x14ac:dyDescent="0.15">
      <c r="A2233" s="9">
        <v>2232</v>
      </c>
      <c r="B2233" s="9" t="s">
        <v>9</v>
      </c>
      <c r="C2233" s="9">
        <v>1910</v>
      </c>
      <c r="D2233" s="10">
        <v>45602</v>
      </c>
      <c r="E2233" s="13" t="str">
        <f>+HYPERLINK("http://trademark.i-assist.jp/data/china/image_1910th/80272950.pdf","80272950")</f>
        <v>80272950</v>
      </c>
      <c r="F2233" s="9" t="s">
        <v>6163</v>
      </c>
      <c r="G2233" s="11" t="s">
        <v>6055</v>
      </c>
      <c r="H2233" s="9" t="s">
        <v>6164</v>
      </c>
      <c r="I2233" s="10">
        <v>45513</v>
      </c>
    </row>
    <row r="2234" spans="1:9" x14ac:dyDescent="0.15">
      <c r="A2234" s="9">
        <v>2233</v>
      </c>
      <c r="B2234" s="9" t="s">
        <v>9</v>
      </c>
      <c r="C2234" s="9">
        <v>1910</v>
      </c>
      <c r="D2234" s="10">
        <v>45602</v>
      </c>
      <c r="E2234" s="13" t="str">
        <f>+HYPERLINK("http://trademark.i-assist.jp/data/china/image_1910th/80273062.pdf","80273062")</f>
        <v>80273062</v>
      </c>
      <c r="F2234" s="9" t="s">
        <v>6165</v>
      </c>
      <c r="G2234" s="9" t="s">
        <v>188</v>
      </c>
      <c r="H2234" s="11" t="s">
        <v>6166</v>
      </c>
      <c r="I2234" s="10">
        <v>45513</v>
      </c>
    </row>
    <row r="2235" spans="1:9" x14ac:dyDescent="0.15">
      <c r="A2235" s="9">
        <v>2234</v>
      </c>
      <c r="B2235" s="9" t="s">
        <v>9</v>
      </c>
      <c r="C2235" s="9">
        <v>1910</v>
      </c>
      <c r="D2235" s="10">
        <v>45602</v>
      </c>
      <c r="E2235" s="13" t="str">
        <f>+HYPERLINK("http://trademark.i-assist.jp/data/china/image_1910th/80273085.pdf","80273085")</f>
        <v>80273085</v>
      </c>
      <c r="F2235" s="9" t="s">
        <v>6167</v>
      </c>
      <c r="G2235" s="11" t="s">
        <v>119</v>
      </c>
      <c r="H2235" s="9" t="s">
        <v>6168</v>
      </c>
      <c r="I2235" s="10">
        <v>45513</v>
      </c>
    </row>
    <row r="2236" spans="1:9" x14ac:dyDescent="0.15">
      <c r="A2236" s="9">
        <v>2235</v>
      </c>
      <c r="B2236" s="9" t="s">
        <v>9</v>
      </c>
      <c r="C2236" s="9">
        <v>1910</v>
      </c>
      <c r="D2236" s="10">
        <v>45602</v>
      </c>
      <c r="E2236" s="13" t="str">
        <f>+HYPERLINK("http://trademark.i-assist.jp/data/china/image_1910th/80273111.pdf","80273111")</f>
        <v>80273111</v>
      </c>
      <c r="F2236" s="9" t="s">
        <v>6169</v>
      </c>
      <c r="G2236" s="9" t="s">
        <v>6170</v>
      </c>
      <c r="H2236" s="9" t="s">
        <v>6171</v>
      </c>
      <c r="I2236" s="10">
        <v>45513</v>
      </c>
    </row>
    <row r="2237" spans="1:9" x14ac:dyDescent="0.15">
      <c r="A2237" s="9">
        <v>2236</v>
      </c>
      <c r="B2237" s="9" t="s">
        <v>9</v>
      </c>
      <c r="C2237" s="9">
        <v>1910</v>
      </c>
      <c r="D2237" s="10">
        <v>45602</v>
      </c>
      <c r="E2237" s="13" t="str">
        <f>+HYPERLINK("http://trademark.i-assist.jp/data/china/image_1910th/80273285.pdf","80273285")</f>
        <v>80273285</v>
      </c>
      <c r="F2237" s="11" t="s">
        <v>6172</v>
      </c>
      <c r="G2237" s="9" t="s">
        <v>6173</v>
      </c>
      <c r="H2237" s="9" t="s">
        <v>6174</v>
      </c>
      <c r="I2237" s="10">
        <v>45513</v>
      </c>
    </row>
    <row r="2238" spans="1:9" x14ac:dyDescent="0.15">
      <c r="A2238" s="9">
        <v>2237</v>
      </c>
      <c r="B2238" s="9" t="s">
        <v>9</v>
      </c>
      <c r="C2238" s="9">
        <v>1910</v>
      </c>
      <c r="D2238" s="10">
        <v>45602</v>
      </c>
      <c r="E2238" s="13" t="str">
        <f>+HYPERLINK("http://trademark.i-assist.jp/data/china/image_1910th/80273288.pdf","80273288")</f>
        <v>80273288</v>
      </c>
      <c r="F2238" s="9" t="s">
        <v>6175</v>
      </c>
      <c r="G2238" s="11" t="s">
        <v>6043</v>
      </c>
      <c r="H2238" s="9" t="s">
        <v>6176</v>
      </c>
      <c r="I2238" s="10">
        <v>45513</v>
      </c>
    </row>
    <row r="2239" spans="1:9" x14ac:dyDescent="0.15">
      <c r="A2239" s="9">
        <v>2238</v>
      </c>
      <c r="B2239" s="9" t="s">
        <v>9</v>
      </c>
      <c r="C2239" s="9">
        <v>1910</v>
      </c>
      <c r="D2239" s="10">
        <v>45602</v>
      </c>
      <c r="E2239" s="13" t="str">
        <f>+HYPERLINK("http://trademark.i-assist.jp/data/china/image_1910th/80273297.pdf","80273297")</f>
        <v>80273297</v>
      </c>
      <c r="F2239" s="9" t="s">
        <v>6177</v>
      </c>
      <c r="G2239" s="11" t="s">
        <v>6043</v>
      </c>
      <c r="H2239" s="9" t="s">
        <v>6178</v>
      </c>
      <c r="I2239" s="10">
        <v>45513</v>
      </c>
    </row>
    <row r="2240" spans="1:9" x14ac:dyDescent="0.15">
      <c r="A2240" s="9">
        <v>2239</v>
      </c>
      <c r="B2240" s="9" t="s">
        <v>9</v>
      </c>
      <c r="C2240" s="9">
        <v>1910</v>
      </c>
      <c r="D2240" s="10">
        <v>45602</v>
      </c>
      <c r="E2240" s="13" t="str">
        <f>+HYPERLINK("http://trademark.i-assist.jp/data/china/image_1910th/80273410.pdf","80273410")</f>
        <v>80273410</v>
      </c>
      <c r="F2240" s="11" t="s">
        <v>6179</v>
      </c>
      <c r="G2240" s="11" t="s">
        <v>6180</v>
      </c>
      <c r="H2240" s="9" t="s">
        <v>6181</v>
      </c>
      <c r="I2240" s="10">
        <v>45513</v>
      </c>
    </row>
    <row r="2241" spans="1:9" x14ac:dyDescent="0.15">
      <c r="A2241" s="9">
        <v>2240</v>
      </c>
      <c r="B2241" s="9" t="s">
        <v>9</v>
      </c>
      <c r="C2241" s="9">
        <v>1910</v>
      </c>
      <c r="D2241" s="10">
        <v>45602</v>
      </c>
      <c r="E2241" s="13" t="str">
        <f>+HYPERLINK("http://trademark.i-assist.jp/data/china/image_1910th/80273741.pdf","80273741")</f>
        <v>80273741</v>
      </c>
      <c r="F2241" s="9" t="s">
        <v>6182</v>
      </c>
      <c r="G2241" s="9" t="s">
        <v>6183</v>
      </c>
      <c r="H2241" s="9" t="s">
        <v>6184</v>
      </c>
      <c r="I2241" s="10">
        <v>45513</v>
      </c>
    </row>
    <row r="2242" spans="1:9" x14ac:dyDescent="0.15">
      <c r="A2242" s="9">
        <v>2241</v>
      </c>
      <c r="B2242" s="9" t="s">
        <v>9</v>
      </c>
      <c r="C2242" s="9">
        <v>1910</v>
      </c>
      <c r="D2242" s="10">
        <v>45602</v>
      </c>
      <c r="E2242" s="13" t="str">
        <f>+HYPERLINK("http://trademark.i-assist.jp/data/china/image_1910th/80273940.pdf","80273940")</f>
        <v>80273940</v>
      </c>
      <c r="F2242" s="9" t="s">
        <v>6185</v>
      </c>
      <c r="G2242" s="9" t="s">
        <v>4330</v>
      </c>
      <c r="H2242" s="9" t="s">
        <v>6186</v>
      </c>
      <c r="I2242" s="10">
        <v>45513</v>
      </c>
    </row>
    <row r="2243" spans="1:9" x14ac:dyDescent="0.15">
      <c r="A2243" s="9">
        <v>2242</v>
      </c>
      <c r="B2243" s="9" t="s">
        <v>9</v>
      </c>
      <c r="C2243" s="9">
        <v>1910</v>
      </c>
      <c r="D2243" s="10">
        <v>45602</v>
      </c>
      <c r="E2243" s="13" t="str">
        <f>+HYPERLINK("http://trademark.i-assist.jp/data/china/image_1910th/80273988.pdf","80273988")</f>
        <v>80273988</v>
      </c>
      <c r="F2243" s="9" t="s">
        <v>6187</v>
      </c>
      <c r="G2243" s="9" t="s">
        <v>6188</v>
      </c>
      <c r="H2243" s="9" t="s">
        <v>6189</v>
      </c>
      <c r="I2243" s="10">
        <v>45513</v>
      </c>
    </row>
    <row r="2244" spans="1:9" x14ac:dyDescent="0.15">
      <c r="A2244" s="9">
        <v>2243</v>
      </c>
      <c r="B2244" s="9" t="s">
        <v>9</v>
      </c>
      <c r="C2244" s="9">
        <v>1910</v>
      </c>
      <c r="D2244" s="10">
        <v>45602</v>
      </c>
      <c r="E2244" s="13" t="str">
        <f>+HYPERLINK("http://trademark.i-assist.jp/data/china/image_1910th/80274374.pdf","80274374")</f>
        <v>80274374</v>
      </c>
      <c r="F2244" s="9" t="s">
        <v>6190</v>
      </c>
      <c r="G2244" s="9" t="s">
        <v>6191</v>
      </c>
      <c r="H2244" s="11" t="s">
        <v>6192</v>
      </c>
      <c r="I2244" s="10">
        <v>45513</v>
      </c>
    </row>
    <row r="2245" spans="1:9" x14ac:dyDescent="0.15">
      <c r="A2245" s="9">
        <v>2244</v>
      </c>
      <c r="B2245" s="9" t="s">
        <v>9</v>
      </c>
      <c r="C2245" s="9">
        <v>1910</v>
      </c>
      <c r="D2245" s="10">
        <v>45602</v>
      </c>
      <c r="E2245" s="13" t="str">
        <f>+HYPERLINK("http://trademark.i-assist.jp/data/china/image_1910th/80274571.pdf","80274571")</f>
        <v>80274571</v>
      </c>
      <c r="F2245" s="9" t="s">
        <v>6193</v>
      </c>
      <c r="G2245" s="9" t="s">
        <v>6194</v>
      </c>
      <c r="H2245" s="9" t="s">
        <v>6195</v>
      </c>
      <c r="I2245" s="10">
        <v>45513</v>
      </c>
    </row>
    <row r="2246" spans="1:9" x14ac:dyDescent="0.15">
      <c r="A2246" s="9">
        <v>2245</v>
      </c>
      <c r="B2246" s="9" t="s">
        <v>9</v>
      </c>
      <c r="C2246" s="9">
        <v>1910</v>
      </c>
      <c r="D2246" s="10">
        <v>45602</v>
      </c>
      <c r="E2246" s="13" t="str">
        <f>+HYPERLINK("http://trademark.i-assist.jp/data/china/image_1910th/80274649.pdf","80274649")</f>
        <v>80274649</v>
      </c>
      <c r="F2246" s="9" t="s">
        <v>6196</v>
      </c>
      <c r="G2246" s="11" t="s">
        <v>6197</v>
      </c>
      <c r="H2246" s="9" t="s">
        <v>6198</v>
      </c>
      <c r="I2246" s="10">
        <v>45513</v>
      </c>
    </row>
    <row r="2247" spans="1:9" x14ac:dyDescent="0.15">
      <c r="A2247" s="9">
        <v>2246</v>
      </c>
      <c r="B2247" s="9" t="s">
        <v>9</v>
      </c>
      <c r="C2247" s="9">
        <v>1910</v>
      </c>
      <c r="D2247" s="10">
        <v>45602</v>
      </c>
      <c r="E2247" s="13" t="str">
        <f>+HYPERLINK("http://trademark.i-assist.jp/data/china/image_1910th/80274746.pdf","80274746")</f>
        <v>80274746</v>
      </c>
      <c r="F2247" s="9" t="s">
        <v>6199</v>
      </c>
      <c r="G2247" s="9" t="s">
        <v>6200</v>
      </c>
      <c r="H2247" s="9" t="s">
        <v>6201</v>
      </c>
      <c r="I2247" s="10">
        <v>45513</v>
      </c>
    </row>
    <row r="2248" spans="1:9" x14ac:dyDescent="0.15">
      <c r="A2248" s="9">
        <v>2247</v>
      </c>
      <c r="B2248" s="9" t="s">
        <v>9</v>
      </c>
      <c r="C2248" s="9">
        <v>1910</v>
      </c>
      <c r="D2248" s="10">
        <v>45602</v>
      </c>
      <c r="E2248" s="13" t="str">
        <f>+HYPERLINK("http://trademark.i-assist.jp/data/china/image_1910th/80275105.pdf","80275105")</f>
        <v>80275105</v>
      </c>
      <c r="F2248" s="9" t="s">
        <v>6202</v>
      </c>
      <c r="G2248" s="9" t="s">
        <v>79</v>
      </c>
      <c r="H2248" s="9" t="s">
        <v>6203</v>
      </c>
      <c r="I2248" s="10">
        <v>45513</v>
      </c>
    </row>
    <row r="2249" spans="1:9" x14ac:dyDescent="0.15">
      <c r="A2249" s="9">
        <v>2248</v>
      </c>
      <c r="B2249" s="9" t="s">
        <v>9</v>
      </c>
      <c r="C2249" s="9">
        <v>1910</v>
      </c>
      <c r="D2249" s="10">
        <v>45602</v>
      </c>
      <c r="E2249" s="13" t="str">
        <f>+HYPERLINK("http://trademark.i-assist.jp/data/china/image_1910th/80275204.pdf","80275204")</f>
        <v>80275204</v>
      </c>
      <c r="F2249" s="9" t="s">
        <v>6204</v>
      </c>
      <c r="G2249" s="11" t="s">
        <v>6205</v>
      </c>
      <c r="H2249" s="11" t="s">
        <v>6206</v>
      </c>
      <c r="I2249" s="10">
        <v>45513</v>
      </c>
    </row>
    <row r="2250" spans="1:9" x14ac:dyDescent="0.15">
      <c r="A2250" s="9">
        <v>2249</v>
      </c>
      <c r="B2250" s="9" t="s">
        <v>9</v>
      </c>
      <c r="C2250" s="9">
        <v>1910</v>
      </c>
      <c r="D2250" s="10">
        <v>45602</v>
      </c>
      <c r="E2250" s="13" t="str">
        <f>+HYPERLINK("http://trademark.i-assist.jp/data/china/image_1910th/80275342.pdf","80275342")</f>
        <v>80275342</v>
      </c>
      <c r="F2250" s="9" t="s">
        <v>6207</v>
      </c>
      <c r="G2250" s="9" t="s">
        <v>6208</v>
      </c>
      <c r="H2250" s="9" t="s">
        <v>6209</v>
      </c>
      <c r="I2250" s="10">
        <v>45513</v>
      </c>
    </row>
    <row r="2251" spans="1:9" x14ac:dyDescent="0.15">
      <c r="A2251" s="9">
        <v>2250</v>
      </c>
      <c r="B2251" s="9" t="s">
        <v>9</v>
      </c>
      <c r="C2251" s="9">
        <v>1910</v>
      </c>
      <c r="D2251" s="10">
        <v>45602</v>
      </c>
      <c r="E2251" s="13" t="str">
        <f>+HYPERLINK("http://trademark.i-assist.jp/data/china/image_1910th/80275389.pdf","80275389")</f>
        <v>80275389</v>
      </c>
      <c r="F2251" s="9" t="s">
        <v>6210</v>
      </c>
      <c r="G2251" s="11" t="s">
        <v>177</v>
      </c>
      <c r="H2251" s="9" t="s">
        <v>6211</v>
      </c>
      <c r="I2251" s="10">
        <v>45513</v>
      </c>
    </row>
    <row r="2252" spans="1:9" x14ac:dyDescent="0.15">
      <c r="A2252" s="9">
        <v>2251</v>
      </c>
      <c r="B2252" s="9" t="s">
        <v>9</v>
      </c>
      <c r="C2252" s="9">
        <v>1910</v>
      </c>
      <c r="D2252" s="10">
        <v>45602</v>
      </c>
      <c r="E2252" s="13" t="str">
        <f>+HYPERLINK("http://trademark.i-assist.jp/data/china/image_1910th/80275527.pdf","80275527")</f>
        <v>80275527</v>
      </c>
      <c r="F2252" s="9" t="s">
        <v>6212</v>
      </c>
      <c r="G2252" s="9" t="s">
        <v>6213</v>
      </c>
      <c r="H2252" s="9" t="s">
        <v>6214</v>
      </c>
      <c r="I2252" s="10">
        <v>45513</v>
      </c>
    </row>
    <row r="2253" spans="1:9" x14ac:dyDescent="0.15">
      <c r="A2253" s="9">
        <v>2252</v>
      </c>
      <c r="B2253" s="9" t="s">
        <v>9</v>
      </c>
      <c r="C2253" s="9">
        <v>1910</v>
      </c>
      <c r="D2253" s="10">
        <v>45602</v>
      </c>
      <c r="E2253" s="13" t="str">
        <f>+HYPERLINK("http://trademark.i-assist.jp/data/china/image_1910th/80275932.pdf","80275932")</f>
        <v>80275932</v>
      </c>
      <c r="F2253" s="9" t="s">
        <v>6215</v>
      </c>
      <c r="G2253" s="9" t="s">
        <v>6216</v>
      </c>
      <c r="H2253" s="9" t="s">
        <v>6217</v>
      </c>
      <c r="I2253" s="10">
        <v>45513</v>
      </c>
    </row>
    <row r="2254" spans="1:9" x14ac:dyDescent="0.15">
      <c r="A2254" s="9">
        <v>2253</v>
      </c>
      <c r="B2254" s="9" t="s">
        <v>9</v>
      </c>
      <c r="C2254" s="9">
        <v>1910</v>
      </c>
      <c r="D2254" s="10">
        <v>45602</v>
      </c>
      <c r="E2254" s="13" t="str">
        <f>+HYPERLINK("http://trademark.i-assist.jp/data/china/image_1910th/80276015.pdf","80276015")</f>
        <v>80276015</v>
      </c>
      <c r="F2254" s="9" t="s">
        <v>6218</v>
      </c>
      <c r="G2254" s="11" t="s">
        <v>6219</v>
      </c>
      <c r="H2254" s="9" t="s">
        <v>6220</v>
      </c>
      <c r="I2254" s="10">
        <v>45513</v>
      </c>
    </row>
    <row r="2255" spans="1:9" x14ac:dyDescent="0.15">
      <c r="A2255" s="9">
        <v>2254</v>
      </c>
      <c r="B2255" s="9" t="s">
        <v>9</v>
      </c>
      <c r="C2255" s="9">
        <v>1910</v>
      </c>
      <c r="D2255" s="10">
        <v>45602</v>
      </c>
      <c r="E2255" s="13" t="str">
        <f>+HYPERLINK("http://trademark.i-assist.jp/data/china/image_1910th/80276124.pdf","80276124")</f>
        <v>80276124</v>
      </c>
      <c r="F2255" s="9" t="s">
        <v>6221</v>
      </c>
      <c r="G2255" s="9" t="s">
        <v>6222</v>
      </c>
      <c r="H2255" s="9" t="s">
        <v>6223</v>
      </c>
      <c r="I2255" s="10">
        <v>45513</v>
      </c>
    </row>
    <row r="2256" spans="1:9" x14ac:dyDescent="0.15">
      <c r="A2256" s="9">
        <v>2255</v>
      </c>
      <c r="B2256" s="9" t="s">
        <v>9</v>
      </c>
      <c r="C2256" s="9">
        <v>1910</v>
      </c>
      <c r="D2256" s="10">
        <v>45602</v>
      </c>
      <c r="E2256" s="13" t="str">
        <f>+HYPERLINK("http://trademark.i-assist.jp/data/china/image_1910th/80276384.pdf","80276384")</f>
        <v>80276384</v>
      </c>
      <c r="F2256" s="11" t="s">
        <v>6224</v>
      </c>
      <c r="G2256" s="9" t="s">
        <v>6225</v>
      </c>
      <c r="H2256" s="9" t="s">
        <v>6226</v>
      </c>
      <c r="I2256" s="10">
        <v>45513</v>
      </c>
    </row>
    <row r="2257" spans="1:9" x14ac:dyDescent="0.15">
      <c r="A2257" s="9">
        <v>2256</v>
      </c>
      <c r="B2257" s="9" t="s">
        <v>9</v>
      </c>
      <c r="C2257" s="9">
        <v>1910</v>
      </c>
      <c r="D2257" s="10">
        <v>45602</v>
      </c>
      <c r="E2257" s="13" t="str">
        <f>+HYPERLINK("http://trademark.i-assist.jp/data/china/image_1910th/80276485.pdf","80276485")</f>
        <v>80276485</v>
      </c>
      <c r="F2257" s="9" t="s">
        <v>6227</v>
      </c>
      <c r="G2257" s="9" t="s">
        <v>189</v>
      </c>
      <c r="H2257" s="9" t="s">
        <v>6228</v>
      </c>
      <c r="I2257" s="10">
        <v>45513</v>
      </c>
    </row>
    <row r="2258" spans="1:9" x14ac:dyDescent="0.15">
      <c r="A2258" s="9">
        <v>2257</v>
      </c>
      <c r="B2258" s="9" t="s">
        <v>9</v>
      </c>
      <c r="C2258" s="9">
        <v>1910</v>
      </c>
      <c r="D2258" s="10">
        <v>45602</v>
      </c>
      <c r="E2258" s="13" t="str">
        <f>+HYPERLINK("http://trademark.i-assist.jp/data/china/image_1910th/80276510.pdf","80276510")</f>
        <v>80276510</v>
      </c>
      <c r="F2258" s="11" t="s">
        <v>19</v>
      </c>
      <c r="G2258" s="9" t="s">
        <v>6229</v>
      </c>
      <c r="H2258" s="9" t="s">
        <v>6230</v>
      </c>
      <c r="I2258" s="10">
        <v>45513</v>
      </c>
    </row>
    <row r="2259" spans="1:9" x14ac:dyDescent="0.15">
      <c r="A2259" s="9">
        <v>2258</v>
      </c>
      <c r="B2259" s="9" t="s">
        <v>9</v>
      </c>
      <c r="C2259" s="9">
        <v>1910</v>
      </c>
      <c r="D2259" s="10">
        <v>45602</v>
      </c>
      <c r="E2259" s="13" t="str">
        <f>+HYPERLINK("http://trademark.i-assist.jp/data/china/image_1910th/80276518.pdf","80276518")</f>
        <v>80276518</v>
      </c>
      <c r="F2259" s="9" t="s">
        <v>6231</v>
      </c>
      <c r="G2259" s="9" t="s">
        <v>115</v>
      </c>
      <c r="H2259" s="9" t="s">
        <v>6232</v>
      </c>
      <c r="I2259" s="10">
        <v>45513</v>
      </c>
    </row>
    <row r="2260" spans="1:9" x14ac:dyDescent="0.15">
      <c r="A2260" s="9">
        <v>2259</v>
      </c>
      <c r="B2260" s="9" t="s">
        <v>9</v>
      </c>
      <c r="C2260" s="9">
        <v>1910</v>
      </c>
      <c r="D2260" s="10">
        <v>45602</v>
      </c>
      <c r="E2260" s="13" t="str">
        <f>+HYPERLINK("http://trademark.i-assist.jp/data/china/image_1910th/80276559.pdf","80276559")</f>
        <v>80276559</v>
      </c>
      <c r="F2260" s="9" t="s">
        <v>6233</v>
      </c>
      <c r="G2260" s="9" t="s">
        <v>6052</v>
      </c>
      <c r="H2260" s="9" t="s">
        <v>6234</v>
      </c>
      <c r="I2260" s="10">
        <v>45513</v>
      </c>
    </row>
    <row r="2261" spans="1:9" x14ac:dyDescent="0.15">
      <c r="A2261" s="9">
        <v>2260</v>
      </c>
      <c r="B2261" s="9" t="s">
        <v>9</v>
      </c>
      <c r="C2261" s="9">
        <v>1910</v>
      </c>
      <c r="D2261" s="10">
        <v>45602</v>
      </c>
      <c r="E2261" s="13" t="str">
        <f>+HYPERLINK("http://trademark.i-assist.jp/data/china/image_1910th/80276754.pdf","80276754")</f>
        <v>80276754</v>
      </c>
      <c r="F2261" s="11" t="s">
        <v>6235</v>
      </c>
      <c r="G2261" s="9" t="s">
        <v>6236</v>
      </c>
      <c r="H2261" s="9" t="s">
        <v>6237</v>
      </c>
      <c r="I2261" s="10">
        <v>45513</v>
      </c>
    </row>
    <row r="2262" spans="1:9" x14ac:dyDescent="0.15">
      <c r="A2262" s="9">
        <v>2261</v>
      </c>
      <c r="B2262" s="9" t="s">
        <v>9</v>
      </c>
      <c r="C2262" s="9">
        <v>1910</v>
      </c>
      <c r="D2262" s="10">
        <v>45602</v>
      </c>
      <c r="E2262" s="13" t="str">
        <f>+HYPERLINK("http://trademark.i-assist.jp/data/china/image_1910th/80276879.pdf","80276879")</f>
        <v>80276879</v>
      </c>
      <c r="F2262" s="9" t="s">
        <v>6238</v>
      </c>
      <c r="G2262" s="9" t="s">
        <v>6239</v>
      </c>
      <c r="H2262" s="9" t="s">
        <v>6240</v>
      </c>
      <c r="I2262" s="10">
        <v>45513</v>
      </c>
    </row>
    <row r="2263" spans="1:9" x14ac:dyDescent="0.15">
      <c r="A2263" s="9">
        <v>2262</v>
      </c>
      <c r="B2263" s="9" t="s">
        <v>9</v>
      </c>
      <c r="C2263" s="9">
        <v>1910</v>
      </c>
      <c r="D2263" s="10">
        <v>45602</v>
      </c>
      <c r="E2263" s="13" t="str">
        <f>+HYPERLINK("http://trademark.i-assist.jp/data/china/image_1910th/80276921.pdf","80276921")</f>
        <v>80276921</v>
      </c>
      <c r="F2263" s="9" t="s">
        <v>6241</v>
      </c>
      <c r="G2263" s="11" t="s">
        <v>6242</v>
      </c>
      <c r="H2263" s="9" t="s">
        <v>6243</v>
      </c>
      <c r="I2263" s="10">
        <v>45513</v>
      </c>
    </row>
    <row r="2264" spans="1:9" x14ac:dyDescent="0.15">
      <c r="A2264" s="9">
        <v>2263</v>
      </c>
      <c r="B2264" s="9" t="s">
        <v>9</v>
      </c>
      <c r="C2264" s="9">
        <v>1910</v>
      </c>
      <c r="D2264" s="10">
        <v>45602</v>
      </c>
      <c r="E2264" s="13" t="str">
        <f>+HYPERLINK("http://trademark.i-assist.jp/data/china/image_1910th/80277139.pdf","80277139")</f>
        <v>80277139</v>
      </c>
      <c r="F2264" s="9" t="s">
        <v>6244</v>
      </c>
      <c r="G2264" s="9" t="s">
        <v>6245</v>
      </c>
      <c r="H2264" s="11" t="s">
        <v>6246</v>
      </c>
      <c r="I2264" s="10">
        <v>45513</v>
      </c>
    </row>
    <row r="2265" spans="1:9" x14ac:dyDescent="0.15">
      <c r="A2265" s="9">
        <v>2264</v>
      </c>
      <c r="B2265" s="9" t="s">
        <v>9</v>
      </c>
      <c r="C2265" s="9">
        <v>1910</v>
      </c>
      <c r="D2265" s="10">
        <v>45602</v>
      </c>
      <c r="E2265" s="13" t="str">
        <f>+HYPERLINK("http://trademark.i-assist.jp/data/china/image_1910th/80277320.pdf","80277320")</f>
        <v>80277320</v>
      </c>
      <c r="F2265" s="11" t="s">
        <v>6247</v>
      </c>
      <c r="G2265" s="9" t="s">
        <v>6079</v>
      </c>
      <c r="H2265" s="9" t="s">
        <v>6248</v>
      </c>
      <c r="I2265" s="10">
        <v>45513</v>
      </c>
    </row>
    <row r="2266" spans="1:9" x14ac:dyDescent="0.15">
      <c r="A2266" s="9">
        <v>2265</v>
      </c>
      <c r="B2266" s="9" t="s">
        <v>9</v>
      </c>
      <c r="C2266" s="9">
        <v>1910</v>
      </c>
      <c r="D2266" s="10">
        <v>45602</v>
      </c>
      <c r="E2266" s="13" t="str">
        <f>+HYPERLINK("http://trademark.i-assist.jp/data/china/image_1910th/80277354.pdf","80277354")</f>
        <v>80277354</v>
      </c>
      <c r="F2266" s="9" t="s">
        <v>6249</v>
      </c>
      <c r="G2266" s="9" t="s">
        <v>6250</v>
      </c>
      <c r="H2266" s="9" t="s">
        <v>6251</v>
      </c>
      <c r="I2266" s="10">
        <v>45513</v>
      </c>
    </row>
    <row r="2267" spans="1:9" x14ac:dyDescent="0.15">
      <c r="A2267" s="9">
        <v>2266</v>
      </c>
      <c r="B2267" s="9" t="s">
        <v>9</v>
      </c>
      <c r="C2267" s="9">
        <v>1910</v>
      </c>
      <c r="D2267" s="10">
        <v>45602</v>
      </c>
      <c r="E2267" s="13" t="str">
        <f>+HYPERLINK("http://trademark.i-assist.jp/data/china/image_1910th/80277556.pdf","80277556")</f>
        <v>80277556</v>
      </c>
      <c r="F2267" s="9" t="s">
        <v>6252</v>
      </c>
      <c r="G2267" s="11" t="s">
        <v>6253</v>
      </c>
      <c r="H2267" s="9" t="s">
        <v>6254</v>
      </c>
      <c r="I2267" s="10">
        <v>45513</v>
      </c>
    </row>
    <row r="2268" spans="1:9" x14ac:dyDescent="0.15">
      <c r="A2268" s="9">
        <v>2267</v>
      </c>
      <c r="B2268" s="9" t="s">
        <v>9</v>
      </c>
      <c r="C2268" s="9">
        <v>1910</v>
      </c>
      <c r="D2268" s="10">
        <v>45602</v>
      </c>
      <c r="E2268" s="13" t="str">
        <f>+HYPERLINK("http://trademark.i-assist.jp/data/china/image_1910th/80277690.pdf","80277690")</f>
        <v>80277690</v>
      </c>
      <c r="F2268" s="9" t="s">
        <v>6255</v>
      </c>
      <c r="G2268" s="9" t="s">
        <v>6256</v>
      </c>
      <c r="H2268" s="9" t="s">
        <v>6257</v>
      </c>
      <c r="I2268" s="10">
        <v>45513</v>
      </c>
    </row>
    <row r="2269" spans="1:9" x14ac:dyDescent="0.15">
      <c r="A2269" s="9">
        <v>2268</v>
      </c>
      <c r="B2269" s="9" t="s">
        <v>9</v>
      </c>
      <c r="C2269" s="9">
        <v>1910</v>
      </c>
      <c r="D2269" s="10">
        <v>45602</v>
      </c>
      <c r="E2269" s="13" t="str">
        <f>+HYPERLINK("http://trademark.i-assist.jp/data/china/image_1910th/80277699.pdf","80277699")</f>
        <v>80277699</v>
      </c>
      <c r="F2269" s="9" t="s">
        <v>6258</v>
      </c>
      <c r="G2269" s="9" t="s">
        <v>6259</v>
      </c>
      <c r="H2269" s="9" t="s">
        <v>6260</v>
      </c>
      <c r="I2269" s="10">
        <v>45513</v>
      </c>
    </row>
    <row r="2270" spans="1:9" x14ac:dyDescent="0.15">
      <c r="A2270" s="9">
        <v>2269</v>
      </c>
      <c r="B2270" s="9" t="s">
        <v>9</v>
      </c>
      <c r="C2270" s="9">
        <v>1910</v>
      </c>
      <c r="D2270" s="10">
        <v>45602</v>
      </c>
      <c r="E2270" s="13" t="str">
        <f>+HYPERLINK("http://trademark.i-assist.jp/data/china/image_1910th/80277795.pdf","80277795")</f>
        <v>80277795</v>
      </c>
      <c r="F2270" s="11" t="s">
        <v>6261</v>
      </c>
      <c r="G2270" s="9" t="s">
        <v>6262</v>
      </c>
      <c r="H2270" s="9" t="s">
        <v>6263</v>
      </c>
      <c r="I2270" s="10">
        <v>45513</v>
      </c>
    </row>
    <row r="2271" spans="1:9" x14ac:dyDescent="0.15">
      <c r="A2271" s="9">
        <v>2270</v>
      </c>
      <c r="B2271" s="9" t="s">
        <v>9</v>
      </c>
      <c r="C2271" s="9">
        <v>1910</v>
      </c>
      <c r="D2271" s="10">
        <v>45602</v>
      </c>
      <c r="E2271" s="13" t="str">
        <f>+HYPERLINK("http://trademark.i-assist.jp/data/china/image_1910th/80277988.pdf","80277988")</f>
        <v>80277988</v>
      </c>
      <c r="F2271" s="9" t="s">
        <v>6264</v>
      </c>
      <c r="G2271" s="9" t="s">
        <v>6106</v>
      </c>
      <c r="H2271" s="9" t="s">
        <v>6265</v>
      </c>
      <c r="I2271" s="10">
        <v>45513</v>
      </c>
    </row>
    <row r="2272" spans="1:9" x14ac:dyDescent="0.15">
      <c r="A2272" s="9">
        <v>2271</v>
      </c>
      <c r="B2272" s="9" t="s">
        <v>9</v>
      </c>
      <c r="C2272" s="9">
        <v>1910</v>
      </c>
      <c r="D2272" s="10">
        <v>45602</v>
      </c>
      <c r="E2272" s="13" t="str">
        <f>+HYPERLINK("http://trademark.i-assist.jp/data/china/image_1910th/80278024.pdf","80278024")</f>
        <v>80278024</v>
      </c>
      <c r="F2272" s="9" t="s">
        <v>6266</v>
      </c>
      <c r="G2272" s="9" t="s">
        <v>6225</v>
      </c>
      <c r="H2272" s="9" t="s">
        <v>6267</v>
      </c>
      <c r="I2272" s="10">
        <v>45513</v>
      </c>
    </row>
    <row r="2273" spans="1:9" x14ac:dyDescent="0.15">
      <c r="A2273" s="9">
        <v>2272</v>
      </c>
      <c r="B2273" s="9" t="s">
        <v>9</v>
      </c>
      <c r="C2273" s="9">
        <v>1910</v>
      </c>
      <c r="D2273" s="10">
        <v>45602</v>
      </c>
      <c r="E2273" s="13" t="str">
        <f>+HYPERLINK("http://trademark.i-assist.jp/data/china/image_1910th/80278263.pdf","80278263")</f>
        <v>80278263</v>
      </c>
      <c r="F2273" s="9" t="s">
        <v>6268</v>
      </c>
      <c r="G2273" s="9" t="s">
        <v>131</v>
      </c>
      <c r="H2273" s="9" t="s">
        <v>6269</v>
      </c>
      <c r="I2273" s="10">
        <v>45513</v>
      </c>
    </row>
    <row r="2274" spans="1:9" x14ac:dyDescent="0.15">
      <c r="A2274" s="9">
        <v>2273</v>
      </c>
      <c r="B2274" s="9" t="s">
        <v>9</v>
      </c>
      <c r="C2274" s="9">
        <v>1910</v>
      </c>
      <c r="D2274" s="10">
        <v>45602</v>
      </c>
      <c r="E2274" s="13" t="str">
        <f>+HYPERLINK("http://trademark.i-assist.jp/data/china/image_1910th/80278370.pdf","80278370")</f>
        <v>80278370</v>
      </c>
      <c r="F2274" s="9" t="s">
        <v>6270</v>
      </c>
      <c r="G2274" s="9" t="s">
        <v>6213</v>
      </c>
      <c r="H2274" s="9" t="s">
        <v>6271</v>
      </c>
      <c r="I2274" s="10">
        <v>45513</v>
      </c>
    </row>
    <row r="2275" spans="1:9" x14ac:dyDescent="0.15">
      <c r="A2275" s="9">
        <v>2274</v>
      </c>
      <c r="B2275" s="9" t="s">
        <v>9</v>
      </c>
      <c r="C2275" s="9">
        <v>1910</v>
      </c>
      <c r="D2275" s="10">
        <v>45602</v>
      </c>
      <c r="E2275" s="13" t="str">
        <f>+HYPERLINK("http://trademark.i-assist.jp/data/china/image_1910th/80278481.pdf","80278481")</f>
        <v>80278481</v>
      </c>
      <c r="F2275" s="9" t="s">
        <v>6272</v>
      </c>
      <c r="G2275" s="11" t="s">
        <v>6273</v>
      </c>
      <c r="H2275" s="9" t="s">
        <v>6274</v>
      </c>
      <c r="I2275" s="10">
        <v>45513</v>
      </c>
    </row>
    <row r="2276" spans="1:9" x14ac:dyDescent="0.15">
      <c r="A2276" s="9">
        <v>2275</v>
      </c>
      <c r="B2276" s="9" t="s">
        <v>9</v>
      </c>
      <c r="C2276" s="9">
        <v>1910</v>
      </c>
      <c r="D2276" s="10">
        <v>45602</v>
      </c>
      <c r="E2276" s="13" t="str">
        <f>+HYPERLINK("http://trademark.i-assist.jp/data/china/image_1910th/80278614.pdf","80278614")</f>
        <v>80278614</v>
      </c>
      <c r="F2276" s="9" t="s">
        <v>6275</v>
      </c>
      <c r="G2276" s="9" t="s">
        <v>6276</v>
      </c>
      <c r="H2276" s="9" t="s">
        <v>6277</v>
      </c>
      <c r="I2276" s="10">
        <v>45513</v>
      </c>
    </row>
    <row r="2277" spans="1:9" x14ac:dyDescent="0.15">
      <c r="A2277" s="9">
        <v>2276</v>
      </c>
      <c r="B2277" s="9" t="s">
        <v>9</v>
      </c>
      <c r="C2277" s="9">
        <v>1910</v>
      </c>
      <c r="D2277" s="10">
        <v>45602</v>
      </c>
      <c r="E2277" s="13" t="str">
        <f>+HYPERLINK("http://trademark.i-assist.jp/data/china/image_1910th/80278695.pdf","80278695")</f>
        <v>80278695</v>
      </c>
      <c r="F2277" s="9" t="s">
        <v>6278</v>
      </c>
      <c r="G2277" s="9" t="s">
        <v>6279</v>
      </c>
      <c r="H2277" s="9" t="s">
        <v>6280</v>
      </c>
      <c r="I2277" s="10">
        <v>45513</v>
      </c>
    </row>
    <row r="2278" spans="1:9" x14ac:dyDescent="0.15">
      <c r="A2278" s="9">
        <v>2277</v>
      </c>
      <c r="B2278" s="9" t="s">
        <v>9</v>
      </c>
      <c r="C2278" s="9">
        <v>1910</v>
      </c>
      <c r="D2278" s="10">
        <v>45602</v>
      </c>
      <c r="E2278" s="13" t="str">
        <f>+HYPERLINK("http://trademark.i-assist.jp/data/china/image_1910th/80278758.pdf","80278758")</f>
        <v>80278758</v>
      </c>
      <c r="F2278" s="9" t="s">
        <v>6281</v>
      </c>
      <c r="G2278" s="9" t="s">
        <v>6282</v>
      </c>
      <c r="H2278" s="11" t="s">
        <v>6283</v>
      </c>
      <c r="I2278" s="10">
        <v>45513</v>
      </c>
    </row>
    <row r="2279" spans="1:9" x14ac:dyDescent="0.15">
      <c r="A2279" s="9">
        <v>2278</v>
      </c>
      <c r="B2279" s="9" t="s">
        <v>9</v>
      </c>
      <c r="C2279" s="9">
        <v>1910</v>
      </c>
      <c r="D2279" s="10">
        <v>45602</v>
      </c>
      <c r="E2279" s="13" t="str">
        <f>+HYPERLINK("http://trademark.i-assist.jp/data/china/image_1910th/80278854.pdf","80278854")</f>
        <v>80278854</v>
      </c>
      <c r="F2279" s="11" t="s">
        <v>6284</v>
      </c>
      <c r="G2279" s="9" t="s">
        <v>6285</v>
      </c>
      <c r="H2279" s="9" t="s">
        <v>6286</v>
      </c>
      <c r="I2279" s="10">
        <v>45513</v>
      </c>
    </row>
    <row r="2280" spans="1:9" x14ac:dyDescent="0.15">
      <c r="A2280" s="9">
        <v>2279</v>
      </c>
      <c r="B2280" s="9" t="s">
        <v>9</v>
      </c>
      <c r="C2280" s="9">
        <v>1910</v>
      </c>
      <c r="D2280" s="10">
        <v>45602</v>
      </c>
      <c r="E2280" s="13" t="str">
        <f>+HYPERLINK("http://trademark.i-assist.jp/data/china/image_1910th/80278858.pdf","80278858")</f>
        <v>80278858</v>
      </c>
      <c r="F2280" s="9" t="s">
        <v>6287</v>
      </c>
      <c r="G2280" s="9" t="s">
        <v>6288</v>
      </c>
      <c r="H2280" s="9" t="s">
        <v>6289</v>
      </c>
      <c r="I2280" s="10">
        <v>45513</v>
      </c>
    </row>
    <row r="2281" spans="1:9" x14ac:dyDescent="0.15">
      <c r="A2281" s="9">
        <v>2280</v>
      </c>
      <c r="B2281" s="9" t="s">
        <v>9</v>
      </c>
      <c r="C2281" s="9">
        <v>1910</v>
      </c>
      <c r="D2281" s="10">
        <v>45602</v>
      </c>
      <c r="E2281" s="13" t="str">
        <f>+HYPERLINK("http://trademark.i-assist.jp/data/china/image_1910th/80279134.pdf","80279134")</f>
        <v>80279134</v>
      </c>
      <c r="F2281" s="9" t="s">
        <v>6290</v>
      </c>
      <c r="G2281" s="9" t="s">
        <v>6291</v>
      </c>
      <c r="H2281" s="9" t="s">
        <v>6292</v>
      </c>
      <c r="I2281" s="10">
        <v>45513</v>
      </c>
    </row>
    <row r="2282" spans="1:9" x14ac:dyDescent="0.15">
      <c r="A2282" s="9">
        <v>2281</v>
      </c>
      <c r="B2282" s="9" t="s">
        <v>9</v>
      </c>
      <c r="C2282" s="9">
        <v>1910</v>
      </c>
      <c r="D2282" s="10">
        <v>45602</v>
      </c>
      <c r="E2282" s="13" t="str">
        <f>+HYPERLINK("http://trademark.i-assist.jp/data/china/image_1910th/80279172.pdf","80279172")</f>
        <v>80279172</v>
      </c>
      <c r="F2282" s="9" t="s">
        <v>6293</v>
      </c>
      <c r="G2282" s="9" t="s">
        <v>6294</v>
      </c>
      <c r="H2282" s="9" t="s">
        <v>6295</v>
      </c>
      <c r="I2282" s="10">
        <v>45513</v>
      </c>
    </row>
    <row r="2283" spans="1:9" x14ac:dyDescent="0.15">
      <c r="A2283" s="9">
        <v>2282</v>
      </c>
      <c r="B2283" s="9" t="s">
        <v>9</v>
      </c>
      <c r="C2283" s="9">
        <v>1910</v>
      </c>
      <c r="D2283" s="10">
        <v>45602</v>
      </c>
      <c r="E2283" s="13" t="str">
        <f>+HYPERLINK("http://trademark.i-assist.jp/data/china/image_1910th/80279323.pdf","80279323")</f>
        <v>80279323</v>
      </c>
      <c r="F2283" s="9" t="s">
        <v>6296</v>
      </c>
      <c r="G2283" s="9" t="s">
        <v>6297</v>
      </c>
      <c r="H2283" s="9" t="s">
        <v>6298</v>
      </c>
      <c r="I2283" s="10">
        <v>45513</v>
      </c>
    </row>
    <row r="2284" spans="1:9" x14ac:dyDescent="0.15">
      <c r="A2284" s="9">
        <v>2283</v>
      </c>
      <c r="B2284" s="9" t="s">
        <v>9</v>
      </c>
      <c r="C2284" s="9">
        <v>1910</v>
      </c>
      <c r="D2284" s="10">
        <v>45602</v>
      </c>
      <c r="E2284" s="13" t="str">
        <f>+HYPERLINK("http://trademark.i-assist.jp/data/china/image_1910th/80279363.pdf","80279363")</f>
        <v>80279363</v>
      </c>
      <c r="F2284" s="11" t="s">
        <v>19</v>
      </c>
      <c r="G2284" s="9" t="s">
        <v>6299</v>
      </c>
      <c r="H2284" s="9" t="s">
        <v>6300</v>
      </c>
      <c r="I2284" s="10">
        <v>45513</v>
      </c>
    </row>
    <row r="2285" spans="1:9" x14ac:dyDescent="0.15">
      <c r="A2285" s="9">
        <v>2284</v>
      </c>
      <c r="B2285" s="9" t="s">
        <v>9</v>
      </c>
      <c r="C2285" s="9">
        <v>1910</v>
      </c>
      <c r="D2285" s="10">
        <v>45602</v>
      </c>
      <c r="E2285" s="13" t="str">
        <f>+HYPERLINK("http://trademark.i-assist.jp/data/china/image_1910th/80279372.pdf","80279372")</f>
        <v>80279372</v>
      </c>
      <c r="F2285" s="9" t="s">
        <v>6301</v>
      </c>
      <c r="G2285" s="9" t="s">
        <v>6302</v>
      </c>
      <c r="H2285" s="9" t="s">
        <v>6303</v>
      </c>
      <c r="I2285" s="10">
        <v>45513</v>
      </c>
    </row>
    <row r="2286" spans="1:9" x14ac:dyDescent="0.15">
      <c r="A2286" s="9">
        <v>2285</v>
      </c>
      <c r="B2286" s="9" t="s">
        <v>9</v>
      </c>
      <c r="C2286" s="9">
        <v>1910</v>
      </c>
      <c r="D2286" s="10">
        <v>45602</v>
      </c>
      <c r="E2286" s="13" t="str">
        <f>+HYPERLINK("http://trademark.i-assist.jp/data/china/image_1910th/80279408.pdf","80279408")</f>
        <v>80279408</v>
      </c>
      <c r="F2286" s="11" t="s">
        <v>6304</v>
      </c>
      <c r="G2286" s="11" t="s">
        <v>6305</v>
      </c>
      <c r="H2286" s="9" t="s">
        <v>6306</v>
      </c>
      <c r="I2286" s="10">
        <v>45513</v>
      </c>
    </row>
    <row r="2287" spans="1:9" x14ac:dyDescent="0.15">
      <c r="A2287" s="9">
        <v>2286</v>
      </c>
      <c r="B2287" s="9" t="s">
        <v>9</v>
      </c>
      <c r="C2287" s="9">
        <v>1910</v>
      </c>
      <c r="D2287" s="10">
        <v>45602</v>
      </c>
      <c r="E2287" s="13" t="str">
        <f>+HYPERLINK("http://trademark.i-assist.jp/data/china/image_1910th/80279796.pdf","80279796")</f>
        <v>80279796</v>
      </c>
      <c r="F2287" s="9" t="s">
        <v>6307</v>
      </c>
      <c r="G2287" s="9" t="s">
        <v>6213</v>
      </c>
      <c r="H2287" s="9" t="s">
        <v>6308</v>
      </c>
      <c r="I2287" s="10">
        <v>45513</v>
      </c>
    </row>
    <row r="2288" spans="1:9" x14ac:dyDescent="0.15">
      <c r="A2288" s="9">
        <v>2287</v>
      </c>
      <c r="B2288" s="9" t="s">
        <v>9</v>
      </c>
      <c r="C2288" s="9">
        <v>1910</v>
      </c>
      <c r="D2288" s="10">
        <v>45602</v>
      </c>
      <c r="E2288" s="13" t="str">
        <f>+HYPERLINK("http://trademark.i-assist.jp/data/china/image_1910th/80279979.pdf","80279979")</f>
        <v>80279979</v>
      </c>
      <c r="F2288" s="11" t="s">
        <v>6309</v>
      </c>
      <c r="G2288" s="9" t="s">
        <v>6310</v>
      </c>
      <c r="H2288" s="9" t="s">
        <v>6311</v>
      </c>
      <c r="I2288" s="10">
        <v>45513</v>
      </c>
    </row>
    <row r="2289" spans="1:9" x14ac:dyDescent="0.15">
      <c r="A2289" s="9">
        <v>2288</v>
      </c>
      <c r="B2289" s="9" t="s">
        <v>9</v>
      </c>
      <c r="C2289" s="9">
        <v>1910</v>
      </c>
      <c r="D2289" s="10">
        <v>45602</v>
      </c>
      <c r="E2289" s="13" t="str">
        <f>+HYPERLINK("http://trademark.i-assist.jp/data/china/image_1910th/80279997.pdf","80279997")</f>
        <v>80279997</v>
      </c>
      <c r="F2289" s="12" t="s">
        <v>6312</v>
      </c>
      <c r="G2289" s="9" t="s">
        <v>6079</v>
      </c>
      <c r="H2289" s="9" t="s">
        <v>6313</v>
      </c>
      <c r="I2289" s="10">
        <v>45513</v>
      </c>
    </row>
    <row r="2290" spans="1:9" x14ac:dyDescent="0.15">
      <c r="A2290" s="9">
        <v>2289</v>
      </c>
      <c r="B2290" s="9" t="s">
        <v>9</v>
      </c>
      <c r="C2290" s="9">
        <v>1910</v>
      </c>
      <c r="D2290" s="10">
        <v>45602</v>
      </c>
      <c r="E2290" s="13" t="str">
        <f>+HYPERLINK("http://trademark.i-assist.jp/data/china/image_1910th/80280139.pdf","80280139")</f>
        <v>80280139</v>
      </c>
      <c r="F2290" s="9" t="s">
        <v>6314</v>
      </c>
      <c r="G2290" s="11" t="s">
        <v>6315</v>
      </c>
      <c r="H2290" s="9" t="s">
        <v>6316</v>
      </c>
      <c r="I2290" s="10">
        <v>45513</v>
      </c>
    </row>
    <row r="2291" spans="1:9" x14ac:dyDescent="0.15">
      <c r="A2291" s="9">
        <v>2290</v>
      </c>
      <c r="B2291" s="9" t="s">
        <v>9</v>
      </c>
      <c r="C2291" s="9">
        <v>1910</v>
      </c>
      <c r="D2291" s="10">
        <v>45602</v>
      </c>
      <c r="E2291" s="13" t="str">
        <f>+HYPERLINK("http://trademark.i-assist.jp/data/china/image_1910th/80280180.pdf","80280180")</f>
        <v>80280180</v>
      </c>
      <c r="F2291" s="9" t="s">
        <v>6317</v>
      </c>
      <c r="G2291" s="9" t="s">
        <v>6318</v>
      </c>
      <c r="H2291" s="9" t="s">
        <v>6319</v>
      </c>
      <c r="I2291" s="10">
        <v>45513</v>
      </c>
    </row>
    <row r="2292" spans="1:9" x14ac:dyDescent="0.15">
      <c r="A2292" s="9">
        <v>2291</v>
      </c>
      <c r="B2292" s="9" t="s">
        <v>9</v>
      </c>
      <c r="C2292" s="9">
        <v>1910</v>
      </c>
      <c r="D2292" s="10">
        <v>45602</v>
      </c>
      <c r="E2292" s="13" t="str">
        <f>+HYPERLINK("http://trademark.i-assist.jp/data/china/image_1910th/80280192.pdf","80280192")</f>
        <v>80280192</v>
      </c>
      <c r="F2292" s="9" t="s">
        <v>6320</v>
      </c>
      <c r="G2292" s="9" t="s">
        <v>6170</v>
      </c>
      <c r="H2292" s="9" t="s">
        <v>6321</v>
      </c>
      <c r="I2292" s="10">
        <v>45513</v>
      </c>
    </row>
    <row r="2293" spans="1:9" x14ac:dyDescent="0.15">
      <c r="A2293" s="9">
        <v>2292</v>
      </c>
      <c r="B2293" s="9" t="s">
        <v>9</v>
      </c>
      <c r="C2293" s="9">
        <v>1910</v>
      </c>
      <c r="D2293" s="10">
        <v>45602</v>
      </c>
      <c r="E2293" s="13" t="str">
        <f>+HYPERLINK("http://trademark.i-assist.jp/data/china/image_1910th/80280204.pdf","80280204")</f>
        <v>80280204</v>
      </c>
      <c r="F2293" s="9" t="s">
        <v>6322</v>
      </c>
      <c r="G2293" s="11" t="s">
        <v>4491</v>
      </c>
      <c r="H2293" s="9" t="s">
        <v>6323</v>
      </c>
      <c r="I2293" s="10">
        <v>45513</v>
      </c>
    </row>
    <row r="2294" spans="1:9" x14ac:dyDescent="0.15">
      <c r="A2294" s="9">
        <v>2293</v>
      </c>
      <c r="B2294" s="9" t="s">
        <v>9</v>
      </c>
      <c r="C2294" s="9">
        <v>1910</v>
      </c>
      <c r="D2294" s="10">
        <v>45602</v>
      </c>
      <c r="E2294" s="13" t="str">
        <f>+HYPERLINK("http://trademark.i-assist.jp/data/china/image_1910th/80280212.pdf","80280212")</f>
        <v>80280212</v>
      </c>
      <c r="F2294" s="9" t="s">
        <v>6324</v>
      </c>
      <c r="G2294" s="11" t="s">
        <v>6242</v>
      </c>
      <c r="H2294" s="9" t="s">
        <v>6325</v>
      </c>
      <c r="I2294" s="10">
        <v>45513</v>
      </c>
    </row>
    <row r="2295" spans="1:9" x14ac:dyDescent="0.15">
      <c r="A2295" s="9">
        <v>2294</v>
      </c>
      <c r="B2295" s="9" t="s">
        <v>9</v>
      </c>
      <c r="C2295" s="9">
        <v>1910</v>
      </c>
      <c r="D2295" s="10">
        <v>45602</v>
      </c>
      <c r="E2295" s="13" t="str">
        <f>+HYPERLINK("http://trademark.i-assist.jp/data/china/image_1910th/80280401.pdf","80280401")</f>
        <v>80280401</v>
      </c>
      <c r="F2295" s="9" t="s">
        <v>6326</v>
      </c>
      <c r="G2295" s="11" t="s">
        <v>6043</v>
      </c>
      <c r="H2295" s="11" t="s">
        <v>6327</v>
      </c>
      <c r="I2295" s="10">
        <v>45513</v>
      </c>
    </row>
    <row r="2296" spans="1:9" x14ac:dyDescent="0.15">
      <c r="A2296" s="9">
        <v>2295</v>
      </c>
      <c r="B2296" s="9" t="s">
        <v>9</v>
      </c>
      <c r="C2296" s="9">
        <v>1910</v>
      </c>
      <c r="D2296" s="10">
        <v>45602</v>
      </c>
      <c r="E2296" s="13" t="str">
        <f>+HYPERLINK("http://trademark.i-assist.jp/data/china/image_1910th/80280483.pdf","80280483")</f>
        <v>80280483</v>
      </c>
      <c r="F2296" s="11" t="s">
        <v>6328</v>
      </c>
      <c r="G2296" s="9" t="s">
        <v>6262</v>
      </c>
      <c r="H2296" s="9" t="s">
        <v>6329</v>
      </c>
      <c r="I2296" s="10">
        <v>45513</v>
      </c>
    </row>
    <row r="2297" spans="1:9" x14ac:dyDescent="0.15">
      <c r="A2297" s="9">
        <v>2296</v>
      </c>
      <c r="B2297" s="9" t="s">
        <v>9</v>
      </c>
      <c r="C2297" s="9">
        <v>1910</v>
      </c>
      <c r="D2297" s="10">
        <v>45602</v>
      </c>
      <c r="E2297" s="13" t="str">
        <f>+HYPERLINK("http://trademark.i-assist.jp/data/china/image_1910th/80280523.pdf","80280523")</f>
        <v>80280523</v>
      </c>
      <c r="F2297" s="9" t="s">
        <v>6330</v>
      </c>
      <c r="G2297" s="9" t="s">
        <v>6064</v>
      </c>
      <c r="H2297" s="11" t="s">
        <v>6331</v>
      </c>
      <c r="I2297" s="10">
        <v>45513</v>
      </c>
    </row>
    <row r="2298" spans="1:9" x14ac:dyDescent="0.15">
      <c r="A2298" s="9">
        <v>2297</v>
      </c>
      <c r="B2298" s="9" t="s">
        <v>9</v>
      </c>
      <c r="C2298" s="9">
        <v>1910</v>
      </c>
      <c r="D2298" s="10">
        <v>45602</v>
      </c>
      <c r="E2298" s="13" t="str">
        <f>+HYPERLINK("http://trademark.i-assist.jp/data/china/image_1910th/80280678.pdf","80280678")</f>
        <v>80280678</v>
      </c>
      <c r="F2298" s="9" t="s">
        <v>6332</v>
      </c>
      <c r="G2298" s="9" t="s">
        <v>6333</v>
      </c>
      <c r="H2298" s="9" t="s">
        <v>6334</v>
      </c>
      <c r="I2298" s="10">
        <v>45513</v>
      </c>
    </row>
    <row r="2299" spans="1:9" x14ac:dyDescent="0.15">
      <c r="A2299" s="9">
        <v>2298</v>
      </c>
      <c r="B2299" s="9" t="s">
        <v>9</v>
      </c>
      <c r="C2299" s="9">
        <v>1910</v>
      </c>
      <c r="D2299" s="10">
        <v>45602</v>
      </c>
      <c r="E2299" s="13" t="str">
        <f>+HYPERLINK("http://trademark.i-assist.jp/data/china/image_1910th/80280681.pdf","80280681")</f>
        <v>80280681</v>
      </c>
      <c r="F2299" s="9" t="s">
        <v>6335</v>
      </c>
      <c r="G2299" s="11" t="s">
        <v>3067</v>
      </c>
      <c r="H2299" s="9" t="s">
        <v>6336</v>
      </c>
      <c r="I2299" s="10">
        <v>45513</v>
      </c>
    </row>
    <row r="2300" spans="1:9" x14ac:dyDescent="0.15">
      <c r="A2300" s="9">
        <v>2299</v>
      </c>
      <c r="B2300" s="9" t="s">
        <v>9</v>
      </c>
      <c r="C2300" s="9">
        <v>1910</v>
      </c>
      <c r="D2300" s="10">
        <v>45602</v>
      </c>
      <c r="E2300" s="13" t="str">
        <f>+HYPERLINK("http://trademark.i-assist.jp/data/china/image_1910th/80280710.pdf","80280710")</f>
        <v>80280710</v>
      </c>
      <c r="F2300" s="9" t="s">
        <v>6337</v>
      </c>
      <c r="G2300" s="9" t="s">
        <v>6338</v>
      </c>
      <c r="H2300" s="9" t="s">
        <v>6339</v>
      </c>
      <c r="I2300" s="10">
        <v>45513</v>
      </c>
    </row>
    <row r="2301" spans="1:9" x14ac:dyDescent="0.15">
      <c r="A2301" s="9">
        <v>2300</v>
      </c>
      <c r="B2301" s="9" t="s">
        <v>9</v>
      </c>
      <c r="C2301" s="9">
        <v>1910</v>
      </c>
      <c r="D2301" s="10">
        <v>45602</v>
      </c>
      <c r="E2301" s="13" t="str">
        <f>+HYPERLINK("http://trademark.i-assist.jp/data/china/image_1910th/80280861.pdf","80280861")</f>
        <v>80280861</v>
      </c>
      <c r="F2301" s="11" t="s">
        <v>19</v>
      </c>
      <c r="G2301" s="9" t="s">
        <v>6340</v>
      </c>
      <c r="H2301" s="11" t="s">
        <v>6341</v>
      </c>
      <c r="I2301" s="10">
        <v>45513</v>
      </c>
    </row>
    <row r="2302" spans="1:9" x14ac:dyDescent="0.15">
      <c r="A2302" s="9">
        <v>2301</v>
      </c>
      <c r="B2302" s="9" t="s">
        <v>9</v>
      </c>
      <c r="C2302" s="9">
        <v>1910</v>
      </c>
      <c r="D2302" s="10">
        <v>45602</v>
      </c>
      <c r="E2302" s="13" t="str">
        <f>+HYPERLINK("http://trademark.i-assist.jp/data/china/image_1910th/80280876.pdf","80280876")</f>
        <v>80280876</v>
      </c>
      <c r="F2302" s="9" t="s">
        <v>6342</v>
      </c>
      <c r="G2302" s="11" t="s">
        <v>91</v>
      </c>
      <c r="H2302" s="11" t="s">
        <v>6343</v>
      </c>
      <c r="I2302" s="10">
        <v>45513</v>
      </c>
    </row>
    <row r="2303" spans="1:9" x14ac:dyDescent="0.15">
      <c r="A2303" s="9">
        <v>2302</v>
      </c>
      <c r="B2303" s="9" t="s">
        <v>9</v>
      </c>
      <c r="C2303" s="9">
        <v>1910</v>
      </c>
      <c r="D2303" s="10">
        <v>45602</v>
      </c>
      <c r="E2303" s="13" t="str">
        <f>+HYPERLINK("http://trademark.i-assist.jp/data/china/image_1910th/80280919.pdf","80280919")</f>
        <v>80280919</v>
      </c>
      <c r="F2303" s="9" t="s">
        <v>6344</v>
      </c>
      <c r="G2303" s="9" t="s">
        <v>189</v>
      </c>
      <c r="H2303" s="11" t="s">
        <v>6345</v>
      </c>
      <c r="I2303" s="10">
        <v>45513</v>
      </c>
    </row>
    <row r="2304" spans="1:9" x14ac:dyDescent="0.15">
      <c r="A2304" s="9">
        <v>2303</v>
      </c>
      <c r="B2304" s="9" t="s">
        <v>9</v>
      </c>
      <c r="C2304" s="9">
        <v>1910</v>
      </c>
      <c r="D2304" s="10">
        <v>45602</v>
      </c>
      <c r="E2304" s="13" t="str">
        <f>+HYPERLINK("http://trademark.i-assist.jp/data/china/image_1910th/80280922.pdf","80280922")</f>
        <v>80280922</v>
      </c>
      <c r="F2304" s="11" t="s">
        <v>6346</v>
      </c>
      <c r="G2304" s="11" t="s">
        <v>2217</v>
      </c>
      <c r="H2304" s="9" t="s">
        <v>6347</v>
      </c>
      <c r="I2304" s="10">
        <v>45513</v>
      </c>
    </row>
    <row r="2305" spans="1:9" x14ac:dyDescent="0.15">
      <c r="A2305" s="9">
        <v>2304</v>
      </c>
      <c r="B2305" s="9" t="s">
        <v>9</v>
      </c>
      <c r="C2305" s="9">
        <v>1910</v>
      </c>
      <c r="D2305" s="10">
        <v>45602</v>
      </c>
      <c r="E2305" s="13" t="str">
        <f>+HYPERLINK("http://trademark.i-assist.jp/data/china/image_1910th/80281025.pdf","80281025")</f>
        <v>80281025</v>
      </c>
      <c r="F2305" s="9" t="s">
        <v>6348</v>
      </c>
      <c r="G2305" s="9" t="s">
        <v>6213</v>
      </c>
      <c r="H2305" s="11" t="s">
        <v>6349</v>
      </c>
      <c r="I2305" s="10">
        <v>45513</v>
      </c>
    </row>
    <row r="2306" spans="1:9" x14ac:dyDescent="0.15">
      <c r="A2306" s="9">
        <v>2305</v>
      </c>
      <c r="B2306" s="9" t="s">
        <v>9</v>
      </c>
      <c r="C2306" s="9">
        <v>1910</v>
      </c>
      <c r="D2306" s="10">
        <v>45602</v>
      </c>
      <c r="E2306" s="13" t="str">
        <f>+HYPERLINK("http://trademark.i-assist.jp/data/china/image_1910th/80281038.pdf","80281038")</f>
        <v>80281038</v>
      </c>
      <c r="F2306" s="9" t="s">
        <v>6350</v>
      </c>
      <c r="G2306" s="9" t="s">
        <v>6351</v>
      </c>
      <c r="H2306" s="9" t="s">
        <v>6352</v>
      </c>
      <c r="I2306" s="10">
        <v>45513</v>
      </c>
    </row>
    <row r="2307" spans="1:9" x14ac:dyDescent="0.15">
      <c r="A2307" s="9">
        <v>2306</v>
      </c>
      <c r="B2307" s="9" t="s">
        <v>9</v>
      </c>
      <c r="C2307" s="9">
        <v>1910</v>
      </c>
      <c r="D2307" s="10">
        <v>45602</v>
      </c>
      <c r="E2307" s="13" t="str">
        <f>+HYPERLINK("http://trademark.i-assist.jp/data/china/image_1910th/80281059.pdf","80281059")</f>
        <v>80281059</v>
      </c>
      <c r="F2307" s="9" t="s">
        <v>6353</v>
      </c>
      <c r="G2307" s="9" t="s">
        <v>6035</v>
      </c>
      <c r="H2307" s="9" t="s">
        <v>6354</v>
      </c>
      <c r="I2307" s="10">
        <v>45513</v>
      </c>
    </row>
    <row r="2308" spans="1:9" x14ac:dyDescent="0.15">
      <c r="A2308" s="9">
        <v>2307</v>
      </c>
      <c r="B2308" s="9" t="s">
        <v>9</v>
      </c>
      <c r="C2308" s="9">
        <v>1910</v>
      </c>
      <c r="D2308" s="10">
        <v>45602</v>
      </c>
      <c r="E2308" s="13" t="str">
        <f>+HYPERLINK("http://trademark.i-assist.jp/data/china/image_1910th/80281124.pdf","80281124")</f>
        <v>80281124</v>
      </c>
      <c r="F2308" s="9" t="s">
        <v>6355</v>
      </c>
      <c r="G2308" s="11" t="s">
        <v>5999</v>
      </c>
      <c r="H2308" s="9" t="s">
        <v>6356</v>
      </c>
      <c r="I2308" s="10">
        <v>45513</v>
      </c>
    </row>
    <row r="2309" spans="1:9" x14ac:dyDescent="0.15">
      <c r="A2309" s="9">
        <v>2308</v>
      </c>
      <c r="B2309" s="9" t="s">
        <v>9</v>
      </c>
      <c r="C2309" s="9">
        <v>1910</v>
      </c>
      <c r="D2309" s="10">
        <v>45602</v>
      </c>
      <c r="E2309" s="13" t="str">
        <f>+HYPERLINK("http://trademark.i-assist.jp/data/china/image_1910th/80281141.pdf","80281141")</f>
        <v>80281141</v>
      </c>
      <c r="F2309" s="11" t="s">
        <v>6357</v>
      </c>
      <c r="G2309" s="11" t="s">
        <v>6358</v>
      </c>
      <c r="H2309" s="11" t="s">
        <v>6359</v>
      </c>
      <c r="I2309" s="10">
        <v>45513</v>
      </c>
    </row>
    <row r="2310" spans="1:9" x14ac:dyDescent="0.15">
      <c r="A2310" s="9">
        <v>2309</v>
      </c>
      <c r="B2310" s="9" t="s">
        <v>9</v>
      </c>
      <c r="C2310" s="9">
        <v>1910</v>
      </c>
      <c r="D2310" s="10">
        <v>45602</v>
      </c>
      <c r="E2310" s="13" t="str">
        <f>+HYPERLINK("http://trademark.i-assist.jp/data/china/image_1910th/80281171.pdf","80281171")</f>
        <v>80281171</v>
      </c>
      <c r="F2310" s="11" t="s">
        <v>6360</v>
      </c>
      <c r="G2310" s="9" t="s">
        <v>6262</v>
      </c>
      <c r="H2310" s="9" t="s">
        <v>6361</v>
      </c>
      <c r="I2310" s="10">
        <v>45513</v>
      </c>
    </row>
    <row r="2311" spans="1:9" x14ac:dyDescent="0.15">
      <c r="A2311" s="9">
        <v>2310</v>
      </c>
      <c r="B2311" s="9" t="s">
        <v>9</v>
      </c>
      <c r="C2311" s="9">
        <v>1910</v>
      </c>
      <c r="D2311" s="10">
        <v>45602</v>
      </c>
      <c r="E2311" s="13" t="str">
        <f>+HYPERLINK("http://trademark.i-assist.jp/data/china/image_1910th/80281199.pdf","80281199")</f>
        <v>80281199</v>
      </c>
      <c r="F2311" s="9" t="s">
        <v>6362</v>
      </c>
      <c r="G2311" s="9" t="s">
        <v>6363</v>
      </c>
      <c r="H2311" s="11" t="s">
        <v>6364</v>
      </c>
      <c r="I2311" s="10">
        <v>45513</v>
      </c>
    </row>
    <row r="2312" spans="1:9" x14ac:dyDescent="0.15">
      <c r="A2312" s="9">
        <v>2311</v>
      </c>
      <c r="B2312" s="9" t="s">
        <v>9</v>
      </c>
      <c r="C2312" s="9">
        <v>1910</v>
      </c>
      <c r="D2312" s="10">
        <v>45602</v>
      </c>
      <c r="E2312" s="13" t="str">
        <f>+HYPERLINK("http://trademark.i-assist.jp/data/china/image_1910th/80281470.pdf","80281470")</f>
        <v>80281470</v>
      </c>
      <c r="F2312" s="11" t="s">
        <v>19</v>
      </c>
      <c r="G2312" s="9" t="s">
        <v>6365</v>
      </c>
      <c r="H2312" s="9" t="s">
        <v>6366</v>
      </c>
      <c r="I2312" s="10">
        <v>45513</v>
      </c>
    </row>
    <row r="2313" spans="1:9" x14ac:dyDescent="0.15">
      <c r="A2313" s="9">
        <v>2312</v>
      </c>
      <c r="B2313" s="9" t="s">
        <v>9</v>
      </c>
      <c r="C2313" s="9">
        <v>1910</v>
      </c>
      <c r="D2313" s="10">
        <v>45602</v>
      </c>
      <c r="E2313" s="13" t="str">
        <f>+HYPERLINK("http://trademark.i-assist.jp/data/china/image_1910th/80281616.pdf","80281616")</f>
        <v>80281616</v>
      </c>
      <c r="F2313" s="11" t="s">
        <v>6367</v>
      </c>
      <c r="G2313" s="11" t="s">
        <v>6368</v>
      </c>
      <c r="H2313" s="9" t="s">
        <v>6369</v>
      </c>
      <c r="I2313" s="10">
        <v>45513</v>
      </c>
    </row>
    <row r="2314" spans="1:9" x14ac:dyDescent="0.15">
      <c r="A2314" s="9">
        <v>2313</v>
      </c>
      <c r="B2314" s="9" t="s">
        <v>9</v>
      </c>
      <c r="C2314" s="9">
        <v>1910</v>
      </c>
      <c r="D2314" s="10">
        <v>45602</v>
      </c>
      <c r="E2314" s="13" t="str">
        <f>+HYPERLINK("http://trademark.i-assist.jp/data/china/image_1910th/80281692.pdf","80281692")</f>
        <v>80281692</v>
      </c>
      <c r="F2314" s="11" t="s">
        <v>6370</v>
      </c>
      <c r="G2314" s="9" t="s">
        <v>6371</v>
      </c>
      <c r="H2314" s="9" t="s">
        <v>6372</v>
      </c>
      <c r="I2314" s="10">
        <v>45513</v>
      </c>
    </row>
    <row r="2315" spans="1:9" x14ac:dyDescent="0.15">
      <c r="A2315" s="9">
        <v>2314</v>
      </c>
      <c r="B2315" s="9" t="s">
        <v>9</v>
      </c>
      <c r="C2315" s="9">
        <v>1910</v>
      </c>
      <c r="D2315" s="10">
        <v>45602</v>
      </c>
      <c r="E2315" s="13" t="str">
        <f>+HYPERLINK("http://trademark.i-assist.jp/data/china/image_1910th/80281840.pdf","80281840")</f>
        <v>80281840</v>
      </c>
      <c r="F2315" s="9" t="s">
        <v>6373</v>
      </c>
      <c r="G2315" s="9" t="s">
        <v>6374</v>
      </c>
      <c r="H2315" s="11" t="s">
        <v>6375</v>
      </c>
      <c r="I2315" s="10">
        <v>45513</v>
      </c>
    </row>
    <row r="2316" spans="1:9" x14ac:dyDescent="0.15">
      <c r="A2316" s="9">
        <v>2315</v>
      </c>
      <c r="B2316" s="9" t="s">
        <v>9</v>
      </c>
      <c r="C2316" s="9">
        <v>1910</v>
      </c>
      <c r="D2316" s="10">
        <v>45602</v>
      </c>
      <c r="E2316" s="13" t="str">
        <f>+HYPERLINK("http://trademark.i-assist.jp/data/china/image_1910th/80281912.pdf","80281912")</f>
        <v>80281912</v>
      </c>
      <c r="F2316" s="11" t="s">
        <v>6376</v>
      </c>
      <c r="G2316" s="9" t="s">
        <v>6377</v>
      </c>
      <c r="H2316" s="9" t="s">
        <v>6378</v>
      </c>
      <c r="I2316" s="10">
        <v>45513</v>
      </c>
    </row>
    <row r="2317" spans="1:9" x14ac:dyDescent="0.15">
      <c r="A2317" s="9">
        <v>2316</v>
      </c>
      <c r="B2317" s="9" t="s">
        <v>9</v>
      </c>
      <c r="C2317" s="9">
        <v>1910</v>
      </c>
      <c r="D2317" s="10">
        <v>45602</v>
      </c>
      <c r="E2317" s="13" t="str">
        <f>+HYPERLINK("http://trademark.i-assist.jp/data/china/image_1910th/80281954.pdf","80281954")</f>
        <v>80281954</v>
      </c>
      <c r="F2317" s="11" t="s">
        <v>6379</v>
      </c>
      <c r="G2317" s="11" t="s">
        <v>6380</v>
      </c>
      <c r="H2317" s="9" t="s">
        <v>6381</v>
      </c>
      <c r="I2317" s="10">
        <v>45513</v>
      </c>
    </row>
    <row r="2318" spans="1:9" x14ac:dyDescent="0.15">
      <c r="A2318" s="9">
        <v>2317</v>
      </c>
      <c r="B2318" s="9" t="s">
        <v>9</v>
      </c>
      <c r="C2318" s="9">
        <v>1910</v>
      </c>
      <c r="D2318" s="10">
        <v>45602</v>
      </c>
      <c r="E2318" s="13" t="str">
        <f>+HYPERLINK("http://trademark.i-assist.jp/data/china/image_1910th/80282009.pdf","80282009")</f>
        <v>80282009</v>
      </c>
      <c r="F2318" s="9" t="s">
        <v>6382</v>
      </c>
      <c r="G2318" s="9" t="s">
        <v>6191</v>
      </c>
      <c r="H2318" s="9" t="s">
        <v>6383</v>
      </c>
      <c r="I2318" s="10">
        <v>45513</v>
      </c>
    </row>
    <row r="2319" spans="1:9" x14ac:dyDescent="0.15">
      <c r="A2319" s="9">
        <v>2318</v>
      </c>
      <c r="B2319" s="9" t="s">
        <v>9</v>
      </c>
      <c r="C2319" s="9">
        <v>1910</v>
      </c>
      <c r="D2319" s="10">
        <v>45602</v>
      </c>
      <c r="E2319" s="13" t="str">
        <f>+HYPERLINK("http://trademark.i-assist.jp/data/china/image_1910th/80282147.pdf","80282147")</f>
        <v>80282147</v>
      </c>
      <c r="F2319" s="9" t="s">
        <v>6384</v>
      </c>
      <c r="G2319" s="11" t="s">
        <v>6385</v>
      </c>
      <c r="H2319" s="9" t="s">
        <v>6386</v>
      </c>
      <c r="I2319" s="10">
        <v>45513</v>
      </c>
    </row>
    <row r="2320" spans="1:9" x14ac:dyDescent="0.15">
      <c r="A2320" s="9">
        <v>2319</v>
      </c>
      <c r="B2320" s="9" t="s">
        <v>9</v>
      </c>
      <c r="C2320" s="9">
        <v>1910</v>
      </c>
      <c r="D2320" s="10">
        <v>45602</v>
      </c>
      <c r="E2320" s="13" t="str">
        <f>+HYPERLINK("http://trademark.i-assist.jp/data/china/image_1910th/80282189.pdf","80282189")</f>
        <v>80282189</v>
      </c>
      <c r="F2320" s="9" t="s">
        <v>6387</v>
      </c>
      <c r="G2320" s="9" t="s">
        <v>6388</v>
      </c>
      <c r="H2320" s="9" t="s">
        <v>6389</v>
      </c>
      <c r="I2320" s="10">
        <v>45513</v>
      </c>
    </row>
    <row r="2321" spans="1:9" x14ac:dyDescent="0.15">
      <c r="A2321" s="9">
        <v>2320</v>
      </c>
      <c r="B2321" s="9" t="s">
        <v>9</v>
      </c>
      <c r="C2321" s="9">
        <v>1910</v>
      </c>
      <c r="D2321" s="10">
        <v>45602</v>
      </c>
      <c r="E2321" s="13" t="str">
        <f>+HYPERLINK("http://trademark.i-assist.jp/data/china/image_1910th/80282242.pdf","80282242")</f>
        <v>80282242</v>
      </c>
      <c r="F2321" s="9" t="s">
        <v>6390</v>
      </c>
      <c r="G2321" s="9" t="s">
        <v>6132</v>
      </c>
      <c r="H2321" s="9" t="s">
        <v>6391</v>
      </c>
      <c r="I2321" s="10">
        <v>45513</v>
      </c>
    </row>
    <row r="2322" spans="1:9" x14ac:dyDescent="0.15">
      <c r="A2322" s="9">
        <v>2321</v>
      </c>
      <c r="B2322" s="9" t="s">
        <v>9</v>
      </c>
      <c r="C2322" s="9">
        <v>1910</v>
      </c>
      <c r="D2322" s="10">
        <v>45602</v>
      </c>
      <c r="E2322" s="13" t="str">
        <f>+HYPERLINK("http://trademark.i-assist.jp/data/china/image_1910th/80282368.pdf","80282368")</f>
        <v>80282368</v>
      </c>
      <c r="F2322" s="9" t="s">
        <v>6392</v>
      </c>
      <c r="G2322" s="9" t="s">
        <v>6393</v>
      </c>
      <c r="H2322" s="9" t="s">
        <v>6394</v>
      </c>
      <c r="I2322" s="10">
        <v>45513</v>
      </c>
    </row>
    <row r="2323" spans="1:9" x14ac:dyDescent="0.15">
      <c r="A2323" s="9">
        <v>2322</v>
      </c>
      <c r="B2323" s="9" t="s">
        <v>9</v>
      </c>
      <c r="C2323" s="9">
        <v>1910</v>
      </c>
      <c r="D2323" s="10">
        <v>45602</v>
      </c>
      <c r="E2323" s="13" t="str">
        <f>+HYPERLINK("http://trademark.i-assist.jp/data/china/image_1910th/80282430.pdf","80282430")</f>
        <v>80282430</v>
      </c>
      <c r="F2323" s="9" t="s">
        <v>6395</v>
      </c>
      <c r="G2323" s="9" t="s">
        <v>188</v>
      </c>
      <c r="H2323" s="9" t="s">
        <v>6396</v>
      </c>
      <c r="I2323" s="10">
        <v>45513</v>
      </c>
    </row>
    <row r="2324" spans="1:9" x14ac:dyDescent="0.15">
      <c r="A2324" s="9">
        <v>2323</v>
      </c>
      <c r="B2324" s="9" t="s">
        <v>9</v>
      </c>
      <c r="C2324" s="9">
        <v>1910</v>
      </c>
      <c r="D2324" s="10">
        <v>45602</v>
      </c>
      <c r="E2324" s="13" t="str">
        <f>+HYPERLINK("http://trademark.i-assist.jp/data/china/image_1910th/80282434.pdf","80282434")</f>
        <v>80282434</v>
      </c>
      <c r="F2324" s="9" t="s">
        <v>6397</v>
      </c>
      <c r="G2324" s="9" t="s">
        <v>6398</v>
      </c>
      <c r="H2324" s="9" t="s">
        <v>6399</v>
      </c>
      <c r="I2324" s="10">
        <v>45513</v>
      </c>
    </row>
    <row r="2325" spans="1:9" x14ac:dyDescent="0.15">
      <c r="A2325" s="9">
        <v>2324</v>
      </c>
      <c r="B2325" s="9" t="s">
        <v>9</v>
      </c>
      <c r="C2325" s="9">
        <v>1910</v>
      </c>
      <c r="D2325" s="10">
        <v>45602</v>
      </c>
      <c r="E2325" s="13" t="str">
        <f>+HYPERLINK("http://trademark.i-assist.jp/data/china/image_1910th/80282802.pdf","80282802")</f>
        <v>80282802</v>
      </c>
      <c r="F2325" s="11" t="s">
        <v>6400</v>
      </c>
      <c r="G2325" s="9" t="s">
        <v>6401</v>
      </c>
      <c r="H2325" s="9" t="s">
        <v>6402</v>
      </c>
      <c r="I2325" s="10">
        <v>45513</v>
      </c>
    </row>
    <row r="2326" spans="1:9" x14ac:dyDescent="0.15">
      <c r="A2326" s="9">
        <v>2325</v>
      </c>
      <c r="B2326" s="9" t="s">
        <v>9</v>
      </c>
      <c r="C2326" s="9">
        <v>1910</v>
      </c>
      <c r="D2326" s="10">
        <v>45602</v>
      </c>
      <c r="E2326" s="13" t="str">
        <f>+HYPERLINK("http://trademark.i-assist.jp/data/china/image_1910th/80283000.pdf","80283000")</f>
        <v>80283000</v>
      </c>
      <c r="F2326" s="9" t="s">
        <v>6403</v>
      </c>
      <c r="G2326" s="11" t="s">
        <v>6072</v>
      </c>
      <c r="H2326" s="11" t="s">
        <v>6404</v>
      </c>
      <c r="I2326" s="10">
        <v>45513</v>
      </c>
    </row>
    <row r="2327" spans="1:9" x14ac:dyDescent="0.15">
      <c r="A2327" s="9">
        <v>2326</v>
      </c>
      <c r="B2327" s="9" t="s">
        <v>9</v>
      </c>
      <c r="C2327" s="9">
        <v>1910</v>
      </c>
      <c r="D2327" s="10">
        <v>45602</v>
      </c>
      <c r="E2327" s="13" t="str">
        <f>+HYPERLINK("http://trademark.i-assist.jp/data/china/image_1910th/80283430.pdf","80283430")</f>
        <v>80283430</v>
      </c>
      <c r="F2327" s="11" t="s">
        <v>19</v>
      </c>
      <c r="G2327" s="9" t="s">
        <v>6405</v>
      </c>
      <c r="H2327" s="9" t="s">
        <v>6406</v>
      </c>
      <c r="I2327" s="10">
        <v>45513</v>
      </c>
    </row>
    <row r="2328" spans="1:9" x14ac:dyDescent="0.15">
      <c r="A2328" s="9">
        <v>2327</v>
      </c>
      <c r="B2328" s="9" t="s">
        <v>9</v>
      </c>
      <c r="C2328" s="9">
        <v>1910</v>
      </c>
      <c r="D2328" s="10">
        <v>45602</v>
      </c>
      <c r="E2328" s="13" t="str">
        <f>+HYPERLINK("http://trademark.i-assist.jp/data/china/image_1910th/80283457.pdf","80283457")</f>
        <v>80283457</v>
      </c>
      <c r="F2328" s="9" t="s">
        <v>6407</v>
      </c>
      <c r="G2328" s="9" t="s">
        <v>6156</v>
      </c>
      <c r="H2328" s="11" t="s">
        <v>6408</v>
      </c>
      <c r="I2328" s="10">
        <v>45513</v>
      </c>
    </row>
    <row r="2329" spans="1:9" x14ac:dyDescent="0.15">
      <c r="A2329" s="9">
        <v>2328</v>
      </c>
      <c r="B2329" s="9" t="s">
        <v>9</v>
      </c>
      <c r="C2329" s="9">
        <v>1910</v>
      </c>
      <c r="D2329" s="10">
        <v>45602</v>
      </c>
      <c r="E2329" s="13" t="str">
        <f>+HYPERLINK("http://trademark.i-assist.jp/data/china/image_1910th/80283536.pdf","80283536")</f>
        <v>80283536</v>
      </c>
      <c r="F2329" s="11" t="s">
        <v>19</v>
      </c>
      <c r="G2329" s="9" t="s">
        <v>6409</v>
      </c>
      <c r="H2329" s="9" t="s">
        <v>6410</v>
      </c>
      <c r="I2329" s="10">
        <v>45513</v>
      </c>
    </row>
    <row r="2330" spans="1:9" x14ac:dyDescent="0.15">
      <c r="A2330" s="9">
        <v>2329</v>
      </c>
      <c r="B2330" s="9" t="s">
        <v>9</v>
      </c>
      <c r="C2330" s="9">
        <v>1910</v>
      </c>
      <c r="D2330" s="10">
        <v>45602</v>
      </c>
      <c r="E2330" s="13" t="str">
        <f>+HYPERLINK("http://trademark.i-assist.jp/data/china/image_1910th/80283656.pdf","80283656")</f>
        <v>80283656</v>
      </c>
      <c r="F2330" s="9" t="s">
        <v>6411</v>
      </c>
      <c r="G2330" s="9" t="s">
        <v>6412</v>
      </c>
      <c r="H2330" s="9" t="s">
        <v>6413</v>
      </c>
      <c r="I2330" s="10">
        <v>45513</v>
      </c>
    </row>
    <row r="2331" spans="1:9" x14ac:dyDescent="0.15">
      <c r="A2331" s="9">
        <v>2330</v>
      </c>
      <c r="B2331" s="9" t="s">
        <v>9</v>
      </c>
      <c r="C2331" s="9">
        <v>1910</v>
      </c>
      <c r="D2331" s="10">
        <v>45602</v>
      </c>
      <c r="E2331" s="13" t="str">
        <f>+HYPERLINK("http://trademark.i-assist.jp/data/china/image_1910th/80283775.pdf","80283775")</f>
        <v>80283775</v>
      </c>
      <c r="F2331" s="9" t="s">
        <v>6414</v>
      </c>
      <c r="G2331" s="9" t="s">
        <v>6225</v>
      </c>
      <c r="H2331" s="9" t="s">
        <v>6415</v>
      </c>
      <c r="I2331" s="10">
        <v>45513</v>
      </c>
    </row>
    <row r="2332" spans="1:9" x14ac:dyDescent="0.15">
      <c r="A2332" s="9">
        <v>2331</v>
      </c>
      <c r="B2332" s="9" t="s">
        <v>9</v>
      </c>
      <c r="C2332" s="9">
        <v>1910</v>
      </c>
      <c r="D2332" s="10">
        <v>45602</v>
      </c>
      <c r="E2332" s="13" t="str">
        <f>+HYPERLINK("http://trademark.i-assist.jp/data/china/image_1910th/80283884.pdf","80283884")</f>
        <v>80283884</v>
      </c>
      <c r="F2332" s="9" t="s">
        <v>6416</v>
      </c>
      <c r="G2332" s="9" t="s">
        <v>6213</v>
      </c>
      <c r="H2332" s="9" t="s">
        <v>6417</v>
      </c>
      <c r="I2332" s="10">
        <v>45513</v>
      </c>
    </row>
    <row r="2333" spans="1:9" x14ac:dyDescent="0.15">
      <c r="A2333" s="9">
        <v>2332</v>
      </c>
      <c r="B2333" s="9" t="s">
        <v>9</v>
      </c>
      <c r="C2333" s="9">
        <v>1910</v>
      </c>
      <c r="D2333" s="10">
        <v>45602</v>
      </c>
      <c r="E2333" s="13" t="str">
        <f>+HYPERLINK("http://trademark.i-assist.jp/data/china/image_1910th/80283911.pdf","80283911")</f>
        <v>80283911</v>
      </c>
      <c r="F2333" s="9" t="s">
        <v>6418</v>
      </c>
      <c r="G2333" s="11" t="s">
        <v>6253</v>
      </c>
      <c r="H2333" s="11" t="s">
        <v>6419</v>
      </c>
      <c r="I2333" s="10">
        <v>45513</v>
      </c>
    </row>
    <row r="2334" spans="1:9" x14ac:dyDescent="0.15">
      <c r="A2334" s="9">
        <v>2333</v>
      </c>
      <c r="B2334" s="9" t="s">
        <v>9</v>
      </c>
      <c r="C2334" s="9">
        <v>1910</v>
      </c>
      <c r="D2334" s="10">
        <v>45602</v>
      </c>
      <c r="E2334" s="13" t="str">
        <f>+HYPERLINK("http://trademark.i-assist.jp/data/china/image_1910th/80284402.pdf","80284402")</f>
        <v>80284402</v>
      </c>
      <c r="F2334" s="9" t="s">
        <v>6420</v>
      </c>
      <c r="G2334" s="9" t="s">
        <v>6421</v>
      </c>
      <c r="H2334" s="9" t="s">
        <v>6422</v>
      </c>
      <c r="I2334" s="10">
        <v>45513</v>
      </c>
    </row>
    <row r="2335" spans="1:9" x14ac:dyDescent="0.15">
      <c r="A2335" s="9">
        <v>2334</v>
      </c>
      <c r="B2335" s="9" t="s">
        <v>9</v>
      </c>
      <c r="C2335" s="9">
        <v>1910</v>
      </c>
      <c r="D2335" s="10">
        <v>45602</v>
      </c>
      <c r="E2335" s="13" t="str">
        <f>+HYPERLINK("http://trademark.i-assist.jp/data/china/image_1910th/80284481.pdf","80284481")</f>
        <v>80284481</v>
      </c>
      <c r="F2335" s="9" t="s">
        <v>6423</v>
      </c>
      <c r="G2335" s="9" t="s">
        <v>4586</v>
      </c>
      <c r="H2335" s="9" t="s">
        <v>6424</v>
      </c>
      <c r="I2335" s="10">
        <v>45513</v>
      </c>
    </row>
    <row r="2336" spans="1:9" x14ac:dyDescent="0.15">
      <c r="A2336" s="9">
        <v>2335</v>
      </c>
      <c r="B2336" s="9" t="s">
        <v>9</v>
      </c>
      <c r="C2336" s="9">
        <v>1910</v>
      </c>
      <c r="D2336" s="10">
        <v>45602</v>
      </c>
      <c r="E2336" s="13" t="str">
        <f>+HYPERLINK("http://trademark.i-assist.jp/data/china/image_1910th/80284685.pdf","80284685")</f>
        <v>80284685</v>
      </c>
      <c r="F2336" s="9" t="s">
        <v>6425</v>
      </c>
      <c r="G2336" s="11" t="s">
        <v>6253</v>
      </c>
      <c r="H2336" s="9" t="s">
        <v>6426</v>
      </c>
      <c r="I2336" s="10">
        <v>45513</v>
      </c>
    </row>
    <row r="2337" spans="1:9" x14ac:dyDescent="0.15">
      <c r="A2337" s="9">
        <v>2336</v>
      </c>
      <c r="B2337" s="9" t="s">
        <v>9</v>
      </c>
      <c r="C2337" s="9">
        <v>1910</v>
      </c>
      <c r="D2337" s="10">
        <v>45602</v>
      </c>
      <c r="E2337" s="13" t="str">
        <f>+HYPERLINK("http://trademark.i-assist.jp/data/china/image_1910th/80284794.pdf","80284794")</f>
        <v>80284794</v>
      </c>
      <c r="F2337" s="9" t="s">
        <v>6427</v>
      </c>
      <c r="G2337" s="9" t="s">
        <v>6428</v>
      </c>
      <c r="H2337" s="9" t="s">
        <v>6429</v>
      </c>
      <c r="I2337" s="10">
        <v>45513</v>
      </c>
    </row>
    <row r="2338" spans="1:9" x14ac:dyDescent="0.15">
      <c r="A2338" s="9">
        <v>2337</v>
      </c>
      <c r="B2338" s="9" t="s">
        <v>9</v>
      </c>
      <c r="C2338" s="9">
        <v>1910</v>
      </c>
      <c r="D2338" s="10">
        <v>45602</v>
      </c>
      <c r="E2338" s="13" t="str">
        <f>+HYPERLINK("http://trademark.i-assist.jp/data/china/image_1910th/80284799.pdf","80284799")</f>
        <v>80284799</v>
      </c>
      <c r="F2338" s="9" t="s">
        <v>6430</v>
      </c>
      <c r="G2338" s="11" t="s">
        <v>6242</v>
      </c>
      <c r="H2338" s="9" t="s">
        <v>6431</v>
      </c>
      <c r="I2338" s="10">
        <v>45513</v>
      </c>
    </row>
    <row r="2339" spans="1:9" x14ac:dyDescent="0.15">
      <c r="A2339" s="9">
        <v>2338</v>
      </c>
      <c r="B2339" s="9" t="s">
        <v>9</v>
      </c>
      <c r="C2339" s="9">
        <v>1910</v>
      </c>
      <c r="D2339" s="10">
        <v>45602</v>
      </c>
      <c r="E2339" s="13" t="str">
        <f>+HYPERLINK("http://trademark.i-assist.jp/data/china/image_1910th/80284884.pdf","80284884")</f>
        <v>80284884</v>
      </c>
      <c r="F2339" s="11" t="s">
        <v>6432</v>
      </c>
      <c r="G2339" s="9" t="s">
        <v>6433</v>
      </c>
      <c r="H2339" s="9" t="s">
        <v>6434</v>
      </c>
      <c r="I2339" s="10">
        <v>45513</v>
      </c>
    </row>
    <row r="2340" spans="1:9" x14ac:dyDescent="0.15">
      <c r="A2340" s="9">
        <v>2339</v>
      </c>
      <c r="B2340" s="9" t="s">
        <v>9</v>
      </c>
      <c r="C2340" s="9">
        <v>1910</v>
      </c>
      <c r="D2340" s="10">
        <v>45602</v>
      </c>
      <c r="E2340" s="13" t="str">
        <f>+HYPERLINK("http://trademark.i-assist.jp/data/china/image_1910th/80284893.pdf","80284893")</f>
        <v>80284893</v>
      </c>
      <c r="F2340" s="9" t="s">
        <v>6435</v>
      </c>
      <c r="G2340" s="9" t="s">
        <v>6436</v>
      </c>
      <c r="H2340" s="9" t="s">
        <v>6437</v>
      </c>
      <c r="I2340" s="10">
        <v>45513</v>
      </c>
    </row>
    <row r="2341" spans="1:9" x14ac:dyDescent="0.15">
      <c r="A2341" s="9">
        <v>2340</v>
      </c>
      <c r="B2341" s="9" t="s">
        <v>9</v>
      </c>
      <c r="C2341" s="9">
        <v>1910</v>
      </c>
      <c r="D2341" s="10">
        <v>45602</v>
      </c>
      <c r="E2341" s="13" t="str">
        <f>+HYPERLINK("http://trademark.i-assist.jp/data/china/image_1910th/80285297.pdf","80285297")</f>
        <v>80285297</v>
      </c>
      <c r="F2341" s="9" t="s">
        <v>6438</v>
      </c>
      <c r="G2341" s="9" t="s">
        <v>194</v>
      </c>
      <c r="H2341" s="9" t="s">
        <v>6439</v>
      </c>
      <c r="I2341" s="10">
        <v>45513</v>
      </c>
    </row>
    <row r="2342" spans="1:9" x14ac:dyDescent="0.15">
      <c r="A2342" s="9">
        <v>2341</v>
      </c>
      <c r="B2342" s="9" t="s">
        <v>9</v>
      </c>
      <c r="C2342" s="9">
        <v>1910</v>
      </c>
      <c r="D2342" s="10">
        <v>45602</v>
      </c>
      <c r="E2342" s="13" t="str">
        <f>+HYPERLINK("http://trademark.i-assist.jp/data/china/image_1910th/80285303.pdf","80285303")</f>
        <v>80285303</v>
      </c>
      <c r="F2342" s="11" t="s">
        <v>6440</v>
      </c>
      <c r="G2342" s="9" t="s">
        <v>6103</v>
      </c>
      <c r="H2342" s="9" t="s">
        <v>6441</v>
      </c>
      <c r="I2342" s="10">
        <v>45513</v>
      </c>
    </row>
    <row r="2343" spans="1:9" x14ac:dyDescent="0.15">
      <c r="A2343" s="9">
        <v>2342</v>
      </c>
      <c r="B2343" s="9" t="s">
        <v>9</v>
      </c>
      <c r="C2343" s="9">
        <v>1910</v>
      </c>
      <c r="D2343" s="10">
        <v>45602</v>
      </c>
      <c r="E2343" s="13" t="str">
        <f>+HYPERLINK("http://trademark.i-assist.jp/data/china/image_1910th/80285395.pdf","80285395")</f>
        <v>80285395</v>
      </c>
      <c r="F2343" s="9" t="s">
        <v>6442</v>
      </c>
      <c r="G2343" s="9" t="s">
        <v>6443</v>
      </c>
      <c r="H2343" s="11" t="s">
        <v>6444</v>
      </c>
      <c r="I2343" s="10">
        <v>45513</v>
      </c>
    </row>
    <row r="2344" spans="1:9" x14ac:dyDescent="0.15">
      <c r="A2344" s="9">
        <v>2343</v>
      </c>
      <c r="B2344" s="9" t="s">
        <v>9</v>
      </c>
      <c r="C2344" s="9">
        <v>1910</v>
      </c>
      <c r="D2344" s="10">
        <v>45602</v>
      </c>
      <c r="E2344" s="13" t="str">
        <f>+HYPERLINK("http://trademark.i-assist.jp/data/china/image_1910th/80285476.pdf","80285476")</f>
        <v>80285476</v>
      </c>
      <c r="F2344" s="9" t="s">
        <v>6445</v>
      </c>
      <c r="G2344" s="9" t="s">
        <v>6446</v>
      </c>
      <c r="H2344" s="9" t="s">
        <v>6447</v>
      </c>
      <c r="I2344" s="10">
        <v>45513</v>
      </c>
    </row>
    <row r="2345" spans="1:9" x14ac:dyDescent="0.15">
      <c r="A2345" s="9">
        <v>2344</v>
      </c>
      <c r="B2345" s="9" t="s">
        <v>9</v>
      </c>
      <c r="C2345" s="9">
        <v>1910</v>
      </c>
      <c r="D2345" s="10">
        <v>45602</v>
      </c>
      <c r="E2345" s="13" t="str">
        <f>+HYPERLINK("http://trademark.i-assist.jp/data/china/image_1910th/80285522.pdf","80285522")</f>
        <v>80285522</v>
      </c>
      <c r="F2345" s="9" t="s">
        <v>6448</v>
      </c>
      <c r="G2345" s="9" t="s">
        <v>6035</v>
      </c>
      <c r="H2345" s="9" t="s">
        <v>6449</v>
      </c>
      <c r="I2345" s="10">
        <v>45513</v>
      </c>
    </row>
    <row r="2346" spans="1:9" x14ac:dyDescent="0.15">
      <c r="A2346" s="9">
        <v>2345</v>
      </c>
      <c r="B2346" s="9" t="s">
        <v>9</v>
      </c>
      <c r="C2346" s="9">
        <v>1910</v>
      </c>
      <c r="D2346" s="10">
        <v>45602</v>
      </c>
      <c r="E2346" s="13" t="str">
        <f>+HYPERLINK("http://trademark.i-assist.jp/data/china/image_1910th/80285565.pdf","80285565")</f>
        <v>80285565</v>
      </c>
      <c r="F2346" s="9" t="s">
        <v>6450</v>
      </c>
      <c r="G2346" s="11" t="s">
        <v>6072</v>
      </c>
      <c r="H2346" s="9" t="s">
        <v>6451</v>
      </c>
      <c r="I2346" s="10">
        <v>45513</v>
      </c>
    </row>
    <row r="2347" spans="1:9" x14ac:dyDescent="0.15">
      <c r="A2347" s="9">
        <v>2346</v>
      </c>
      <c r="B2347" s="9" t="s">
        <v>9</v>
      </c>
      <c r="C2347" s="9">
        <v>1910</v>
      </c>
      <c r="D2347" s="10">
        <v>45602</v>
      </c>
      <c r="E2347" s="13" t="str">
        <f>+HYPERLINK("http://trademark.i-assist.jp/data/china/image_1910th/80285717.pdf","80285717")</f>
        <v>80285717</v>
      </c>
      <c r="F2347" s="11" t="s">
        <v>6452</v>
      </c>
      <c r="G2347" s="11" t="s">
        <v>6453</v>
      </c>
      <c r="H2347" s="9" t="s">
        <v>6454</v>
      </c>
      <c r="I2347" s="10">
        <v>45513</v>
      </c>
    </row>
    <row r="2348" spans="1:9" x14ac:dyDescent="0.15">
      <c r="A2348" s="9">
        <v>2347</v>
      </c>
      <c r="B2348" s="9" t="s">
        <v>9</v>
      </c>
      <c r="C2348" s="9">
        <v>1910</v>
      </c>
      <c r="D2348" s="10">
        <v>45602</v>
      </c>
      <c r="E2348" s="13" t="str">
        <f>+HYPERLINK("http://trademark.i-assist.jp/data/china/image_1910th/80285868.pdf","80285868")</f>
        <v>80285868</v>
      </c>
      <c r="F2348" s="9" t="s">
        <v>6455</v>
      </c>
      <c r="G2348" s="9" t="s">
        <v>6147</v>
      </c>
      <c r="H2348" s="9" t="s">
        <v>6456</v>
      </c>
      <c r="I2348" s="10">
        <v>45513</v>
      </c>
    </row>
    <row r="2349" spans="1:9" x14ac:dyDescent="0.15">
      <c r="A2349" s="9">
        <v>2348</v>
      </c>
      <c r="B2349" s="9" t="s">
        <v>9</v>
      </c>
      <c r="C2349" s="9">
        <v>1910</v>
      </c>
      <c r="D2349" s="10">
        <v>45602</v>
      </c>
      <c r="E2349" s="13" t="str">
        <f>+HYPERLINK("http://trademark.i-assist.jp/data/china/image_1910th/80285893.pdf","80285893")</f>
        <v>80285893</v>
      </c>
      <c r="F2349" s="9" t="s">
        <v>6457</v>
      </c>
      <c r="G2349" s="9" t="s">
        <v>6052</v>
      </c>
      <c r="H2349" s="11" t="s">
        <v>6458</v>
      </c>
      <c r="I2349" s="10">
        <v>45513</v>
      </c>
    </row>
    <row r="2350" spans="1:9" x14ac:dyDescent="0.15">
      <c r="A2350" s="9">
        <v>2349</v>
      </c>
      <c r="B2350" s="9" t="s">
        <v>9</v>
      </c>
      <c r="C2350" s="9">
        <v>1910</v>
      </c>
      <c r="D2350" s="10">
        <v>45602</v>
      </c>
      <c r="E2350" s="13" t="str">
        <f>+HYPERLINK("http://trademark.i-assist.jp/data/china/image_1910th/80285904.pdf","80285904")</f>
        <v>80285904</v>
      </c>
      <c r="F2350" s="11" t="s">
        <v>6459</v>
      </c>
      <c r="G2350" s="11" t="s">
        <v>6368</v>
      </c>
      <c r="H2350" s="9" t="s">
        <v>6460</v>
      </c>
      <c r="I2350" s="10">
        <v>45513</v>
      </c>
    </row>
    <row r="2351" spans="1:9" x14ac:dyDescent="0.15">
      <c r="A2351" s="9">
        <v>2350</v>
      </c>
      <c r="B2351" s="9" t="s">
        <v>9</v>
      </c>
      <c r="C2351" s="9">
        <v>1910</v>
      </c>
      <c r="D2351" s="10">
        <v>45602</v>
      </c>
      <c r="E2351" s="13" t="str">
        <f>+HYPERLINK("http://trademark.i-assist.jp/data/china/image_1910th/80285906.pdf","80285906")</f>
        <v>80285906</v>
      </c>
      <c r="F2351" s="9" t="s">
        <v>6461</v>
      </c>
      <c r="G2351" s="9" t="s">
        <v>6052</v>
      </c>
      <c r="H2351" s="9" t="s">
        <v>6462</v>
      </c>
      <c r="I2351" s="10">
        <v>45513</v>
      </c>
    </row>
    <row r="2352" spans="1:9" x14ac:dyDescent="0.15">
      <c r="A2352" s="9">
        <v>2351</v>
      </c>
      <c r="B2352" s="9" t="s">
        <v>9</v>
      </c>
      <c r="C2352" s="9">
        <v>1910</v>
      </c>
      <c r="D2352" s="10">
        <v>45602</v>
      </c>
      <c r="E2352" s="13" t="str">
        <f>+HYPERLINK("http://trademark.i-assist.jp/data/china/image_1910th/80285988.pdf","80285988")</f>
        <v>80285988</v>
      </c>
      <c r="F2352" s="9" t="s">
        <v>6463</v>
      </c>
      <c r="G2352" s="9" t="s">
        <v>6464</v>
      </c>
      <c r="H2352" s="9" t="s">
        <v>6465</v>
      </c>
      <c r="I2352" s="10">
        <v>45513</v>
      </c>
    </row>
    <row r="2353" spans="1:9" x14ac:dyDescent="0.15">
      <c r="A2353" s="9">
        <v>2352</v>
      </c>
      <c r="B2353" s="9" t="s">
        <v>9</v>
      </c>
      <c r="C2353" s="9">
        <v>1910</v>
      </c>
      <c r="D2353" s="10">
        <v>45602</v>
      </c>
      <c r="E2353" s="13" t="str">
        <f>+HYPERLINK("http://trademark.i-assist.jp/data/china/image_1910th/80286100.pdf","80286100")</f>
        <v>80286100</v>
      </c>
      <c r="F2353" s="9" t="s">
        <v>6466</v>
      </c>
      <c r="G2353" s="9" t="s">
        <v>77</v>
      </c>
      <c r="H2353" s="9" t="s">
        <v>6467</v>
      </c>
      <c r="I2353" s="10">
        <v>45513</v>
      </c>
    </row>
    <row r="2354" spans="1:9" x14ac:dyDescent="0.15">
      <c r="A2354" s="9">
        <v>2353</v>
      </c>
      <c r="B2354" s="9" t="s">
        <v>9</v>
      </c>
      <c r="C2354" s="9">
        <v>1910</v>
      </c>
      <c r="D2354" s="10">
        <v>45602</v>
      </c>
      <c r="E2354" s="13" t="str">
        <f>+HYPERLINK("http://trademark.i-assist.jp/data/china/image_1910th/80286106.pdf","80286106")</f>
        <v>80286106</v>
      </c>
      <c r="F2354" s="11" t="s">
        <v>6468</v>
      </c>
      <c r="G2354" s="11" t="s">
        <v>6469</v>
      </c>
      <c r="H2354" s="9" t="s">
        <v>6470</v>
      </c>
      <c r="I2354" s="10">
        <v>45513</v>
      </c>
    </row>
    <row r="2355" spans="1:9" x14ac:dyDescent="0.15">
      <c r="A2355" s="9">
        <v>2354</v>
      </c>
      <c r="B2355" s="9" t="s">
        <v>9</v>
      </c>
      <c r="C2355" s="9">
        <v>1910</v>
      </c>
      <c r="D2355" s="10">
        <v>45602</v>
      </c>
      <c r="E2355" s="13" t="str">
        <f>+HYPERLINK("http://trademark.i-assist.jp/data/china/image_1910th/80286297.pdf","80286297")</f>
        <v>80286297</v>
      </c>
      <c r="F2355" s="9" t="s">
        <v>6471</v>
      </c>
      <c r="G2355" s="9" t="s">
        <v>6421</v>
      </c>
      <c r="H2355" s="9" t="s">
        <v>6472</v>
      </c>
      <c r="I2355" s="10">
        <v>45513</v>
      </c>
    </row>
    <row r="2356" spans="1:9" x14ac:dyDescent="0.15">
      <c r="A2356" s="9">
        <v>2355</v>
      </c>
      <c r="B2356" s="9" t="s">
        <v>9</v>
      </c>
      <c r="C2356" s="9">
        <v>1910</v>
      </c>
      <c r="D2356" s="10">
        <v>45602</v>
      </c>
      <c r="E2356" s="13" t="str">
        <f>+HYPERLINK("http://trademark.i-assist.jp/data/china/image_1910th/80286412.pdf","80286412")</f>
        <v>80286412</v>
      </c>
      <c r="F2356" s="9" t="s">
        <v>6473</v>
      </c>
      <c r="G2356" s="9" t="s">
        <v>6079</v>
      </c>
      <c r="H2356" s="9" t="s">
        <v>6474</v>
      </c>
      <c r="I2356" s="10">
        <v>45513</v>
      </c>
    </row>
    <row r="2357" spans="1:9" x14ac:dyDescent="0.15">
      <c r="A2357" s="9">
        <v>2356</v>
      </c>
      <c r="B2357" s="9" t="s">
        <v>9</v>
      </c>
      <c r="C2357" s="9">
        <v>1910</v>
      </c>
      <c r="D2357" s="10">
        <v>45602</v>
      </c>
      <c r="E2357" s="13" t="str">
        <f>+HYPERLINK("http://trademark.i-assist.jp/data/china/image_1910th/80286428.pdf","80286428")</f>
        <v>80286428</v>
      </c>
      <c r="F2357" s="9" t="s">
        <v>6475</v>
      </c>
      <c r="G2357" s="9" t="s">
        <v>6079</v>
      </c>
      <c r="H2357" s="9" t="s">
        <v>6476</v>
      </c>
      <c r="I2357" s="10">
        <v>45513</v>
      </c>
    </row>
    <row r="2358" spans="1:9" x14ac:dyDescent="0.15">
      <c r="A2358" s="9">
        <v>2357</v>
      </c>
      <c r="B2358" s="9" t="s">
        <v>9</v>
      </c>
      <c r="C2358" s="9">
        <v>1910</v>
      </c>
      <c r="D2358" s="10">
        <v>45602</v>
      </c>
      <c r="E2358" s="13" t="str">
        <f>+HYPERLINK("http://trademark.i-assist.jp/data/china/image_1910th/80286689.pdf","80286689")</f>
        <v>80286689</v>
      </c>
      <c r="F2358" s="9" t="s">
        <v>6477</v>
      </c>
      <c r="G2358" s="11" t="s">
        <v>6478</v>
      </c>
      <c r="H2358" s="9" t="s">
        <v>6479</v>
      </c>
      <c r="I2358" s="10">
        <v>45513</v>
      </c>
    </row>
    <row r="2359" spans="1:9" x14ac:dyDescent="0.15">
      <c r="A2359" s="9">
        <v>2358</v>
      </c>
      <c r="B2359" s="9" t="s">
        <v>9</v>
      </c>
      <c r="C2359" s="9">
        <v>1910</v>
      </c>
      <c r="D2359" s="10">
        <v>45602</v>
      </c>
      <c r="E2359" s="13" t="str">
        <f>+HYPERLINK("http://trademark.i-assist.jp/data/china/image_1910th/80286793.pdf","80286793")</f>
        <v>80286793</v>
      </c>
      <c r="F2359" s="9" t="s">
        <v>6480</v>
      </c>
      <c r="G2359" s="11" t="s">
        <v>6481</v>
      </c>
      <c r="H2359" s="9" t="s">
        <v>6482</v>
      </c>
      <c r="I2359" s="10">
        <v>45513</v>
      </c>
    </row>
    <row r="2360" spans="1:9" x14ac:dyDescent="0.15">
      <c r="A2360" s="9">
        <v>2359</v>
      </c>
      <c r="B2360" s="9" t="s">
        <v>9</v>
      </c>
      <c r="C2360" s="9">
        <v>1910</v>
      </c>
      <c r="D2360" s="10">
        <v>45602</v>
      </c>
      <c r="E2360" s="13" t="str">
        <f>+HYPERLINK("http://trademark.i-assist.jp/data/china/image_1910th/80286807.pdf","80286807")</f>
        <v>80286807</v>
      </c>
      <c r="F2360" s="9" t="s">
        <v>6483</v>
      </c>
      <c r="G2360" s="11" t="s">
        <v>91</v>
      </c>
      <c r="H2360" s="9" t="s">
        <v>6484</v>
      </c>
      <c r="I2360" s="10">
        <v>45513</v>
      </c>
    </row>
    <row r="2361" spans="1:9" x14ac:dyDescent="0.15">
      <c r="A2361" s="9">
        <v>2360</v>
      </c>
      <c r="B2361" s="9" t="s">
        <v>9</v>
      </c>
      <c r="C2361" s="9">
        <v>1910</v>
      </c>
      <c r="D2361" s="10">
        <v>45602</v>
      </c>
      <c r="E2361" s="13" t="str">
        <f>+HYPERLINK("http://trademark.i-assist.jp/data/china/image_1910th/80286824.pdf","80286824")</f>
        <v>80286824</v>
      </c>
      <c r="F2361" s="9" t="s">
        <v>6485</v>
      </c>
      <c r="G2361" s="9" t="s">
        <v>190</v>
      </c>
      <c r="H2361" s="9" t="s">
        <v>6486</v>
      </c>
      <c r="I2361" s="10">
        <v>45513</v>
      </c>
    </row>
    <row r="2362" spans="1:9" x14ac:dyDescent="0.15">
      <c r="A2362" s="9">
        <v>2361</v>
      </c>
      <c r="B2362" s="9" t="s">
        <v>9</v>
      </c>
      <c r="C2362" s="9">
        <v>1910</v>
      </c>
      <c r="D2362" s="10">
        <v>45602</v>
      </c>
      <c r="E2362" s="13" t="str">
        <f>+HYPERLINK("http://trademark.i-assist.jp/data/china/image_1910th/80287120.pdf","80287120")</f>
        <v>80287120</v>
      </c>
      <c r="F2362" s="9" t="s">
        <v>6487</v>
      </c>
      <c r="G2362" s="9" t="s">
        <v>6239</v>
      </c>
      <c r="H2362" s="9" t="s">
        <v>6488</v>
      </c>
      <c r="I2362" s="10">
        <v>45513</v>
      </c>
    </row>
    <row r="2363" spans="1:9" x14ac:dyDescent="0.15">
      <c r="A2363" s="9">
        <v>2362</v>
      </c>
      <c r="B2363" s="9" t="s">
        <v>9</v>
      </c>
      <c r="C2363" s="9">
        <v>1910</v>
      </c>
      <c r="D2363" s="10">
        <v>45602</v>
      </c>
      <c r="E2363" s="13" t="str">
        <f>+HYPERLINK("http://trademark.i-assist.jp/data/china/image_1910th/80287223.pdf","80287223")</f>
        <v>80287223</v>
      </c>
      <c r="F2363" s="11" t="s">
        <v>19</v>
      </c>
      <c r="G2363" s="9" t="s">
        <v>6489</v>
      </c>
      <c r="H2363" s="9" t="s">
        <v>6490</v>
      </c>
      <c r="I2363" s="10">
        <v>45513</v>
      </c>
    </row>
    <row r="2364" spans="1:9" x14ac:dyDescent="0.15">
      <c r="A2364" s="9">
        <v>2363</v>
      </c>
      <c r="B2364" s="9" t="s">
        <v>9</v>
      </c>
      <c r="C2364" s="9">
        <v>1910</v>
      </c>
      <c r="D2364" s="10">
        <v>45602</v>
      </c>
      <c r="E2364" s="13" t="str">
        <f>+HYPERLINK("http://trademark.i-assist.jp/data/china/image_1910th/80287323.pdf","80287323")</f>
        <v>80287323</v>
      </c>
      <c r="F2364" s="9" t="s">
        <v>6491</v>
      </c>
      <c r="G2364" s="9" t="s">
        <v>6492</v>
      </c>
      <c r="H2364" s="9" t="s">
        <v>6493</v>
      </c>
      <c r="I2364" s="10">
        <v>45513</v>
      </c>
    </row>
    <row r="2365" spans="1:9" x14ac:dyDescent="0.15">
      <c r="A2365" s="9">
        <v>2364</v>
      </c>
      <c r="B2365" s="9" t="s">
        <v>9</v>
      </c>
      <c r="C2365" s="9">
        <v>1910</v>
      </c>
      <c r="D2365" s="10">
        <v>45602</v>
      </c>
      <c r="E2365" s="13" t="str">
        <f>+HYPERLINK("http://trademark.i-assist.jp/data/china/image_1910th/80287329.pdf","80287329")</f>
        <v>80287329</v>
      </c>
      <c r="F2365" s="9" t="s">
        <v>6494</v>
      </c>
      <c r="G2365" s="9" t="s">
        <v>1554</v>
      </c>
      <c r="H2365" s="11" t="s">
        <v>6495</v>
      </c>
      <c r="I2365" s="10">
        <v>45513</v>
      </c>
    </row>
    <row r="2366" spans="1:9" x14ac:dyDescent="0.15">
      <c r="A2366" s="9">
        <v>2365</v>
      </c>
      <c r="B2366" s="9" t="s">
        <v>9</v>
      </c>
      <c r="C2366" s="9">
        <v>1910</v>
      </c>
      <c r="D2366" s="10">
        <v>45602</v>
      </c>
      <c r="E2366" s="13" t="str">
        <f>+HYPERLINK("http://trademark.i-assist.jp/data/china/image_1910th/80287490.pdf","80287490")</f>
        <v>80287490</v>
      </c>
      <c r="F2366" s="11" t="s">
        <v>6496</v>
      </c>
      <c r="G2366" s="9" t="s">
        <v>6497</v>
      </c>
      <c r="H2366" s="9" t="s">
        <v>6498</v>
      </c>
      <c r="I2366" s="10">
        <v>45513</v>
      </c>
    </row>
    <row r="2367" spans="1:9" x14ac:dyDescent="0.15">
      <c r="A2367" s="9">
        <v>2366</v>
      </c>
      <c r="B2367" s="9" t="s">
        <v>9</v>
      </c>
      <c r="C2367" s="9">
        <v>1910</v>
      </c>
      <c r="D2367" s="10">
        <v>45602</v>
      </c>
      <c r="E2367" s="13" t="str">
        <f>+HYPERLINK("http://trademark.i-assist.jp/data/china/image_1910th/80287696.pdf","80287696")</f>
        <v>80287696</v>
      </c>
      <c r="F2367" s="9" t="s">
        <v>6499</v>
      </c>
      <c r="G2367" s="9" t="s">
        <v>6500</v>
      </c>
      <c r="H2367" s="11" t="s">
        <v>6501</v>
      </c>
      <c r="I2367" s="10">
        <v>45513</v>
      </c>
    </row>
    <row r="2368" spans="1:9" x14ac:dyDescent="0.15">
      <c r="A2368" s="9">
        <v>2367</v>
      </c>
      <c r="B2368" s="9" t="s">
        <v>9</v>
      </c>
      <c r="C2368" s="9">
        <v>1910</v>
      </c>
      <c r="D2368" s="10">
        <v>45602</v>
      </c>
      <c r="E2368" s="13" t="str">
        <f>+HYPERLINK("http://trademark.i-assist.jp/data/china/image_1910th/80287724.pdf","80287724")</f>
        <v>80287724</v>
      </c>
      <c r="F2368" s="11" t="s">
        <v>6502</v>
      </c>
      <c r="G2368" s="9" t="s">
        <v>6503</v>
      </c>
      <c r="H2368" s="9" t="s">
        <v>6504</v>
      </c>
      <c r="I2368" s="10">
        <v>45513</v>
      </c>
    </row>
    <row r="2369" spans="1:9" x14ac:dyDescent="0.15">
      <c r="A2369" s="9">
        <v>2368</v>
      </c>
      <c r="B2369" s="9" t="s">
        <v>9</v>
      </c>
      <c r="C2369" s="9">
        <v>1910</v>
      </c>
      <c r="D2369" s="10">
        <v>45602</v>
      </c>
      <c r="E2369" s="13" t="str">
        <f>+HYPERLINK("http://trademark.i-assist.jp/data/china/image_1910th/80287941.pdf","80287941")</f>
        <v>80287941</v>
      </c>
      <c r="F2369" s="11" t="s">
        <v>6505</v>
      </c>
      <c r="G2369" s="9" t="s">
        <v>6506</v>
      </c>
      <c r="H2369" s="9" t="s">
        <v>6507</v>
      </c>
      <c r="I2369" s="10">
        <v>45513</v>
      </c>
    </row>
    <row r="2370" spans="1:9" x14ac:dyDescent="0.15">
      <c r="A2370" s="9">
        <v>2369</v>
      </c>
      <c r="B2370" s="9" t="s">
        <v>9</v>
      </c>
      <c r="C2370" s="9">
        <v>1910</v>
      </c>
      <c r="D2370" s="10">
        <v>45602</v>
      </c>
      <c r="E2370" s="13" t="str">
        <f>+HYPERLINK("http://trademark.i-assist.jp/data/china/image_1910th/80287952.pdf","80287952")</f>
        <v>80287952</v>
      </c>
      <c r="F2370" s="9" t="s">
        <v>6508</v>
      </c>
      <c r="G2370" s="9" t="s">
        <v>6509</v>
      </c>
      <c r="H2370" s="9" t="s">
        <v>6510</v>
      </c>
      <c r="I2370" s="10">
        <v>45513</v>
      </c>
    </row>
    <row r="2371" spans="1:9" x14ac:dyDescent="0.15">
      <c r="A2371" s="9">
        <v>2370</v>
      </c>
      <c r="B2371" s="9" t="s">
        <v>9</v>
      </c>
      <c r="C2371" s="9">
        <v>1910</v>
      </c>
      <c r="D2371" s="10">
        <v>45602</v>
      </c>
      <c r="E2371" s="13" t="str">
        <f>+HYPERLINK("http://trademark.i-assist.jp/data/china/image_1910th/80288089.pdf","80288089")</f>
        <v>80288089</v>
      </c>
      <c r="F2371" s="9" t="s">
        <v>6511</v>
      </c>
      <c r="G2371" s="11" t="s">
        <v>6043</v>
      </c>
      <c r="H2371" s="9" t="s">
        <v>6512</v>
      </c>
      <c r="I2371" s="10">
        <v>45513</v>
      </c>
    </row>
    <row r="2372" spans="1:9" x14ac:dyDescent="0.15">
      <c r="A2372" s="9">
        <v>2371</v>
      </c>
      <c r="B2372" s="9" t="s">
        <v>9</v>
      </c>
      <c r="C2372" s="9">
        <v>1910</v>
      </c>
      <c r="D2372" s="10">
        <v>45602</v>
      </c>
      <c r="E2372" s="13" t="str">
        <f>+HYPERLINK("http://trademark.i-assist.jp/data/china/image_1910th/80288171.pdf","80288171")</f>
        <v>80288171</v>
      </c>
      <c r="F2372" s="9" t="s">
        <v>6513</v>
      </c>
      <c r="G2372" s="9" t="s">
        <v>6183</v>
      </c>
      <c r="H2372" s="9" t="s">
        <v>6514</v>
      </c>
      <c r="I2372" s="10">
        <v>45513</v>
      </c>
    </row>
    <row r="2373" spans="1:9" x14ac:dyDescent="0.15">
      <c r="A2373" s="9">
        <v>2372</v>
      </c>
      <c r="B2373" s="9" t="s">
        <v>9</v>
      </c>
      <c r="C2373" s="9">
        <v>1910</v>
      </c>
      <c r="D2373" s="10">
        <v>45602</v>
      </c>
      <c r="E2373" s="13" t="str">
        <f>+HYPERLINK("http://trademark.i-assist.jp/data/china/image_1910th/80288368.pdf","80288368")</f>
        <v>80288368</v>
      </c>
      <c r="F2373" s="11" t="s">
        <v>19</v>
      </c>
      <c r="G2373" s="9" t="s">
        <v>6515</v>
      </c>
      <c r="H2373" s="9" t="s">
        <v>6516</v>
      </c>
      <c r="I2373" s="10">
        <v>45513</v>
      </c>
    </row>
    <row r="2374" spans="1:9" x14ac:dyDescent="0.15">
      <c r="A2374" s="9">
        <v>2373</v>
      </c>
      <c r="B2374" s="9" t="s">
        <v>9</v>
      </c>
      <c r="C2374" s="9">
        <v>1910</v>
      </c>
      <c r="D2374" s="10">
        <v>45602</v>
      </c>
      <c r="E2374" s="13" t="str">
        <f>+HYPERLINK("http://trademark.i-assist.jp/data/china/image_1910th/80288417.pdf","80288417")</f>
        <v>80288417</v>
      </c>
      <c r="F2374" s="9" t="s">
        <v>6517</v>
      </c>
      <c r="G2374" s="9" t="s">
        <v>6518</v>
      </c>
      <c r="H2374" s="9" t="s">
        <v>6519</v>
      </c>
      <c r="I2374" s="10">
        <v>45513</v>
      </c>
    </row>
    <row r="2375" spans="1:9" x14ac:dyDescent="0.15">
      <c r="A2375" s="9">
        <v>2374</v>
      </c>
      <c r="B2375" s="9" t="s">
        <v>9</v>
      </c>
      <c r="C2375" s="9">
        <v>1910</v>
      </c>
      <c r="D2375" s="10">
        <v>45602</v>
      </c>
      <c r="E2375" s="13" t="str">
        <f>+HYPERLINK("http://trademark.i-assist.jp/data/china/image_1910th/80288544.pdf","80288544")</f>
        <v>80288544</v>
      </c>
      <c r="F2375" s="9" t="s">
        <v>6520</v>
      </c>
      <c r="G2375" s="9" t="s">
        <v>174</v>
      </c>
      <c r="H2375" s="11" t="s">
        <v>6521</v>
      </c>
      <c r="I2375" s="10">
        <v>45513</v>
      </c>
    </row>
    <row r="2376" spans="1:9" x14ac:dyDescent="0.15">
      <c r="A2376" s="9">
        <v>2375</v>
      </c>
      <c r="B2376" s="9" t="s">
        <v>9</v>
      </c>
      <c r="C2376" s="9">
        <v>1910</v>
      </c>
      <c r="D2376" s="10">
        <v>45602</v>
      </c>
      <c r="E2376" s="13" t="str">
        <f>+HYPERLINK("http://trademark.i-assist.jp/data/china/image_1910th/80288599.pdf","80288599")</f>
        <v>80288599</v>
      </c>
      <c r="F2376" s="9" t="s">
        <v>6522</v>
      </c>
      <c r="G2376" s="9" t="s">
        <v>131</v>
      </c>
      <c r="H2376" s="9" t="s">
        <v>6523</v>
      </c>
      <c r="I2376" s="10">
        <v>45513</v>
      </c>
    </row>
    <row r="2377" spans="1:9" x14ac:dyDescent="0.15">
      <c r="A2377" s="9">
        <v>2376</v>
      </c>
      <c r="B2377" s="9" t="s">
        <v>9</v>
      </c>
      <c r="C2377" s="9">
        <v>1910</v>
      </c>
      <c r="D2377" s="10">
        <v>45602</v>
      </c>
      <c r="E2377" s="13" t="str">
        <f>+HYPERLINK("http://trademark.i-assist.jp/data/china/image_1910th/80289074.pdf","80289074")</f>
        <v>80289074</v>
      </c>
      <c r="F2377" s="9" t="s">
        <v>6524</v>
      </c>
      <c r="G2377" s="11" t="s">
        <v>6253</v>
      </c>
      <c r="H2377" s="9" t="s">
        <v>6525</v>
      </c>
      <c r="I2377" s="10">
        <v>45513</v>
      </c>
    </row>
    <row r="2378" spans="1:9" x14ac:dyDescent="0.15">
      <c r="A2378" s="9">
        <v>2377</v>
      </c>
      <c r="B2378" s="9" t="s">
        <v>9</v>
      </c>
      <c r="C2378" s="9">
        <v>1910</v>
      </c>
      <c r="D2378" s="10">
        <v>45602</v>
      </c>
      <c r="E2378" s="13" t="str">
        <f>+HYPERLINK("http://trademark.i-assist.jp/data/china/image_1910th/80289220.pdf","80289220")</f>
        <v>80289220</v>
      </c>
      <c r="F2378" s="9" t="s">
        <v>6526</v>
      </c>
      <c r="G2378" s="9" t="s">
        <v>6527</v>
      </c>
      <c r="H2378" s="11" t="s">
        <v>6528</v>
      </c>
      <c r="I2378" s="10">
        <v>45513</v>
      </c>
    </row>
    <row r="2379" spans="1:9" x14ac:dyDescent="0.15">
      <c r="A2379" s="9">
        <v>2378</v>
      </c>
      <c r="B2379" s="9" t="s">
        <v>9</v>
      </c>
      <c r="C2379" s="9">
        <v>1910</v>
      </c>
      <c r="D2379" s="10">
        <v>45602</v>
      </c>
      <c r="E2379" s="13" t="str">
        <f>+HYPERLINK("http://trademark.i-assist.jp/data/china/image_1910th/80289291.pdf","80289291")</f>
        <v>80289291</v>
      </c>
      <c r="F2379" s="9" t="s">
        <v>6529</v>
      </c>
      <c r="G2379" s="11" t="s">
        <v>6530</v>
      </c>
      <c r="H2379" s="9" t="s">
        <v>6531</v>
      </c>
      <c r="I2379" s="10">
        <v>45513</v>
      </c>
    </row>
    <row r="2380" spans="1:9" x14ac:dyDescent="0.15">
      <c r="A2380" s="9">
        <v>2379</v>
      </c>
      <c r="B2380" s="9" t="s">
        <v>9</v>
      </c>
      <c r="C2380" s="9">
        <v>1910</v>
      </c>
      <c r="D2380" s="10">
        <v>45602</v>
      </c>
      <c r="E2380" s="13" t="str">
        <f>+HYPERLINK("http://trademark.i-assist.jp/data/china/image_1910th/80289297.pdf","80289297")</f>
        <v>80289297</v>
      </c>
      <c r="F2380" s="9" t="s">
        <v>6532</v>
      </c>
      <c r="G2380" s="11" t="s">
        <v>6533</v>
      </c>
      <c r="H2380" s="9" t="s">
        <v>6534</v>
      </c>
      <c r="I2380" s="10">
        <v>45513</v>
      </c>
    </row>
    <row r="2381" spans="1:9" x14ac:dyDescent="0.15">
      <c r="A2381" s="9">
        <v>2380</v>
      </c>
      <c r="B2381" s="9" t="s">
        <v>9</v>
      </c>
      <c r="C2381" s="9">
        <v>1910</v>
      </c>
      <c r="D2381" s="10">
        <v>45602</v>
      </c>
      <c r="E2381" s="13" t="str">
        <f>+HYPERLINK("http://trademark.i-assist.jp/data/china/image_1910th/80289335.pdf","80289335")</f>
        <v>80289335</v>
      </c>
      <c r="F2381" s="9" t="s">
        <v>6535</v>
      </c>
      <c r="G2381" s="9" t="s">
        <v>6536</v>
      </c>
      <c r="H2381" s="9" t="s">
        <v>6537</v>
      </c>
      <c r="I2381" s="10">
        <v>45513</v>
      </c>
    </row>
    <row r="2382" spans="1:9" x14ac:dyDescent="0.15">
      <c r="A2382" s="9">
        <v>2381</v>
      </c>
      <c r="B2382" s="9" t="s">
        <v>9</v>
      </c>
      <c r="C2382" s="9">
        <v>1910</v>
      </c>
      <c r="D2382" s="10">
        <v>45602</v>
      </c>
      <c r="E2382" s="13" t="str">
        <f>+HYPERLINK("http://trademark.i-assist.jp/data/china/image_1910th/80289409.pdf","80289409")</f>
        <v>80289409</v>
      </c>
      <c r="F2382" s="9" t="s">
        <v>6538</v>
      </c>
      <c r="G2382" s="11" t="s">
        <v>6539</v>
      </c>
      <c r="H2382" s="9" t="s">
        <v>6540</v>
      </c>
      <c r="I2382" s="10">
        <v>45513</v>
      </c>
    </row>
    <row r="2383" spans="1:9" x14ac:dyDescent="0.15">
      <c r="A2383" s="9">
        <v>2382</v>
      </c>
      <c r="B2383" s="9" t="s">
        <v>9</v>
      </c>
      <c r="C2383" s="9">
        <v>1910</v>
      </c>
      <c r="D2383" s="10">
        <v>45602</v>
      </c>
      <c r="E2383" s="13" t="str">
        <f>+HYPERLINK("http://trademark.i-assist.jp/data/china/image_1910th/80289557.pdf","80289557")</f>
        <v>80289557</v>
      </c>
      <c r="F2383" s="11" t="s">
        <v>19</v>
      </c>
      <c r="G2383" s="9" t="s">
        <v>6541</v>
      </c>
      <c r="H2383" s="9" t="s">
        <v>6542</v>
      </c>
      <c r="I2383" s="10">
        <v>45513</v>
      </c>
    </row>
    <row r="2384" spans="1:9" x14ac:dyDescent="0.15">
      <c r="A2384" s="9">
        <v>2383</v>
      </c>
      <c r="B2384" s="9" t="s">
        <v>9</v>
      </c>
      <c r="C2384" s="9">
        <v>1910</v>
      </c>
      <c r="D2384" s="10">
        <v>45602</v>
      </c>
      <c r="E2384" s="13" t="str">
        <f>+HYPERLINK("http://trademark.i-assist.jp/data/china/image_1910th/80289709.pdf","80289709")</f>
        <v>80289709</v>
      </c>
      <c r="F2384" s="9" t="s">
        <v>6543</v>
      </c>
      <c r="G2384" s="9" t="s">
        <v>4694</v>
      </c>
      <c r="H2384" s="9" t="s">
        <v>6544</v>
      </c>
      <c r="I2384" s="10">
        <v>45513</v>
      </c>
    </row>
    <row r="2385" spans="1:9" x14ac:dyDescent="0.15">
      <c r="A2385" s="9">
        <v>2384</v>
      </c>
      <c r="B2385" s="9" t="s">
        <v>9</v>
      </c>
      <c r="C2385" s="9">
        <v>1910</v>
      </c>
      <c r="D2385" s="10">
        <v>45602</v>
      </c>
      <c r="E2385" s="13" t="str">
        <f>+HYPERLINK("http://trademark.i-assist.jp/data/china/image_1910th/80289765.pdf","80289765")</f>
        <v>80289765</v>
      </c>
      <c r="F2385" s="9" t="s">
        <v>6545</v>
      </c>
      <c r="G2385" s="11" t="s">
        <v>2217</v>
      </c>
      <c r="H2385" s="9" t="s">
        <v>6546</v>
      </c>
      <c r="I2385" s="10">
        <v>45513</v>
      </c>
    </row>
    <row r="2386" spans="1:9" x14ac:dyDescent="0.15">
      <c r="A2386" s="9">
        <v>2385</v>
      </c>
      <c r="B2386" s="9" t="s">
        <v>9</v>
      </c>
      <c r="C2386" s="9">
        <v>1910</v>
      </c>
      <c r="D2386" s="10">
        <v>45602</v>
      </c>
      <c r="E2386" s="13" t="str">
        <f>+HYPERLINK("http://trademark.i-assist.jp/data/china/image_1910th/80289952.pdf","80289952")</f>
        <v>80289952</v>
      </c>
      <c r="F2386" s="9" t="s">
        <v>6547</v>
      </c>
      <c r="G2386" s="11" t="s">
        <v>6548</v>
      </c>
      <c r="H2386" s="9" t="s">
        <v>6549</v>
      </c>
      <c r="I2386" s="10">
        <v>45513</v>
      </c>
    </row>
    <row r="2387" spans="1:9" x14ac:dyDescent="0.15">
      <c r="A2387" s="9">
        <v>2386</v>
      </c>
      <c r="B2387" s="9" t="s">
        <v>9</v>
      </c>
      <c r="C2387" s="9">
        <v>1910</v>
      </c>
      <c r="D2387" s="10">
        <v>45602</v>
      </c>
      <c r="E2387" s="13" t="str">
        <f>+HYPERLINK("http://trademark.i-assist.jp/data/china/image_1910th/80290035.pdf","80290035")</f>
        <v>80290035</v>
      </c>
      <c r="F2387" s="9" t="s">
        <v>6550</v>
      </c>
      <c r="G2387" s="9" t="s">
        <v>6551</v>
      </c>
      <c r="H2387" s="9" t="s">
        <v>6552</v>
      </c>
      <c r="I2387" s="10">
        <v>45513</v>
      </c>
    </row>
    <row r="2388" spans="1:9" x14ac:dyDescent="0.15">
      <c r="A2388" s="9">
        <v>2387</v>
      </c>
      <c r="B2388" s="9" t="s">
        <v>9</v>
      </c>
      <c r="C2388" s="9">
        <v>1910</v>
      </c>
      <c r="D2388" s="10">
        <v>45602</v>
      </c>
      <c r="E2388" s="13" t="str">
        <f>+HYPERLINK("http://trademark.i-assist.jp/data/china/image_1910th/80290479.pdf","80290479")</f>
        <v>80290479</v>
      </c>
      <c r="F2388" s="9" t="s">
        <v>6553</v>
      </c>
      <c r="G2388" s="11" t="s">
        <v>91</v>
      </c>
      <c r="H2388" s="9" t="s">
        <v>6554</v>
      </c>
      <c r="I2388" s="10">
        <v>45513</v>
      </c>
    </row>
    <row r="2389" spans="1:9" x14ac:dyDescent="0.15">
      <c r="A2389" s="9">
        <v>2388</v>
      </c>
      <c r="B2389" s="9" t="s">
        <v>9</v>
      </c>
      <c r="C2389" s="9">
        <v>1910</v>
      </c>
      <c r="D2389" s="10">
        <v>45602</v>
      </c>
      <c r="E2389" s="13" t="str">
        <f>+HYPERLINK("http://trademark.i-assist.jp/data/china/image_1910th/80290552.pdf","80290552")</f>
        <v>80290552</v>
      </c>
      <c r="F2389" s="11" t="s">
        <v>19</v>
      </c>
      <c r="G2389" s="9" t="s">
        <v>6555</v>
      </c>
      <c r="H2389" s="9" t="s">
        <v>6556</v>
      </c>
      <c r="I2389" s="10">
        <v>45513</v>
      </c>
    </row>
    <row r="2390" spans="1:9" x14ac:dyDescent="0.15">
      <c r="A2390" s="9">
        <v>2389</v>
      </c>
      <c r="B2390" s="9" t="s">
        <v>9</v>
      </c>
      <c r="C2390" s="9">
        <v>1910</v>
      </c>
      <c r="D2390" s="10">
        <v>45602</v>
      </c>
      <c r="E2390" s="13" t="str">
        <f>+HYPERLINK("http://trademark.i-assist.jp/data/china/image_1910th/80290639.pdf","80290639")</f>
        <v>80290639</v>
      </c>
      <c r="F2390" s="12" t="s">
        <v>6557</v>
      </c>
      <c r="G2390" s="9" t="s">
        <v>5392</v>
      </c>
      <c r="H2390" s="9" t="s">
        <v>6558</v>
      </c>
      <c r="I2390" s="10">
        <v>45513</v>
      </c>
    </row>
    <row r="2391" spans="1:9" x14ac:dyDescent="0.15">
      <c r="A2391" s="9">
        <v>2390</v>
      </c>
      <c r="B2391" s="9" t="s">
        <v>9</v>
      </c>
      <c r="C2391" s="9">
        <v>1910</v>
      </c>
      <c r="D2391" s="10">
        <v>45602</v>
      </c>
      <c r="E2391" s="13" t="str">
        <f>+HYPERLINK("http://trademark.i-assist.jp/data/china/image_1910th/80290719.pdf","80290719")</f>
        <v>80290719</v>
      </c>
      <c r="F2391" s="9" t="s">
        <v>6559</v>
      </c>
      <c r="G2391" s="9" t="s">
        <v>6106</v>
      </c>
      <c r="H2391" s="9" t="s">
        <v>6560</v>
      </c>
      <c r="I2391" s="10">
        <v>45513</v>
      </c>
    </row>
    <row r="2392" spans="1:9" x14ac:dyDescent="0.15">
      <c r="A2392" s="9">
        <v>2391</v>
      </c>
      <c r="B2392" s="9" t="s">
        <v>9</v>
      </c>
      <c r="C2392" s="9">
        <v>1910</v>
      </c>
      <c r="D2392" s="10">
        <v>45602</v>
      </c>
      <c r="E2392" s="13" t="str">
        <f>+HYPERLINK("http://trademark.i-assist.jp/data/china/image_1910th/80290732.pdf","80290732")</f>
        <v>80290732</v>
      </c>
      <c r="F2392" s="9" t="s">
        <v>6561</v>
      </c>
      <c r="G2392" s="9" t="s">
        <v>191</v>
      </c>
      <c r="H2392" s="9" t="s">
        <v>6562</v>
      </c>
      <c r="I2392" s="10">
        <v>45513</v>
      </c>
    </row>
    <row r="2393" spans="1:9" x14ac:dyDescent="0.15">
      <c r="A2393" s="9">
        <v>2392</v>
      </c>
      <c r="B2393" s="9" t="s">
        <v>9</v>
      </c>
      <c r="C2393" s="9">
        <v>1910</v>
      </c>
      <c r="D2393" s="10">
        <v>45602</v>
      </c>
      <c r="E2393" s="13" t="str">
        <f>+HYPERLINK("http://trademark.i-assist.jp/data/china/image_1910th/80291041.pdf","80291041")</f>
        <v>80291041</v>
      </c>
      <c r="F2393" s="9" t="s">
        <v>6563</v>
      </c>
      <c r="G2393" s="9" t="s">
        <v>6564</v>
      </c>
      <c r="H2393" s="9" t="s">
        <v>6565</v>
      </c>
      <c r="I2393" s="10">
        <v>45514</v>
      </c>
    </row>
    <row r="2394" spans="1:9" x14ac:dyDescent="0.15">
      <c r="A2394" s="9">
        <v>2393</v>
      </c>
      <c r="B2394" s="9" t="s">
        <v>9</v>
      </c>
      <c r="C2394" s="9">
        <v>1910</v>
      </c>
      <c r="D2394" s="10">
        <v>45602</v>
      </c>
      <c r="E2394" s="13" t="str">
        <f>+HYPERLINK("http://trademark.i-assist.jp/data/china/image_1910th/80291099.pdf","80291099")</f>
        <v>80291099</v>
      </c>
      <c r="F2394" s="9" t="s">
        <v>6566</v>
      </c>
      <c r="G2394" s="11" t="s">
        <v>6567</v>
      </c>
      <c r="H2394" s="9" t="s">
        <v>6568</v>
      </c>
      <c r="I2394" s="10">
        <v>45514</v>
      </c>
    </row>
    <row r="2395" spans="1:9" x14ac:dyDescent="0.15">
      <c r="A2395" s="9">
        <v>2394</v>
      </c>
      <c r="B2395" s="9" t="s">
        <v>9</v>
      </c>
      <c r="C2395" s="9">
        <v>1910</v>
      </c>
      <c r="D2395" s="10">
        <v>45602</v>
      </c>
      <c r="E2395" s="13" t="str">
        <f>+HYPERLINK("http://trademark.i-assist.jp/data/china/image_1910th/80291101.pdf","80291101")</f>
        <v>80291101</v>
      </c>
      <c r="F2395" s="11" t="s">
        <v>6569</v>
      </c>
      <c r="G2395" s="11" t="s">
        <v>6567</v>
      </c>
      <c r="H2395" s="9" t="s">
        <v>6570</v>
      </c>
      <c r="I2395" s="10">
        <v>45514</v>
      </c>
    </row>
    <row r="2396" spans="1:9" x14ac:dyDescent="0.15">
      <c r="A2396" s="9">
        <v>2395</v>
      </c>
      <c r="B2396" s="9" t="s">
        <v>9</v>
      </c>
      <c r="C2396" s="9">
        <v>1910</v>
      </c>
      <c r="D2396" s="10">
        <v>45602</v>
      </c>
      <c r="E2396" s="13" t="str">
        <f>+HYPERLINK("http://trademark.i-assist.jp/data/china/image_1910th/80291103.pdf","80291103")</f>
        <v>80291103</v>
      </c>
      <c r="F2396" s="9" t="s">
        <v>6571</v>
      </c>
      <c r="G2396" s="9" t="s">
        <v>6572</v>
      </c>
      <c r="H2396" s="9" t="s">
        <v>6573</v>
      </c>
      <c r="I2396" s="10">
        <v>45514</v>
      </c>
    </row>
    <row r="2397" spans="1:9" x14ac:dyDescent="0.15">
      <c r="A2397" s="9">
        <v>2396</v>
      </c>
      <c r="B2397" s="9" t="s">
        <v>9</v>
      </c>
      <c r="C2397" s="9">
        <v>1910</v>
      </c>
      <c r="D2397" s="10">
        <v>45602</v>
      </c>
      <c r="E2397" s="13" t="str">
        <f>+HYPERLINK("http://trademark.i-assist.jp/data/china/image_1910th/80291461.pdf","80291461")</f>
        <v>80291461</v>
      </c>
      <c r="F2397" s="11" t="s">
        <v>6574</v>
      </c>
      <c r="G2397" s="9" t="s">
        <v>6575</v>
      </c>
      <c r="H2397" s="9" t="s">
        <v>6576</v>
      </c>
      <c r="I2397" s="10">
        <v>45514</v>
      </c>
    </row>
    <row r="2398" spans="1:9" x14ac:dyDescent="0.15">
      <c r="A2398" s="9">
        <v>2397</v>
      </c>
      <c r="B2398" s="9" t="s">
        <v>9</v>
      </c>
      <c r="C2398" s="9">
        <v>1910</v>
      </c>
      <c r="D2398" s="10">
        <v>45602</v>
      </c>
      <c r="E2398" s="13" t="str">
        <f>+HYPERLINK("http://trademark.i-assist.jp/data/china/image_1910th/80292028.pdf","80292028")</f>
        <v>80292028</v>
      </c>
      <c r="F2398" s="9" t="s">
        <v>6577</v>
      </c>
      <c r="G2398" s="9" t="s">
        <v>6578</v>
      </c>
      <c r="H2398" s="9" t="s">
        <v>6579</v>
      </c>
      <c r="I2398" s="10">
        <v>45514</v>
      </c>
    </row>
    <row r="2399" spans="1:9" x14ac:dyDescent="0.15">
      <c r="A2399" s="9">
        <v>2398</v>
      </c>
      <c r="B2399" s="9" t="s">
        <v>9</v>
      </c>
      <c r="C2399" s="9">
        <v>1910</v>
      </c>
      <c r="D2399" s="10">
        <v>45602</v>
      </c>
      <c r="E2399" s="13" t="str">
        <f>+HYPERLINK("http://trademark.i-assist.jp/data/china/image_1910th/80292224.pdf","80292224")</f>
        <v>80292224</v>
      </c>
      <c r="F2399" s="11" t="s">
        <v>19</v>
      </c>
      <c r="G2399" s="9" t="s">
        <v>6580</v>
      </c>
      <c r="H2399" s="9" t="s">
        <v>6581</v>
      </c>
      <c r="I2399" s="10">
        <v>45514</v>
      </c>
    </row>
    <row r="2400" spans="1:9" x14ac:dyDescent="0.15">
      <c r="A2400" s="9">
        <v>2399</v>
      </c>
      <c r="B2400" s="9" t="s">
        <v>9</v>
      </c>
      <c r="C2400" s="9">
        <v>1910</v>
      </c>
      <c r="D2400" s="10">
        <v>45602</v>
      </c>
      <c r="E2400" s="13" t="str">
        <f>+HYPERLINK("http://trademark.i-assist.jp/data/china/image_1910th/80292319.pdf","80292319")</f>
        <v>80292319</v>
      </c>
      <c r="F2400" s="9" t="s">
        <v>6582</v>
      </c>
      <c r="G2400" s="9" t="s">
        <v>6583</v>
      </c>
      <c r="H2400" s="9" t="s">
        <v>6584</v>
      </c>
      <c r="I2400" s="10">
        <v>45514</v>
      </c>
    </row>
    <row r="2401" spans="1:9" x14ac:dyDescent="0.15">
      <c r="A2401" s="9">
        <v>2400</v>
      </c>
      <c r="B2401" s="9" t="s">
        <v>9</v>
      </c>
      <c r="C2401" s="9">
        <v>1910</v>
      </c>
      <c r="D2401" s="10">
        <v>45602</v>
      </c>
      <c r="E2401" s="13" t="str">
        <f>+HYPERLINK("http://trademark.i-assist.jp/data/china/image_1910th/80292425.pdf","80292425")</f>
        <v>80292425</v>
      </c>
      <c r="F2401" s="9" t="s">
        <v>6585</v>
      </c>
      <c r="G2401" s="9" t="s">
        <v>6586</v>
      </c>
      <c r="H2401" s="11" t="s">
        <v>6587</v>
      </c>
      <c r="I2401" s="10">
        <v>45514</v>
      </c>
    </row>
    <row r="2402" spans="1:9" x14ac:dyDescent="0.15">
      <c r="A2402" s="9">
        <v>2401</v>
      </c>
      <c r="B2402" s="9" t="s">
        <v>9</v>
      </c>
      <c r="C2402" s="9">
        <v>1910</v>
      </c>
      <c r="D2402" s="10">
        <v>45602</v>
      </c>
      <c r="E2402" s="13" t="str">
        <f>+HYPERLINK("http://trademark.i-assist.jp/data/china/image_1910th/80292668.pdf","80292668")</f>
        <v>80292668</v>
      </c>
      <c r="F2402" s="9" t="s">
        <v>6588</v>
      </c>
      <c r="G2402" s="9" t="s">
        <v>6572</v>
      </c>
      <c r="H2402" s="9" t="s">
        <v>6589</v>
      </c>
      <c r="I2402" s="10">
        <v>45514</v>
      </c>
    </row>
    <row r="2403" spans="1:9" x14ac:dyDescent="0.15">
      <c r="A2403" s="9">
        <v>2402</v>
      </c>
      <c r="B2403" s="9" t="s">
        <v>9</v>
      </c>
      <c r="C2403" s="9">
        <v>1910</v>
      </c>
      <c r="D2403" s="10">
        <v>45602</v>
      </c>
      <c r="E2403" s="13" t="str">
        <f>+HYPERLINK("http://trademark.i-assist.jp/data/china/image_1910th/80292674.pdf","80292674")</f>
        <v>80292674</v>
      </c>
      <c r="F2403" s="11" t="s">
        <v>6590</v>
      </c>
      <c r="G2403" s="9" t="s">
        <v>6572</v>
      </c>
      <c r="H2403" s="9" t="s">
        <v>6591</v>
      </c>
      <c r="I2403" s="10">
        <v>45514</v>
      </c>
    </row>
    <row r="2404" spans="1:9" x14ac:dyDescent="0.15">
      <c r="A2404" s="9">
        <v>2403</v>
      </c>
      <c r="B2404" s="9" t="s">
        <v>9</v>
      </c>
      <c r="C2404" s="9">
        <v>1910</v>
      </c>
      <c r="D2404" s="10">
        <v>45602</v>
      </c>
      <c r="E2404" s="13" t="str">
        <f>+HYPERLINK("http://trademark.i-assist.jp/data/china/image_1910th/80292867.pdf","80292867")</f>
        <v>80292867</v>
      </c>
      <c r="F2404" s="9" t="s">
        <v>6592</v>
      </c>
      <c r="G2404" s="9" t="s">
        <v>6593</v>
      </c>
      <c r="H2404" s="9" t="s">
        <v>6594</v>
      </c>
      <c r="I2404" s="10">
        <v>45514</v>
      </c>
    </row>
    <row r="2405" spans="1:9" x14ac:dyDescent="0.15">
      <c r="A2405" s="9">
        <v>2404</v>
      </c>
      <c r="B2405" s="9" t="s">
        <v>9</v>
      </c>
      <c r="C2405" s="9">
        <v>1910</v>
      </c>
      <c r="D2405" s="10">
        <v>45602</v>
      </c>
      <c r="E2405" s="13" t="str">
        <f>+HYPERLINK("http://trademark.i-assist.jp/data/china/image_1910th/80293124.pdf","80293124")</f>
        <v>80293124</v>
      </c>
      <c r="F2405" s="12" t="s">
        <v>6595</v>
      </c>
      <c r="G2405" s="9" t="s">
        <v>6596</v>
      </c>
      <c r="H2405" s="9" t="s">
        <v>6597</v>
      </c>
      <c r="I2405" s="10">
        <v>45514</v>
      </c>
    </row>
    <row r="2406" spans="1:9" x14ac:dyDescent="0.15">
      <c r="A2406" s="9">
        <v>2405</v>
      </c>
      <c r="B2406" s="9" t="s">
        <v>9</v>
      </c>
      <c r="C2406" s="9">
        <v>1910</v>
      </c>
      <c r="D2406" s="10">
        <v>45602</v>
      </c>
      <c r="E2406" s="13" t="str">
        <f>+HYPERLINK("http://trademark.i-assist.jp/data/china/image_1910th/80293130.pdf","80293130")</f>
        <v>80293130</v>
      </c>
      <c r="F2406" s="9" t="s">
        <v>6598</v>
      </c>
      <c r="G2406" s="9" t="s">
        <v>6599</v>
      </c>
      <c r="H2406" s="9" t="s">
        <v>6600</v>
      </c>
      <c r="I2406" s="10">
        <v>45514</v>
      </c>
    </row>
    <row r="2407" spans="1:9" x14ac:dyDescent="0.15">
      <c r="A2407" s="9">
        <v>2406</v>
      </c>
      <c r="B2407" s="9" t="s">
        <v>9</v>
      </c>
      <c r="C2407" s="9">
        <v>1910</v>
      </c>
      <c r="D2407" s="10">
        <v>45602</v>
      </c>
      <c r="E2407" s="13" t="str">
        <f>+HYPERLINK("http://trademark.i-assist.jp/data/china/image_1910th/80293205.pdf","80293205")</f>
        <v>80293205</v>
      </c>
      <c r="F2407" s="9" t="s">
        <v>6601</v>
      </c>
      <c r="G2407" s="9" t="s">
        <v>6602</v>
      </c>
      <c r="H2407" s="9" t="s">
        <v>6603</v>
      </c>
      <c r="I2407" s="10">
        <v>45514</v>
      </c>
    </row>
    <row r="2408" spans="1:9" x14ac:dyDescent="0.15">
      <c r="A2408" s="9">
        <v>2407</v>
      </c>
      <c r="B2408" s="9" t="s">
        <v>9</v>
      </c>
      <c r="C2408" s="9">
        <v>1910</v>
      </c>
      <c r="D2408" s="10">
        <v>45602</v>
      </c>
      <c r="E2408" s="13" t="str">
        <f>+HYPERLINK("http://trademark.i-assist.jp/data/china/image_1910th/80293732.pdf","80293732")</f>
        <v>80293732</v>
      </c>
      <c r="F2408" s="11" t="s">
        <v>19</v>
      </c>
      <c r="G2408" s="11" t="s">
        <v>6604</v>
      </c>
      <c r="H2408" s="9" t="s">
        <v>6605</v>
      </c>
      <c r="I2408" s="10">
        <v>45514</v>
      </c>
    </row>
    <row r="2409" spans="1:9" x14ac:dyDescent="0.15">
      <c r="A2409" s="9">
        <v>2408</v>
      </c>
      <c r="B2409" s="9" t="s">
        <v>9</v>
      </c>
      <c r="C2409" s="9">
        <v>1910</v>
      </c>
      <c r="D2409" s="10">
        <v>45602</v>
      </c>
      <c r="E2409" s="13" t="str">
        <f>+HYPERLINK("http://trademark.i-assist.jp/data/china/image_1910th/80293892.pdf","80293892")</f>
        <v>80293892</v>
      </c>
      <c r="F2409" s="9" t="s">
        <v>6606</v>
      </c>
      <c r="G2409" s="9" t="s">
        <v>6607</v>
      </c>
      <c r="H2409" s="9" t="s">
        <v>6608</v>
      </c>
      <c r="I2409" s="10">
        <v>45514</v>
      </c>
    </row>
    <row r="2410" spans="1:9" x14ac:dyDescent="0.15">
      <c r="A2410" s="9">
        <v>2409</v>
      </c>
      <c r="B2410" s="9" t="s">
        <v>9</v>
      </c>
      <c r="C2410" s="9">
        <v>1910</v>
      </c>
      <c r="D2410" s="10">
        <v>45602</v>
      </c>
      <c r="E2410" s="13" t="str">
        <f>+HYPERLINK("http://trademark.i-assist.jp/data/china/image_1910th/80293919.pdf","80293919")</f>
        <v>80293919</v>
      </c>
      <c r="F2410" s="9" t="s">
        <v>6609</v>
      </c>
      <c r="G2410" s="9" t="s">
        <v>6610</v>
      </c>
      <c r="H2410" s="9" t="s">
        <v>6611</v>
      </c>
      <c r="I2410" s="10">
        <v>45514</v>
      </c>
    </row>
    <row r="2411" spans="1:9" x14ac:dyDescent="0.15">
      <c r="A2411" s="9">
        <v>2410</v>
      </c>
      <c r="B2411" s="9" t="s">
        <v>9</v>
      </c>
      <c r="C2411" s="9">
        <v>1910</v>
      </c>
      <c r="D2411" s="10">
        <v>45602</v>
      </c>
      <c r="E2411" s="13" t="str">
        <f>+HYPERLINK("http://trademark.i-assist.jp/data/china/image_1910th/80294390.pdf","80294390")</f>
        <v>80294390</v>
      </c>
      <c r="F2411" s="9" t="s">
        <v>6612</v>
      </c>
      <c r="G2411" s="9" t="s">
        <v>6613</v>
      </c>
      <c r="H2411" s="9" t="s">
        <v>6614</v>
      </c>
      <c r="I2411" s="10">
        <v>45514</v>
      </c>
    </row>
    <row r="2412" spans="1:9" x14ac:dyDescent="0.15">
      <c r="A2412" s="9">
        <v>2411</v>
      </c>
      <c r="B2412" s="9" t="s">
        <v>9</v>
      </c>
      <c r="C2412" s="9">
        <v>1910</v>
      </c>
      <c r="D2412" s="10">
        <v>45602</v>
      </c>
      <c r="E2412" s="13" t="str">
        <f>+HYPERLINK("http://trademark.i-assist.jp/data/china/image_1910th/80294602.pdf","80294602")</f>
        <v>80294602</v>
      </c>
      <c r="F2412" s="11" t="s">
        <v>6615</v>
      </c>
      <c r="G2412" s="9" t="s">
        <v>6616</v>
      </c>
      <c r="H2412" s="9" t="s">
        <v>6617</v>
      </c>
      <c r="I2412" s="10">
        <v>45514</v>
      </c>
    </row>
    <row r="2413" spans="1:9" x14ac:dyDescent="0.15">
      <c r="A2413" s="9">
        <v>2412</v>
      </c>
      <c r="B2413" s="9" t="s">
        <v>9</v>
      </c>
      <c r="C2413" s="9">
        <v>1910</v>
      </c>
      <c r="D2413" s="10">
        <v>45602</v>
      </c>
      <c r="E2413" s="13" t="str">
        <f>+HYPERLINK("http://trademark.i-assist.jp/data/china/image_1910th/80294679.pdf","80294679")</f>
        <v>80294679</v>
      </c>
      <c r="F2413" s="9" t="s">
        <v>6618</v>
      </c>
      <c r="G2413" s="9" t="s">
        <v>48</v>
      </c>
      <c r="H2413" s="11" t="s">
        <v>6619</v>
      </c>
      <c r="I2413" s="10">
        <v>45514</v>
      </c>
    </row>
    <row r="2414" spans="1:9" x14ac:dyDescent="0.15">
      <c r="A2414" s="9">
        <v>2413</v>
      </c>
      <c r="B2414" s="9" t="s">
        <v>9</v>
      </c>
      <c r="C2414" s="9">
        <v>1910</v>
      </c>
      <c r="D2414" s="10">
        <v>45602</v>
      </c>
      <c r="E2414" s="13" t="str">
        <f>+HYPERLINK("http://trademark.i-assist.jp/data/china/image_1910th/80294868.pdf","80294868")</f>
        <v>80294868</v>
      </c>
      <c r="F2414" s="9" t="s">
        <v>6620</v>
      </c>
      <c r="G2414" s="11" t="s">
        <v>6621</v>
      </c>
      <c r="H2414" s="9" t="s">
        <v>6622</v>
      </c>
      <c r="I2414" s="10">
        <v>45514</v>
      </c>
    </row>
    <row r="2415" spans="1:9" x14ac:dyDescent="0.15">
      <c r="A2415" s="9">
        <v>2414</v>
      </c>
      <c r="B2415" s="9" t="s">
        <v>9</v>
      </c>
      <c r="C2415" s="9">
        <v>1910</v>
      </c>
      <c r="D2415" s="10">
        <v>45602</v>
      </c>
      <c r="E2415" s="13" t="str">
        <f>+HYPERLINK("http://trademark.i-assist.jp/data/china/image_1910th/80294915.pdf","80294915")</f>
        <v>80294915</v>
      </c>
      <c r="F2415" s="9" t="s">
        <v>6623</v>
      </c>
      <c r="G2415" s="9" t="s">
        <v>6624</v>
      </c>
      <c r="H2415" s="9" t="s">
        <v>6625</v>
      </c>
      <c r="I2415" s="10">
        <v>45514</v>
      </c>
    </row>
    <row r="2416" spans="1:9" x14ac:dyDescent="0.15">
      <c r="A2416" s="9">
        <v>2415</v>
      </c>
      <c r="B2416" s="9" t="s">
        <v>9</v>
      </c>
      <c r="C2416" s="9">
        <v>1910</v>
      </c>
      <c r="D2416" s="10">
        <v>45602</v>
      </c>
      <c r="E2416" s="13" t="str">
        <f>+HYPERLINK("http://trademark.i-assist.jp/data/china/image_1910th/80294978.pdf","80294978")</f>
        <v>80294978</v>
      </c>
      <c r="F2416" s="9" t="s">
        <v>6626</v>
      </c>
      <c r="G2416" s="11" t="s">
        <v>6627</v>
      </c>
      <c r="H2416" s="9" t="s">
        <v>6628</v>
      </c>
      <c r="I2416" s="10">
        <v>45514</v>
      </c>
    </row>
    <row r="2417" spans="1:9" x14ac:dyDescent="0.15">
      <c r="A2417" s="9">
        <v>2416</v>
      </c>
      <c r="B2417" s="9" t="s">
        <v>9</v>
      </c>
      <c r="C2417" s="9">
        <v>1910</v>
      </c>
      <c r="D2417" s="10">
        <v>45602</v>
      </c>
      <c r="E2417" s="13" t="str">
        <f>+HYPERLINK("http://trademark.i-assist.jp/data/china/image_1910th/80295025.pdf","80295025")</f>
        <v>80295025</v>
      </c>
      <c r="F2417" s="11" t="s">
        <v>6629</v>
      </c>
      <c r="G2417" s="9" t="s">
        <v>6616</v>
      </c>
      <c r="H2417" s="11" t="s">
        <v>6630</v>
      </c>
      <c r="I2417" s="10">
        <v>45514</v>
      </c>
    </row>
    <row r="2418" spans="1:9" x14ac:dyDescent="0.15">
      <c r="A2418" s="9">
        <v>2417</v>
      </c>
      <c r="B2418" s="9" t="s">
        <v>9</v>
      </c>
      <c r="C2418" s="9">
        <v>1910</v>
      </c>
      <c r="D2418" s="10">
        <v>45602</v>
      </c>
      <c r="E2418" s="13" t="str">
        <f>+HYPERLINK("http://trademark.i-assist.jp/data/china/image_1910th/80295242.pdf","80295242")</f>
        <v>80295242</v>
      </c>
      <c r="F2418" s="9" t="s">
        <v>6631</v>
      </c>
      <c r="G2418" s="9" t="s">
        <v>6632</v>
      </c>
      <c r="H2418" s="9" t="s">
        <v>6633</v>
      </c>
      <c r="I2418" s="10">
        <v>45514</v>
      </c>
    </row>
    <row r="2419" spans="1:9" x14ac:dyDescent="0.15">
      <c r="A2419" s="9">
        <v>2418</v>
      </c>
      <c r="B2419" s="9" t="s">
        <v>9</v>
      </c>
      <c r="C2419" s="9">
        <v>1910</v>
      </c>
      <c r="D2419" s="10">
        <v>45602</v>
      </c>
      <c r="E2419" s="13" t="str">
        <f>+HYPERLINK("http://trademark.i-assist.jp/data/china/image_1910th/80295298.pdf","80295298")</f>
        <v>80295298</v>
      </c>
      <c r="F2419" s="9" t="s">
        <v>6634</v>
      </c>
      <c r="G2419" s="11" t="s">
        <v>6635</v>
      </c>
      <c r="H2419" s="9" t="s">
        <v>6636</v>
      </c>
      <c r="I2419" s="10">
        <v>45514</v>
      </c>
    </row>
    <row r="2420" spans="1:9" x14ac:dyDescent="0.15">
      <c r="A2420" s="9">
        <v>2419</v>
      </c>
      <c r="B2420" s="9" t="s">
        <v>9</v>
      </c>
      <c r="C2420" s="9">
        <v>1910</v>
      </c>
      <c r="D2420" s="10">
        <v>45602</v>
      </c>
      <c r="E2420" s="13" t="str">
        <f>+HYPERLINK("http://trademark.i-assist.jp/data/china/image_1910th/80295299.pdf","80295299")</f>
        <v>80295299</v>
      </c>
      <c r="F2420" s="11" t="s">
        <v>6637</v>
      </c>
      <c r="G2420" s="9" t="s">
        <v>6638</v>
      </c>
      <c r="H2420" s="9" t="s">
        <v>6639</v>
      </c>
      <c r="I2420" s="10">
        <v>45514</v>
      </c>
    </row>
    <row r="2421" spans="1:9" x14ac:dyDescent="0.15">
      <c r="A2421" s="9">
        <v>2420</v>
      </c>
      <c r="B2421" s="9" t="s">
        <v>9</v>
      </c>
      <c r="C2421" s="9">
        <v>1910</v>
      </c>
      <c r="D2421" s="10">
        <v>45602</v>
      </c>
      <c r="E2421" s="13" t="str">
        <f>+HYPERLINK("http://trademark.i-assist.jp/data/china/image_1910th/80295410.pdf","80295410")</f>
        <v>80295410</v>
      </c>
      <c r="F2421" s="9" t="s">
        <v>6640</v>
      </c>
      <c r="G2421" s="9" t="s">
        <v>6216</v>
      </c>
      <c r="H2421" s="11" t="s">
        <v>6641</v>
      </c>
      <c r="I2421" s="10">
        <v>45514</v>
      </c>
    </row>
    <row r="2422" spans="1:9" x14ac:dyDescent="0.15">
      <c r="A2422" s="9">
        <v>2421</v>
      </c>
      <c r="B2422" s="9" t="s">
        <v>9</v>
      </c>
      <c r="C2422" s="9">
        <v>1910</v>
      </c>
      <c r="D2422" s="10">
        <v>45602</v>
      </c>
      <c r="E2422" s="13" t="str">
        <f>+HYPERLINK("http://trademark.i-assist.jp/data/china/image_1910th/80295468.pdf","80295468")</f>
        <v>80295468</v>
      </c>
      <c r="F2422" s="11" t="s">
        <v>6642</v>
      </c>
      <c r="G2422" s="9" t="s">
        <v>6572</v>
      </c>
      <c r="H2422" s="9" t="s">
        <v>6643</v>
      </c>
      <c r="I2422" s="10">
        <v>45514</v>
      </c>
    </row>
    <row r="2423" spans="1:9" x14ac:dyDescent="0.15">
      <c r="A2423" s="9">
        <v>2422</v>
      </c>
      <c r="B2423" s="9" t="s">
        <v>9</v>
      </c>
      <c r="C2423" s="9">
        <v>1910</v>
      </c>
      <c r="D2423" s="10">
        <v>45602</v>
      </c>
      <c r="E2423" s="13" t="str">
        <f>+HYPERLINK("http://trademark.i-assist.jp/data/china/image_1910th/80295710.pdf","80295710")</f>
        <v>80295710</v>
      </c>
      <c r="F2423" s="9" t="s">
        <v>6644</v>
      </c>
      <c r="G2423" s="9" t="s">
        <v>6645</v>
      </c>
      <c r="H2423" s="9" t="s">
        <v>6646</v>
      </c>
      <c r="I2423" s="10">
        <v>45514</v>
      </c>
    </row>
    <row r="2424" spans="1:9" x14ac:dyDescent="0.15">
      <c r="A2424" s="9">
        <v>2423</v>
      </c>
      <c r="B2424" s="9" t="s">
        <v>9</v>
      </c>
      <c r="C2424" s="9">
        <v>1910</v>
      </c>
      <c r="D2424" s="10">
        <v>45602</v>
      </c>
      <c r="E2424" s="13" t="str">
        <f>+HYPERLINK("http://trademark.i-assist.jp/data/china/image_1910th/80295896.pdf","80295896")</f>
        <v>80295896</v>
      </c>
      <c r="F2424" s="9" t="s">
        <v>6647</v>
      </c>
      <c r="G2424" s="11" t="s">
        <v>6648</v>
      </c>
      <c r="H2424" s="9" t="s">
        <v>6649</v>
      </c>
      <c r="I2424" s="10">
        <v>45514</v>
      </c>
    </row>
    <row r="2425" spans="1:9" x14ac:dyDescent="0.15">
      <c r="A2425" s="9">
        <v>2424</v>
      </c>
      <c r="B2425" s="9" t="s">
        <v>9</v>
      </c>
      <c r="C2425" s="9">
        <v>1910</v>
      </c>
      <c r="D2425" s="10">
        <v>45602</v>
      </c>
      <c r="E2425" s="13" t="str">
        <f>+HYPERLINK("http://trademark.i-assist.jp/data/china/image_1910th/80295935.pdf","80295935")</f>
        <v>80295935</v>
      </c>
      <c r="F2425" s="12" t="s">
        <v>6650</v>
      </c>
      <c r="G2425" s="9" t="s">
        <v>6572</v>
      </c>
      <c r="H2425" s="9" t="s">
        <v>6651</v>
      </c>
      <c r="I2425" s="10">
        <v>45514</v>
      </c>
    </row>
    <row r="2426" spans="1:9" x14ac:dyDescent="0.15">
      <c r="A2426" s="9">
        <v>2425</v>
      </c>
      <c r="B2426" s="9" t="s">
        <v>9</v>
      </c>
      <c r="C2426" s="9">
        <v>1910</v>
      </c>
      <c r="D2426" s="10">
        <v>45602</v>
      </c>
      <c r="E2426" s="13" t="str">
        <f>+HYPERLINK("http://trademark.i-assist.jp/data/china/image_1910th/80295971.pdf","80295971")</f>
        <v>80295971</v>
      </c>
      <c r="F2426" s="11" t="s">
        <v>6652</v>
      </c>
      <c r="G2426" s="9" t="s">
        <v>6653</v>
      </c>
      <c r="H2426" s="9" t="s">
        <v>6654</v>
      </c>
      <c r="I2426" s="10">
        <v>45514</v>
      </c>
    </row>
    <row r="2427" spans="1:9" x14ac:dyDescent="0.15">
      <c r="A2427" s="9">
        <v>2426</v>
      </c>
      <c r="B2427" s="9" t="s">
        <v>9</v>
      </c>
      <c r="C2427" s="9">
        <v>1910</v>
      </c>
      <c r="D2427" s="10">
        <v>45602</v>
      </c>
      <c r="E2427" s="13" t="str">
        <f>+HYPERLINK("http://trademark.i-assist.jp/data/china/image_1910th/80296274.pdf","80296274")</f>
        <v>80296274</v>
      </c>
      <c r="F2427" s="9" t="s">
        <v>6655</v>
      </c>
      <c r="G2427" s="9" t="s">
        <v>6656</v>
      </c>
      <c r="H2427" s="9" t="s">
        <v>6657</v>
      </c>
      <c r="I2427" s="10">
        <v>45514</v>
      </c>
    </row>
    <row r="2428" spans="1:9" x14ac:dyDescent="0.15">
      <c r="A2428" s="9">
        <v>2427</v>
      </c>
      <c r="B2428" s="9" t="s">
        <v>9</v>
      </c>
      <c r="C2428" s="9">
        <v>1910</v>
      </c>
      <c r="D2428" s="10">
        <v>45602</v>
      </c>
      <c r="E2428" s="13" t="str">
        <f>+HYPERLINK("http://trademark.i-assist.jp/data/china/image_1910th/80296358.pdf","80296358")</f>
        <v>80296358</v>
      </c>
      <c r="F2428" s="9" t="s">
        <v>6658</v>
      </c>
      <c r="G2428" s="9" t="s">
        <v>6586</v>
      </c>
      <c r="H2428" s="9" t="s">
        <v>6659</v>
      </c>
      <c r="I2428" s="10">
        <v>45514</v>
      </c>
    </row>
    <row r="2429" spans="1:9" x14ac:dyDescent="0.15">
      <c r="A2429" s="9">
        <v>2428</v>
      </c>
      <c r="B2429" s="9" t="s">
        <v>9</v>
      </c>
      <c r="C2429" s="9">
        <v>1910</v>
      </c>
      <c r="D2429" s="10">
        <v>45602</v>
      </c>
      <c r="E2429" s="13" t="str">
        <f>+HYPERLINK("http://trademark.i-assist.jp/data/china/image_1910th/80296402.pdf","80296402")</f>
        <v>80296402</v>
      </c>
      <c r="F2429" s="9" t="s">
        <v>6660</v>
      </c>
      <c r="G2429" s="9" t="s">
        <v>6661</v>
      </c>
      <c r="H2429" s="9" t="s">
        <v>6662</v>
      </c>
      <c r="I2429" s="10">
        <v>45515</v>
      </c>
    </row>
    <row r="2430" spans="1:9" x14ac:dyDescent="0.15">
      <c r="A2430" s="9">
        <v>2429</v>
      </c>
      <c r="B2430" s="9" t="s">
        <v>9</v>
      </c>
      <c r="C2430" s="9">
        <v>1910</v>
      </c>
      <c r="D2430" s="10">
        <v>45602</v>
      </c>
      <c r="E2430" s="13" t="str">
        <f>+HYPERLINK("http://trademark.i-assist.jp/data/china/image_1910th/80296598.pdf","80296598")</f>
        <v>80296598</v>
      </c>
      <c r="F2430" s="9" t="s">
        <v>6663</v>
      </c>
      <c r="G2430" s="9" t="s">
        <v>6664</v>
      </c>
      <c r="H2430" s="9" t="s">
        <v>6665</v>
      </c>
      <c r="I2430" s="10">
        <v>45515</v>
      </c>
    </row>
    <row r="2431" spans="1:9" x14ac:dyDescent="0.15">
      <c r="A2431" s="9">
        <v>2430</v>
      </c>
      <c r="B2431" s="9" t="s">
        <v>9</v>
      </c>
      <c r="C2431" s="9">
        <v>1910</v>
      </c>
      <c r="D2431" s="10">
        <v>45602</v>
      </c>
      <c r="E2431" s="13" t="str">
        <f>+HYPERLINK("http://trademark.i-assist.jp/data/china/image_1910th/80296867.pdf","80296867")</f>
        <v>80296867</v>
      </c>
      <c r="F2431" s="9" t="s">
        <v>6666</v>
      </c>
      <c r="G2431" s="9" t="s">
        <v>6667</v>
      </c>
      <c r="H2431" s="9" t="s">
        <v>6668</v>
      </c>
      <c r="I2431" s="10">
        <v>45515</v>
      </c>
    </row>
    <row r="2432" spans="1:9" x14ac:dyDescent="0.15">
      <c r="A2432" s="9">
        <v>2431</v>
      </c>
      <c r="B2432" s="9" t="s">
        <v>9</v>
      </c>
      <c r="C2432" s="9">
        <v>1910</v>
      </c>
      <c r="D2432" s="10">
        <v>45602</v>
      </c>
      <c r="E2432" s="13" t="str">
        <f>+HYPERLINK("http://trademark.i-assist.jp/data/china/image_1910th/80296868.pdf","80296868")</f>
        <v>80296868</v>
      </c>
      <c r="F2432" s="9" t="s">
        <v>6669</v>
      </c>
      <c r="G2432" s="9" t="s">
        <v>6667</v>
      </c>
      <c r="H2432" s="9" t="s">
        <v>6670</v>
      </c>
      <c r="I2432" s="10">
        <v>45515</v>
      </c>
    </row>
    <row r="2433" spans="1:9" x14ac:dyDescent="0.15">
      <c r="A2433" s="9">
        <v>2432</v>
      </c>
      <c r="B2433" s="9" t="s">
        <v>9</v>
      </c>
      <c r="C2433" s="9">
        <v>1910</v>
      </c>
      <c r="D2433" s="10">
        <v>45602</v>
      </c>
      <c r="E2433" s="13" t="str">
        <f>+HYPERLINK("http://trademark.i-assist.jp/data/china/image_1910th/80297041.pdf","80297041")</f>
        <v>80297041</v>
      </c>
      <c r="F2433" s="9" t="s">
        <v>6671</v>
      </c>
      <c r="G2433" s="11" t="s">
        <v>6672</v>
      </c>
      <c r="H2433" s="9" t="s">
        <v>6673</v>
      </c>
      <c r="I2433" s="10">
        <v>45515</v>
      </c>
    </row>
    <row r="2434" spans="1:9" x14ac:dyDescent="0.15">
      <c r="A2434" s="9">
        <v>2433</v>
      </c>
      <c r="B2434" s="9" t="s">
        <v>9</v>
      </c>
      <c r="C2434" s="9">
        <v>1910</v>
      </c>
      <c r="D2434" s="10">
        <v>45602</v>
      </c>
      <c r="E2434" s="13" t="str">
        <f>+HYPERLINK("http://trademark.i-assist.jp/data/china/image_1910th/80297061.pdf","80297061")</f>
        <v>80297061</v>
      </c>
      <c r="F2434" s="9" t="s">
        <v>6674</v>
      </c>
      <c r="G2434" s="9" t="s">
        <v>6664</v>
      </c>
      <c r="H2434" s="11" t="s">
        <v>6675</v>
      </c>
      <c r="I2434" s="10">
        <v>45515</v>
      </c>
    </row>
    <row r="2435" spans="1:9" x14ac:dyDescent="0.15">
      <c r="A2435" s="9">
        <v>2434</v>
      </c>
      <c r="B2435" s="9" t="s">
        <v>9</v>
      </c>
      <c r="C2435" s="9">
        <v>1910</v>
      </c>
      <c r="D2435" s="10">
        <v>45602</v>
      </c>
      <c r="E2435" s="13" t="str">
        <f>+HYPERLINK("http://trademark.i-assist.jp/data/china/image_1910th/80297127.pdf","80297127")</f>
        <v>80297127</v>
      </c>
      <c r="F2435" s="9" t="s">
        <v>6676</v>
      </c>
      <c r="G2435" s="9" t="s">
        <v>6677</v>
      </c>
      <c r="H2435" s="9" t="s">
        <v>6678</v>
      </c>
      <c r="I2435" s="10">
        <v>45515</v>
      </c>
    </row>
    <row r="2436" spans="1:9" x14ac:dyDescent="0.15">
      <c r="A2436" s="9">
        <v>2435</v>
      </c>
      <c r="B2436" s="9" t="s">
        <v>9</v>
      </c>
      <c r="C2436" s="9">
        <v>1910</v>
      </c>
      <c r="D2436" s="10">
        <v>45602</v>
      </c>
      <c r="E2436" s="13" t="str">
        <f>+HYPERLINK("http://trademark.i-assist.jp/data/china/image_1910th/80297149.pdf","80297149")</f>
        <v>80297149</v>
      </c>
      <c r="F2436" s="9" t="s">
        <v>6679</v>
      </c>
      <c r="G2436" s="9" t="s">
        <v>6680</v>
      </c>
      <c r="H2436" s="9" t="s">
        <v>6681</v>
      </c>
      <c r="I2436" s="10">
        <v>45515</v>
      </c>
    </row>
    <row r="2437" spans="1:9" x14ac:dyDescent="0.15">
      <c r="A2437" s="9">
        <v>2436</v>
      </c>
      <c r="B2437" s="9" t="s">
        <v>9</v>
      </c>
      <c r="C2437" s="9">
        <v>1910</v>
      </c>
      <c r="D2437" s="10">
        <v>45602</v>
      </c>
      <c r="E2437" s="13" t="str">
        <f>+HYPERLINK("http://trademark.i-assist.jp/data/china/image_1910th/80297221.pdf","80297221")</f>
        <v>80297221</v>
      </c>
      <c r="F2437" s="9" t="s">
        <v>6682</v>
      </c>
      <c r="G2437" s="11" t="s">
        <v>6683</v>
      </c>
      <c r="H2437" s="9" t="s">
        <v>6684</v>
      </c>
      <c r="I2437" s="10">
        <v>45515</v>
      </c>
    </row>
    <row r="2438" spans="1:9" x14ac:dyDescent="0.15">
      <c r="A2438" s="9">
        <v>2437</v>
      </c>
      <c r="B2438" s="9" t="s">
        <v>9</v>
      </c>
      <c r="C2438" s="9">
        <v>1910</v>
      </c>
      <c r="D2438" s="10">
        <v>45602</v>
      </c>
      <c r="E2438" s="13" t="str">
        <f>+HYPERLINK("http://trademark.i-assist.jp/data/china/image_1910th/80297484.pdf","80297484")</f>
        <v>80297484</v>
      </c>
      <c r="F2438" s="11" t="s">
        <v>6685</v>
      </c>
      <c r="G2438" s="9" t="s">
        <v>6686</v>
      </c>
      <c r="H2438" s="9" t="s">
        <v>6687</v>
      </c>
      <c r="I2438" s="10">
        <v>45515</v>
      </c>
    </row>
    <row r="2439" spans="1:9" x14ac:dyDescent="0.15">
      <c r="A2439" s="9">
        <v>2438</v>
      </c>
      <c r="B2439" s="9" t="s">
        <v>9</v>
      </c>
      <c r="C2439" s="9">
        <v>1910</v>
      </c>
      <c r="D2439" s="10">
        <v>45602</v>
      </c>
      <c r="E2439" s="13" t="str">
        <f>+HYPERLINK("http://trademark.i-assist.jp/data/china/image_1910th/80297492.pdf","80297492")</f>
        <v>80297492</v>
      </c>
      <c r="F2439" s="9" t="s">
        <v>6688</v>
      </c>
      <c r="G2439" s="9" t="s">
        <v>6664</v>
      </c>
      <c r="H2439" s="9" t="s">
        <v>6689</v>
      </c>
      <c r="I2439" s="10">
        <v>45515</v>
      </c>
    </row>
    <row r="2440" spans="1:9" x14ac:dyDescent="0.15">
      <c r="A2440" s="9">
        <v>2439</v>
      </c>
      <c r="B2440" s="9" t="s">
        <v>9</v>
      </c>
      <c r="C2440" s="9">
        <v>1910</v>
      </c>
      <c r="D2440" s="10">
        <v>45602</v>
      </c>
      <c r="E2440" s="13" t="str">
        <f>+HYPERLINK("http://trademark.i-assist.jp/data/china/image_1910th/80297531.pdf","80297531")</f>
        <v>80297531</v>
      </c>
      <c r="F2440" s="9" t="s">
        <v>6690</v>
      </c>
      <c r="G2440" s="11" t="s">
        <v>6691</v>
      </c>
      <c r="H2440" s="9" t="s">
        <v>6692</v>
      </c>
      <c r="I2440" s="10">
        <v>45515</v>
      </c>
    </row>
    <row r="2441" spans="1:9" x14ac:dyDescent="0.15">
      <c r="A2441" s="9">
        <v>2440</v>
      </c>
      <c r="B2441" s="9" t="s">
        <v>9</v>
      </c>
      <c r="C2441" s="9">
        <v>1910</v>
      </c>
      <c r="D2441" s="10">
        <v>45602</v>
      </c>
      <c r="E2441" s="13" t="str">
        <f>+HYPERLINK("http://trademark.i-assist.jp/data/china/image_1910th/80297635.pdf","80297635")</f>
        <v>80297635</v>
      </c>
      <c r="F2441" s="9" t="s">
        <v>6693</v>
      </c>
      <c r="G2441" s="9" t="s">
        <v>6667</v>
      </c>
      <c r="H2441" s="9" t="s">
        <v>6694</v>
      </c>
      <c r="I2441" s="10">
        <v>45515</v>
      </c>
    </row>
    <row r="2442" spans="1:9" x14ac:dyDescent="0.15">
      <c r="A2442" s="9">
        <v>2441</v>
      </c>
      <c r="B2442" s="9" t="s">
        <v>9</v>
      </c>
      <c r="C2442" s="9">
        <v>1910</v>
      </c>
      <c r="D2442" s="10">
        <v>45602</v>
      </c>
      <c r="E2442" s="13" t="str">
        <f>+HYPERLINK("http://trademark.i-assist.jp/data/china/image_1910th/80297872.pdf","80297872")</f>
        <v>80297872</v>
      </c>
      <c r="F2442" s="9" t="s">
        <v>6695</v>
      </c>
      <c r="G2442" s="9" t="s">
        <v>6677</v>
      </c>
      <c r="H2442" s="9" t="s">
        <v>6696</v>
      </c>
      <c r="I2442" s="10">
        <v>45515</v>
      </c>
    </row>
    <row r="2443" spans="1:9" x14ac:dyDescent="0.15">
      <c r="A2443" s="9">
        <v>2442</v>
      </c>
      <c r="B2443" s="9" t="s">
        <v>9</v>
      </c>
      <c r="C2443" s="9">
        <v>1910</v>
      </c>
      <c r="D2443" s="10">
        <v>45602</v>
      </c>
      <c r="E2443" s="13" t="str">
        <f>+HYPERLINK("http://trademark.i-assist.jp/data/china/image_1910th/80298071.pdf","80298071")</f>
        <v>80298071</v>
      </c>
      <c r="F2443" s="9" t="s">
        <v>6697</v>
      </c>
      <c r="G2443" s="9" t="s">
        <v>6698</v>
      </c>
      <c r="H2443" s="9" t="s">
        <v>6699</v>
      </c>
      <c r="I2443" s="10">
        <v>45515</v>
      </c>
    </row>
    <row r="2444" spans="1:9" x14ac:dyDescent="0.15">
      <c r="A2444" s="9">
        <v>2443</v>
      </c>
      <c r="B2444" s="9" t="s">
        <v>9</v>
      </c>
      <c r="C2444" s="9">
        <v>1910</v>
      </c>
      <c r="D2444" s="10">
        <v>45602</v>
      </c>
      <c r="E2444" s="13" t="str">
        <f>+HYPERLINK("http://trademark.i-assist.jp/data/china/image_1910th/80298076.pdf","80298076")</f>
        <v>80298076</v>
      </c>
      <c r="F2444" s="9" t="s">
        <v>6700</v>
      </c>
      <c r="G2444" s="9" t="s">
        <v>6686</v>
      </c>
      <c r="H2444" s="9" t="s">
        <v>6701</v>
      </c>
      <c r="I2444" s="10">
        <v>45515</v>
      </c>
    </row>
    <row r="2445" spans="1:9" x14ac:dyDescent="0.15">
      <c r="A2445" s="9">
        <v>2444</v>
      </c>
      <c r="B2445" s="9" t="s">
        <v>9</v>
      </c>
      <c r="C2445" s="9">
        <v>1910</v>
      </c>
      <c r="D2445" s="10">
        <v>45602</v>
      </c>
      <c r="E2445" s="13" t="str">
        <f>+HYPERLINK("http://trademark.i-assist.jp/data/china/image_1910th/80298083.pdf","80298083")</f>
        <v>80298083</v>
      </c>
      <c r="F2445" s="9" t="s">
        <v>6702</v>
      </c>
      <c r="G2445" s="9" t="s">
        <v>6664</v>
      </c>
      <c r="H2445" s="11" t="s">
        <v>6703</v>
      </c>
      <c r="I2445" s="10">
        <v>45515</v>
      </c>
    </row>
    <row r="2446" spans="1:9" x14ac:dyDescent="0.15">
      <c r="A2446" s="9">
        <v>2445</v>
      </c>
      <c r="B2446" s="9" t="s">
        <v>9</v>
      </c>
      <c r="C2446" s="9">
        <v>1910</v>
      </c>
      <c r="D2446" s="10">
        <v>45602</v>
      </c>
      <c r="E2446" s="13" t="str">
        <f>+HYPERLINK("http://trademark.i-assist.jp/data/china/image_1910th/80298096.pdf","80298096")</f>
        <v>80298096</v>
      </c>
      <c r="F2446" s="9" t="s">
        <v>6704</v>
      </c>
      <c r="G2446" s="9" t="s">
        <v>6686</v>
      </c>
      <c r="H2446" s="9" t="s">
        <v>6705</v>
      </c>
      <c r="I2446" s="10">
        <v>45515</v>
      </c>
    </row>
    <row r="2447" spans="1:9" x14ac:dyDescent="0.15">
      <c r="A2447" s="9">
        <v>2446</v>
      </c>
      <c r="B2447" s="9" t="s">
        <v>9</v>
      </c>
      <c r="C2447" s="9">
        <v>1910</v>
      </c>
      <c r="D2447" s="10">
        <v>45602</v>
      </c>
      <c r="E2447" s="13" t="str">
        <f>+HYPERLINK("http://trademark.i-assist.jp/data/china/image_1910th/80298099.pdf","80298099")</f>
        <v>80298099</v>
      </c>
      <c r="F2447" s="9" t="s">
        <v>6706</v>
      </c>
      <c r="G2447" s="9" t="s">
        <v>6664</v>
      </c>
      <c r="H2447" s="9" t="s">
        <v>6707</v>
      </c>
      <c r="I2447" s="10">
        <v>45515</v>
      </c>
    </row>
    <row r="2448" spans="1:9" x14ac:dyDescent="0.15">
      <c r="A2448" s="9">
        <v>2447</v>
      </c>
      <c r="B2448" s="9" t="s">
        <v>9</v>
      </c>
      <c r="C2448" s="9">
        <v>1910</v>
      </c>
      <c r="D2448" s="10">
        <v>45602</v>
      </c>
      <c r="E2448" s="13" t="str">
        <f>+HYPERLINK("http://trademark.i-assist.jp/data/china/image_1910th/80298103.pdf","80298103")</f>
        <v>80298103</v>
      </c>
      <c r="F2448" s="9" t="s">
        <v>6708</v>
      </c>
      <c r="G2448" s="9" t="s">
        <v>6664</v>
      </c>
      <c r="H2448" s="9" t="s">
        <v>6709</v>
      </c>
      <c r="I2448" s="10">
        <v>45515</v>
      </c>
    </row>
    <row r="2449" spans="1:9" x14ac:dyDescent="0.15">
      <c r="A2449" s="9">
        <v>2448</v>
      </c>
      <c r="B2449" s="9" t="s">
        <v>9</v>
      </c>
      <c r="C2449" s="9">
        <v>1910</v>
      </c>
      <c r="D2449" s="10">
        <v>45602</v>
      </c>
      <c r="E2449" s="13" t="str">
        <f>+HYPERLINK("http://trademark.i-assist.jp/data/china/image_1910th/80298110.pdf","80298110")</f>
        <v>80298110</v>
      </c>
      <c r="F2449" s="11" t="s">
        <v>6710</v>
      </c>
      <c r="G2449" s="9" t="s">
        <v>6667</v>
      </c>
      <c r="H2449" s="11" t="s">
        <v>6711</v>
      </c>
      <c r="I2449" s="10">
        <v>45515</v>
      </c>
    </row>
    <row r="2450" spans="1:9" x14ac:dyDescent="0.15">
      <c r="A2450" s="9">
        <v>2449</v>
      </c>
      <c r="B2450" s="9" t="s">
        <v>9</v>
      </c>
      <c r="C2450" s="9">
        <v>1910</v>
      </c>
      <c r="D2450" s="10">
        <v>45602</v>
      </c>
      <c r="E2450" s="13" t="str">
        <f>+HYPERLINK("http://trademark.i-assist.jp/data/china/image_1910th/80298120.pdf","80298120")</f>
        <v>80298120</v>
      </c>
      <c r="F2450" s="9" t="s">
        <v>6712</v>
      </c>
      <c r="G2450" s="11" t="s">
        <v>6713</v>
      </c>
      <c r="H2450" s="9" t="s">
        <v>6714</v>
      </c>
      <c r="I2450" s="10">
        <v>45515</v>
      </c>
    </row>
    <row r="2451" spans="1:9" x14ac:dyDescent="0.15">
      <c r="A2451" s="9">
        <v>2450</v>
      </c>
      <c r="B2451" s="9" t="s">
        <v>9</v>
      </c>
      <c r="C2451" s="9">
        <v>1910</v>
      </c>
      <c r="D2451" s="10">
        <v>45602</v>
      </c>
      <c r="E2451" s="13" t="str">
        <f>+HYPERLINK("http://trademark.i-assist.jp/data/china/image_1910th/80298237.pdf","80298237")</f>
        <v>80298237</v>
      </c>
      <c r="F2451" s="9" t="s">
        <v>6715</v>
      </c>
      <c r="G2451" s="9" t="s">
        <v>6716</v>
      </c>
      <c r="H2451" s="9" t="s">
        <v>6717</v>
      </c>
      <c r="I2451" s="10">
        <v>45515</v>
      </c>
    </row>
    <row r="2452" spans="1:9" x14ac:dyDescent="0.15">
      <c r="A2452" s="9">
        <v>2451</v>
      </c>
      <c r="B2452" s="9" t="s">
        <v>9</v>
      </c>
      <c r="C2452" s="9">
        <v>1910</v>
      </c>
      <c r="D2452" s="10">
        <v>45602</v>
      </c>
      <c r="E2452" s="13" t="str">
        <f>+HYPERLINK("http://trademark.i-assist.jp/data/china/image_1910th/80298286.pdf","80298286")</f>
        <v>80298286</v>
      </c>
      <c r="F2452" s="9" t="s">
        <v>6718</v>
      </c>
      <c r="G2452" s="11" t="s">
        <v>6719</v>
      </c>
      <c r="H2452" s="9" t="s">
        <v>6720</v>
      </c>
      <c r="I2452" s="10">
        <v>45515</v>
      </c>
    </row>
    <row r="2453" spans="1:9" x14ac:dyDescent="0.15">
      <c r="A2453" s="9">
        <v>2452</v>
      </c>
      <c r="B2453" s="9" t="s">
        <v>9</v>
      </c>
      <c r="C2453" s="9">
        <v>1910</v>
      </c>
      <c r="D2453" s="10">
        <v>45602</v>
      </c>
      <c r="E2453" s="13" t="str">
        <f>+HYPERLINK("http://trademark.i-assist.jp/data/china/image_1910th/80298374.pdf","80298374")</f>
        <v>80298374</v>
      </c>
      <c r="F2453" s="9" t="s">
        <v>6721</v>
      </c>
      <c r="G2453" s="11" t="s">
        <v>6691</v>
      </c>
      <c r="H2453" s="9" t="s">
        <v>6722</v>
      </c>
      <c r="I2453" s="10">
        <v>45515</v>
      </c>
    </row>
    <row r="2454" spans="1:9" x14ac:dyDescent="0.15">
      <c r="A2454" s="9">
        <v>2453</v>
      </c>
      <c r="B2454" s="9" t="s">
        <v>9</v>
      </c>
      <c r="C2454" s="9">
        <v>1910</v>
      </c>
      <c r="D2454" s="10">
        <v>45602</v>
      </c>
      <c r="E2454" s="13" t="str">
        <f>+HYPERLINK("http://trademark.i-assist.jp/data/china/image_1910th/80298432.pdf","80298432")</f>
        <v>80298432</v>
      </c>
      <c r="F2454" s="9" t="s">
        <v>6723</v>
      </c>
      <c r="G2454" s="9" t="s">
        <v>6724</v>
      </c>
      <c r="H2454" s="9" t="s">
        <v>6725</v>
      </c>
      <c r="I2454" s="10">
        <v>45515</v>
      </c>
    </row>
    <row r="2455" spans="1:9" x14ac:dyDescent="0.15">
      <c r="A2455" s="9">
        <v>2454</v>
      </c>
      <c r="B2455" s="9" t="s">
        <v>9</v>
      </c>
      <c r="C2455" s="9">
        <v>1910</v>
      </c>
      <c r="D2455" s="10">
        <v>45602</v>
      </c>
      <c r="E2455" s="13" t="str">
        <f>+HYPERLINK("http://trademark.i-assist.jp/data/china/image_1910th/80298450.pdf","80298450")</f>
        <v>80298450</v>
      </c>
      <c r="F2455" s="9" t="s">
        <v>6726</v>
      </c>
      <c r="G2455" s="9" t="s">
        <v>6727</v>
      </c>
      <c r="H2455" s="9" t="s">
        <v>6728</v>
      </c>
      <c r="I2455" s="10">
        <v>45515</v>
      </c>
    </row>
    <row r="2456" spans="1:9" x14ac:dyDescent="0.15">
      <c r="A2456" s="9">
        <v>2455</v>
      </c>
      <c r="B2456" s="9" t="s">
        <v>9</v>
      </c>
      <c r="C2456" s="9">
        <v>1910</v>
      </c>
      <c r="D2456" s="10">
        <v>45602</v>
      </c>
      <c r="E2456" s="13" t="str">
        <f>+HYPERLINK("http://trademark.i-assist.jp/data/china/image_1910th/80298747.pdf","80298747")</f>
        <v>80298747</v>
      </c>
      <c r="F2456" s="9" t="s">
        <v>6729</v>
      </c>
      <c r="G2456" s="9" t="s">
        <v>6686</v>
      </c>
      <c r="H2456" s="11" t="s">
        <v>6730</v>
      </c>
      <c r="I2456" s="10">
        <v>45515</v>
      </c>
    </row>
    <row r="2457" spans="1:9" x14ac:dyDescent="0.15">
      <c r="A2457" s="9">
        <v>2456</v>
      </c>
      <c r="B2457" s="9" t="s">
        <v>9</v>
      </c>
      <c r="C2457" s="9">
        <v>1910</v>
      </c>
      <c r="D2457" s="10">
        <v>45602</v>
      </c>
      <c r="E2457" s="13" t="str">
        <f>+HYPERLINK("http://trademark.i-assist.jp/data/china/image_1910th/80298753.pdf","80298753")</f>
        <v>80298753</v>
      </c>
      <c r="F2457" s="9" t="s">
        <v>6731</v>
      </c>
      <c r="G2457" s="9" t="s">
        <v>6664</v>
      </c>
      <c r="H2457" s="9" t="s">
        <v>6732</v>
      </c>
      <c r="I2457" s="10">
        <v>45515</v>
      </c>
    </row>
    <row r="2458" spans="1:9" x14ac:dyDescent="0.15">
      <c r="A2458" s="9">
        <v>2457</v>
      </c>
      <c r="B2458" s="9" t="s">
        <v>9</v>
      </c>
      <c r="C2458" s="9">
        <v>1910</v>
      </c>
      <c r="D2458" s="10">
        <v>45602</v>
      </c>
      <c r="E2458" s="13" t="str">
        <f>+HYPERLINK("http://trademark.i-assist.jp/data/china/image_1910th/80298754.pdf","80298754")</f>
        <v>80298754</v>
      </c>
      <c r="F2458" s="9" t="s">
        <v>6733</v>
      </c>
      <c r="G2458" s="9" t="s">
        <v>6664</v>
      </c>
      <c r="H2458" s="9" t="s">
        <v>6734</v>
      </c>
      <c r="I2458" s="10">
        <v>45515</v>
      </c>
    </row>
    <row r="2459" spans="1:9" x14ac:dyDescent="0.15">
      <c r="A2459" s="9">
        <v>2458</v>
      </c>
      <c r="B2459" s="9" t="s">
        <v>9</v>
      </c>
      <c r="C2459" s="9">
        <v>1910</v>
      </c>
      <c r="D2459" s="10">
        <v>45602</v>
      </c>
      <c r="E2459" s="13" t="str">
        <f>+HYPERLINK("http://trademark.i-assist.jp/data/china/image_1910th/80298941.pdf","80298941")</f>
        <v>80298941</v>
      </c>
      <c r="F2459" s="11" t="s">
        <v>19</v>
      </c>
      <c r="G2459" s="11" t="s">
        <v>6735</v>
      </c>
      <c r="H2459" s="9" t="s">
        <v>6736</v>
      </c>
      <c r="I2459" s="10">
        <v>45515</v>
      </c>
    </row>
    <row r="2460" spans="1:9" x14ac:dyDescent="0.15">
      <c r="A2460" s="9">
        <v>2459</v>
      </c>
      <c r="B2460" s="9" t="s">
        <v>9</v>
      </c>
      <c r="C2460" s="9">
        <v>1910</v>
      </c>
      <c r="D2460" s="10">
        <v>45602</v>
      </c>
      <c r="E2460" s="13" t="str">
        <f>+HYPERLINK("http://trademark.i-assist.jp/data/china/image_1910th/80298943.pdf","80298943")</f>
        <v>80298943</v>
      </c>
      <c r="F2460" s="9" t="s">
        <v>6737</v>
      </c>
      <c r="G2460" s="11" t="s">
        <v>6738</v>
      </c>
      <c r="H2460" s="9" t="s">
        <v>6739</v>
      </c>
      <c r="I2460" s="10">
        <v>45515</v>
      </c>
    </row>
    <row r="2461" spans="1:9" x14ac:dyDescent="0.15">
      <c r="A2461" s="9">
        <v>2460</v>
      </c>
      <c r="B2461" s="9" t="s">
        <v>9</v>
      </c>
      <c r="C2461" s="9">
        <v>1910</v>
      </c>
      <c r="D2461" s="10">
        <v>45602</v>
      </c>
      <c r="E2461" s="13" t="str">
        <f>+HYPERLINK("http://trademark.i-assist.jp/data/china/image_1910th/80299193.pdf","80299193")</f>
        <v>80299193</v>
      </c>
      <c r="F2461" s="9" t="s">
        <v>6740</v>
      </c>
      <c r="G2461" s="9" t="s">
        <v>6741</v>
      </c>
      <c r="H2461" s="9" t="s">
        <v>6742</v>
      </c>
      <c r="I2461" s="10">
        <v>45515</v>
      </c>
    </row>
    <row r="2462" spans="1:9" x14ac:dyDescent="0.15">
      <c r="A2462" s="9">
        <v>2461</v>
      </c>
      <c r="B2462" s="9" t="s">
        <v>9</v>
      </c>
      <c r="C2462" s="9">
        <v>1910</v>
      </c>
      <c r="D2462" s="10">
        <v>45602</v>
      </c>
      <c r="E2462" s="13" t="str">
        <f>+HYPERLINK("http://trademark.i-assist.jp/data/china/image_1910th/80299194.pdf","80299194")</f>
        <v>80299194</v>
      </c>
      <c r="F2462" s="9" t="s">
        <v>6743</v>
      </c>
      <c r="G2462" s="9" t="s">
        <v>6744</v>
      </c>
      <c r="H2462" s="9" t="s">
        <v>6745</v>
      </c>
      <c r="I2462" s="10">
        <v>45515</v>
      </c>
    </row>
    <row r="2463" spans="1:9" x14ac:dyDescent="0.15">
      <c r="A2463" s="9">
        <v>2462</v>
      </c>
      <c r="B2463" s="9" t="s">
        <v>9</v>
      </c>
      <c r="C2463" s="9">
        <v>1910</v>
      </c>
      <c r="D2463" s="10">
        <v>45602</v>
      </c>
      <c r="E2463" s="13" t="str">
        <f>+HYPERLINK("http://trademark.i-assist.jp/data/china/image_1910th/80299262.pdf","80299262")</f>
        <v>80299262</v>
      </c>
      <c r="F2463" s="11" t="s">
        <v>6746</v>
      </c>
      <c r="G2463" s="9" t="s">
        <v>6747</v>
      </c>
      <c r="H2463" s="9" t="s">
        <v>6748</v>
      </c>
      <c r="I2463" s="10">
        <v>45516</v>
      </c>
    </row>
    <row r="2464" spans="1:9" x14ac:dyDescent="0.15">
      <c r="A2464" s="9">
        <v>2463</v>
      </c>
      <c r="B2464" s="9" t="s">
        <v>9</v>
      </c>
      <c r="C2464" s="9">
        <v>1910</v>
      </c>
      <c r="D2464" s="10">
        <v>45602</v>
      </c>
      <c r="E2464" s="13" t="str">
        <f>+HYPERLINK("http://trademark.i-assist.jp/data/china/image_1910th/80299273.pdf","80299273")</f>
        <v>80299273</v>
      </c>
      <c r="F2464" s="11" t="s">
        <v>6749</v>
      </c>
      <c r="G2464" s="9" t="s">
        <v>4423</v>
      </c>
      <c r="H2464" s="9" t="s">
        <v>6750</v>
      </c>
      <c r="I2464" s="10">
        <v>45516</v>
      </c>
    </row>
    <row r="2465" spans="1:9" x14ac:dyDescent="0.15">
      <c r="A2465" s="9">
        <v>2464</v>
      </c>
      <c r="B2465" s="9" t="s">
        <v>9</v>
      </c>
      <c r="C2465" s="9">
        <v>1910</v>
      </c>
      <c r="D2465" s="10">
        <v>45602</v>
      </c>
      <c r="E2465" s="13" t="str">
        <f>+HYPERLINK("http://trademark.i-assist.jp/data/china/image_1910th/80299384.pdf","80299384")</f>
        <v>80299384</v>
      </c>
      <c r="F2465" s="9" t="s">
        <v>6751</v>
      </c>
      <c r="G2465" s="11" t="s">
        <v>6752</v>
      </c>
      <c r="H2465" s="11" t="s">
        <v>6753</v>
      </c>
      <c r="I2465" s="10">
        <v>45516</v>
      </c>
    </row>
    <row r="2466" spans="1:9" x14ac:dyDescent="0.15">
      <c r="A2466" s="9">
        <v>2465</v>
      </c>
      <c r="B2466" s="9" t="s">
        <v>9</v>
      </c>
      <c r="C2466" s="9">
        <v>1910</v>
      </c>
      <c r="D2466" s="10">
        <v>45602</v>
      </c>
      <c r="E2466" s="13" t="str">
        <f>+HYPERLINK("http://trademark.i-assist.jp/data/china/image_1910th/80299486.pdf","80299486")</f>
        <v>80299486</v>
      </c>
      <c r="F2466" s="9" t="s">
        <v>6754</v>
      </c>
      <c r="G2466" s="11" t="s">
        <v>6755</v>
      </c>
      <c r="H2466" s="9" t="s">
        <v>6756</v>
      </c>
      <c r="I2466" s="10">
        <v>45516</v>
      </c>
    </row>
    <row r="2467" spans="1:9" x14ac:dyDescent="0.15">
      <c r="A2467" s="9">
        <v>2466</v>
      </c>
      <c r="B2467" s="9" t="s">
        <v>9</v>
      </c>
      <c r="C2467" s="9">
        <v>1910</v>
      </c>
      <c r="D2467" s="10">
        <v>45602</v>
      </c>
      <c r="E2467" s="13" t="str">
        <f>+HYPERLINK("http://trademark.i-assist.jp/data/china/image_1910th/80299672.pdf","80299672")</f>
        <v>80299672</v>
      </c>
      <c r="F2467" s="9" t="s">
        <v>6757</v>
      </c>
      <c r="G2467" s="11" t="s">
        <v>6758</v>
      </c>
      <c r="H2467" s="9" t="s">
        <v>6759</v>
      </c>
      <c r="I2467" s="10">
        <v>45516</v>
      </c>
    </row>
    <row r="2468" spans="1:9" x14ac:dyDescent="0.15">
      <c r="A2468" s="9">
        <v>2467</v>
      </c>
      <c r="B2468" s="9" t="s">
        <v>9</v>
      </c>
      <c r="C2468" s="9">
        <v>1910</v>
      </c>
      <c r="D2468" s="10">
        <v>45602</v>
      </c>
      <c r="E2468" s="13" t="str">
        <f>+HYPERLINK("http://trademark.i-assist.jp/data/china/image_1910th/80299678.pdf","80299678")</f>
        <v>80299678</v>
      </c>
      <c r="F2468" s="9" t="s">
        <v>6760</v>
      </c>
      <c r="G2468" s="9" t="s">
        <v>6761</v>
      </c>
      <c r="H2468" s="9" t="s">
        <v>6762</v>
      </c>
      <c r="I2468" s="10">
        <v>45516</v>
      </c>
    </row>
    <row r="2469" spans="1:9" x14ac:dyDescent="0.15">
      <c r="A2469" s="9">
        <v>2468</v>
      </c>
      <c r="B2469" s="9" t="s">
        <v>9</v>
      </c>
      <c r="C2469" s="9">
        <v>1910</v>
      </c>
      <c r="D2469" s="10">
        <v>45602</v>
      </c>
      <c r="E2469" s="13" t="str">
        <f>+HYPERLINK("http://trademark.i-assist.jp/data/china/image_1910th/80299797.pdf","80299797")</f>
        <v>80299797</v>
      </c>
      <c r="F2469" s="11" t="s">
        <v>6763</v>
      </c>
      <c r="G2469" s="9" t="s">
        <v>6764</v>
      </c>
      <c r="H2469" s="9" t="s">
        <v>6765</v>
      </c>
      <c r="I2469" s="10">
        <v>45516</v>
      </c>
    </row>
    <row r="2470" spans="1:9" x14ac:dyDescent="0.15">
      <c r="A2470" s="9">
        <v>2469</v>
      </c>
      <c r="B2470" s="9" t="s">
        <v>9</v>
      </c>
      <c r="C2470" s="9">
        <v>1910</v>
      </c>
      <c r="D2470" s="10">
        <v>45602</v>
      </c>
      <c r="E2470" s="13" t="str">
        <f>+HYPERLINK("http://trademark.i-assist.jp/data/china/image_1910th/80299808.pdf","80299808")</f>
        <v>80299808</v>
      </c>
      <c r="F2470" s="9" t="s">
        <v>6766</v>
      </c>
      <c r="G2470" s="9" t="s">
        <v>6767</v>
      </c>
      <c r="H2470" s="9" t="s">
        <v>6768</v>
      </c>
      <c r="I2470" s="10">
        <v>45516</v>
      </c>
    </row>
    <row r="2471" spans="1:9" x14ac:dyDescent="0.15">
      <c r="A2471" s="9">
        <v>2470</v>
      </c>
      <c r="B2471" s="9" t="s">
        <v>9</v>
      </c>
      <c r="C2471" s="9">
        <v>1910</v>
      </c>
      <c r="D2471" s="10">
        <v>45602</v>
      </c>
      <c r="E2471" s="13" t="str">
        <f>+HYPERLINK("http://trademark.i-assist.jp/data/china/image_1910th/80300013.pdf","80300013")</f>
        <v>80300013</v>
      </c>
      <c r="F2471" s="9" t="s">
        <v>6769</v>
      </c>
      <c r="G2471" s="11" t="s">
        <v>6770</v>
      </c>
      <c r="H2471" s="9" t="s">
        <v>6771</v>
      </c>
      <c r="I2471" s="10">
        <v>45516</v>
      </c>
    </row>
    <row r="2472" spans="1:9" x14ac:dyDescent="0.15">
      <c r="A2472" s="9">
        <v>2471</v>
      </c>
      <c r="B2472" s="9" t="s">
        <v>9</v>
      </c>
      <c r="C2472" s="9">
        <v>1910</v>
      </c>
      <c r="D2472" s="10">
        <v>45602</v>
      </c>
      <c r="E2472" s="13" t="str">
        <f>+HYPERLINK("http://trademark.i-assist.jp/data/china/image_1910th/80300070.pdf","80300070")</f>
        <v>80300070</v>
      </c>
      <c r="F2472" s="9" t="s">
        <v>6772</v>
      </c>
      <c r="G2472" s="9" t="s">
        <v>6773</v>
      </c>
      <c r="H2472" s="9" t="s">
        <v>6774</v>
      </c>
      <c r="I2472" s="10">
        <v>45516</v>
      </c>
    </row>
    <row r="2473" spans="1:9" x14ac:dyDescent="0.15">
      <c r="A2473" s="9">
        <v>2472</v>
      </c>
      <c r="B2473" s="9" t="s">
        <v>9</v>
      </c>
      <c r="C2473" s="9">
        <v>1910</v>
      </c>
      <c r="D2473" s="10">
        <v>45602</v>
      </c>
      <c r="E2473" s="13" t="str">
        <f>+HYPERLINK("http://trademark.i-assist.jp/data/china/image_1910th/80300101.pdf","80300101")</f>
        <v>80300101</v>
      </c>
      <c r="F2473" s="9" t="s">
        <v>6775</v>
      </c>
      <c r="G2473" s="11" t="s">
        <v>6776</v>
      </c>
      <c r="H2473" s="9" t="s">
        <v>6777</v>
      </c>
      <c r="I2473" s="10">
        <v>45516</v>
      </c>
    </row>
    <row r="2474" spans="1:9" x14ac:dyDescent="0.15">
      <c r="A2474" s="9">
        <v>2473</v>
      </c>
      <c r="B2474" s="9" t="s">
        <v>9</v>
      </c>
      <c r="C2474" s="9">
        <v>1910</v>
      </c>
      <c r="D2474" s="10">
        <v>45602</v>
      </c>
      <c r="E2474" s="13" t="str">
        <f>+HYPERLINK("http://trademark.i-assist.jp/data/china/image_1910th/80300338.pdf","80300338")</f>
        <v>80300338</v>
      </c>
      <c r="F2474" s="9" t="s">
        <v>6778</v>
      </c>
      <c r="G2474" s="11" t="s">
        <v>6779</v>
      </c>
      <c r="H2474" s="9" t="s">
        <v>6780</v>
      </c>
      <c r="I2474" s="10">
        <v>45516</v>
      </c>
    </row>
    <row r="2475" spans="1:9" x14ac:dyDescent="0.15">
      <c r="A2475" s="9">
        <v>2474</v>
      </c>
      <c r="B2475" s="9" t="s">
        <v>9</v>
      </c>
      <c r="C2475" s="9">
        <v>1910</v>
      </c>
      <c r="D2475" s="10">
        <v>45602</v>
      </c>
      <c r="E2475" s="13" t="str">
        <f>+HYPERLINK("http://trademark.i-assist.jp/data/china/image_1910th/80300435.pdf","80300435")</f>
        <v>80300435</v>
      </c>
      <c r="F2475" s="11" t="s">
        <v>6781</v>
      </c>
      <c r="G2475" s="11" t="s">
        <v>6782</v>
      </c>
      <c r="H2475" s="11" t="s">
        <v>6783</v>
      </c>
      <c r="I2475" s="10">
        <v>45516</v>
      </c>
    </row>
    <row r="2476" spans="1:9" x14ac:dyDescent="0.15">
      <c r="A2476" s="9">
        <v>2475</v>
      </c>
      <c r="B2476" s="9" t="s">
        <v>9</v>
      </c>
      <c r="C2476" s="9">
        <v>1910</v>
      </c>
      <c r="D2476" s="10">
        <v>45602</v>
      </c>
      <c r="E2476" s="13" t="str">
        <f>+HYPERLINK("http://trademark.i-assist.jp/data/china/image_1910th/80300461.pdf","80300461")</f>
        <v>80300461</v>
      </c>
      <c r="F2476" s="9" t="s">
        <v>6784</v>
      </c>
      <c r="G2476" s="11" t="s">
        <v>6785</v>
      </c>
      <c r="H2476" s="11" t="s">
        <v>6786</v>
      </c>
      <c r="I2476" s="10">
        <v>45516</v>
      </c>
    </row>
    <row r="2477" spans="1:9" x14ac:dyDescent="0.15">
      <c r="A2477" s="9">
        <v>2476</v>
      </c>
      <c r="B2477" s="9" t="s">
        <v>9</v>
      </c>
      <c r="C2477" s="9">
        <v>1910</v>
      </c>
      <c r="D2477" s="10">
        <v>45602</v>
      </c>
      <c r="E2477" s="13" t="str">
        <f>+HYPERLINK("http://trademark.i-assist.jp/data/china/image_1910th/80300552.pdf","80300552")</f>
        <v>80300552</v>
      </c>
      <c r="F2477" s="9" t="s">
        <v>6787</v>
      </c>
      <c r="G2477" s="9" t="s">
        <v>6788</v>
      </c>
      <c r="H2477" s="9" t="s">
        <v>6789</v>
      </c>
      <c r="I2477" s="10">
        <v>45516</v>
      </c>
    </row>
    <row r="2478" spans="1:9" x14ac:dyDescent="0.15">
      <c r="A2478" s="9">
        <v>2477</v>
      </c>
      <c r="B2478" s="9" t="s">
        <v>9</v>
      </c>
      <c r="C2478" s="9">
        <v>1910</v>
      </c>
      <c r="D2478" s="10">
        <v>45602</v>
      </c>
      <c r="E2478" s="13" t="str">
        <f>+HYPERLINK("http://trademark.i-assist.jp/data/china/image_1910th/80300747.pdf","80300747")</f>
        <v>80300747</v>
      </c>
      <c r="F2478" s="9" t="s">
        <v>6790</v>
      </c>
      <c r="G2478" s="9" t="s">
        <v>6791</v>
      </c>
      <c r="H2478" s="11" t="s">
        <v>6792</v>
      </c>
      <c r="I2478" s="10">
        <v>45516</v>
      </c>
    </row>
    <row r="2479" spans="1:9" x14ac:dyDescent="0.15">
      <c r="A2479" s="9">
        <v>2478</v>
      </c>
      <c r="B2479" s="9" t="s">
        <v>9</v>
      </c>
      <c r="C2479" s="9">
        <v>1910</v>
      </c>
      <c r="D2479" s="10">
        <v>45602</v>
      </c>
      <c r="E2479" s="13" t="str">
        <f>+HYPERLINK("http://trademark.i-assist.jp/data/china/image_1910th/80300842.pdf","80300842")</f>
        <v>80300842</v>
      </c>
      <c r="F2479" s="9" t="s">
        <v>6793</v>
      </c>
      <c r="G2479" s="9" t="s">
        <v>6794</v>
      </c>
      <c r="H2479" s="11" t="s">
        <v>6795</v>
      </c>
      <c r="I2479" s="10">
        <v>45516</v>
      </c>
    </row>
    <row r="2480" spans="1:9" x14ac:dyDescent="0.15">
      <c r="A2480" s="9">
        <v>2479</v>
      </c>
      <c r="B2480" s="9" t="s">
        <v>9</v>
      </c>
      <c r="C2480" s="9">
        <v>1910</v>
      </c>
      <c r="D2480" s="10">
        <v>45602</v>
      </c>
      <c r="E2480" s="13" t="str">
        <f>+HYPERLINK("http://trademark.i-assist.jp/data/china/image_1910th/80301027.pdf","80301027")</f>
        <v>80301027</v>
      </c>
      <c r="F2480" s="9" t="s">
        <v>6796</v>
      </c>
      <c r="G2480" s="11" t="s">
        <v>6797</v>
      </c>
      <c r="H2480" s="9" t="s">
        <v>6798</v>
      </c>
      <c r="I2480" s="10">
        <v>45516</v>
      </c>
    </row>
    <row r="2481" spans="1:9" x14ac:dyDescent="0.15">
      <c r="A2481" s="9">
        <v>2480</v>
      </c>
      <c r="B2481" s="9" t="s">
        <v>9</v>
      </c>
      <c r="C2481" s="9">
        <v>1910</v>
      </c>
      <c r="D2481" s="10">
        <v>45602</v>
      </c>
      <c r="E2481" s="13" t="str">
        <f>+HYPERLINK("http://trademark.i-assist.jp/data/china/image_1910th/80301318.pdf","80301318")</f>
        <v>80301318</v>
      </c>
      <c r="F2481" s="9" t="s">
        <v>6799</v>
      </c>
      <c r="G2481" s="9" t="s">
        <v>11</v>
      </c>
      <c r="H2481" s="11" t="s">
        <v>6800</v>
      </c>
      <c r="I2481" s="10">
        <v>45516</v>
      </c>
    </row>
    <row r="2482" spans="1:9" x14ac:dyDescent="0.15">
      <c r="A2482" s="9">
        <v>2481</v>
      </c>
      <c r="B2482" s="9" t="s">
        <v>9</v>
      </c>
      <c r="C2482" s="9">
        <v>1910</v>
      </c>
      <c r="D2482" s="10">
        <v>45602</v>
      </c>
      <c r="E2482" s="13" t="str">
        <f>+HYPERLINK("http://trademark.i-assist.jp/data/china/image_1910th/80301394.pdf","80301394")</f>
        <v>80301394</v>
      </c>
      <c r="F2482" s="9" t="s">
        <v>6801</v>
      </c>
      <c r="G2482" s="9" t="s">
        <v>6802</v>
      </c>
      <c r="H2482" s="9" t="s">
        <v>6803</v>
      </c>
      <c r="I2482" s="10">
        <v>45516</v>
      </c>
    </row>
    <row r="2483" spans="1:9" x14ac:dyDescent="0.15">
      <c r="A2483" s="9">
        <v>2482</v>
      </c>
      <c r="B2483" s="9" t="s">
        <v>9</v>
      </c>
      <c r="C2483" s="9">
        <v>1910</v>
      </c>
      <c r="D2483" s="10">
        <v>45602</v>
      </c>
      <c r="E2483" s="13" t="str">
        <f>+HYPERLINK("http://trademark.i-assist.jp/data/china/image_1910th/80301448.pdf","80301448")</f>
        <v>80301448</v>
      </c>
      <c r="F2483" s="9" t="s">
        <v>6804</v>
      </c>
      <c r="G2483" s="9" t="s">
        <v>6805</v>
      </c>
      <c r="H2483" s="9" t="s">
        <v>6806</v>
      </c>
      <c r="I2483" s="10">
        <v>45516</v>
      </c>
    </row>
    <row r="2484" spans="1:9" x14ac:dyDescent="0.15">
      <c r="A2484" s="9">
        <v>2483</v>
      </c>
      <c r="B2484" s="9" t="s">
        <v>9</v>
      </c>
      <c r="C2484" s="9">
        <v>1910</v>
      </c>
      <c r="D2484" s="10">
        <v>45602</v>
      </c>
      <c r="E2484" s="13" t="str">
        <f>+HYPERLINK("http://trademark.i-assist.jp/data/china/image_1910th/80301654.pdf","80301654")</f>
        <v>80301654</v>
      </c>
      <c r="F2484" s="9" t="s">
        <v>6807</v>
      </c>
      <c r="G2484" s="9" t="s">
        <v>6808</v>
      </c>
      <c r="H2484" s="9" t="s">
        <v>6809</v>
      </c>
      <c r="I2484" s="10">
        <v>45516</v>
      </c>
    </row>
    <row r="2485" spans="1:9" x14ac:dyDescent="0.15">
      <c r="A2485" s="9">
        <v>2484</v>
      </c>
      <c r="B2485" s="9" t="s">
        <v>9</v>
      </c>
      <c r="C2485" s="9">
        <v>1910</v>
      </c>
      <c r="D2485" s="10">
        <v>45602</v>
      </c>
      <c r="E2485" s="13" t="str">
        <f>+HYPERLINK("http://trademark.i-assist.jp/data/china/image_1910th/80301915.pdf","80301915")</f>
        <v>80301915</v>
      </c>
      <c r="F2485" s="11" t="s">
        <v>6810</v>
      </c>
      <c r="G2485" s="9" t="s">
        <v>6811</v>
      </c>
      <c r="H2485" s="9" t="s">
        <v>6812</v>
      </c>
      <c r="I2485" s="10">
        <v>45516</v>
      </c>
    </row>
    <row r="2486" spans="1:9" x14ac:dyDescent="0.15">
      <c r="A2486" s="9">
        <v>2485</v>
      </c>
      <c r="B2486" s="9" t="s">
        <v>9</v>
      </c>
      <c r="C2486" s="9">
        <v>1910</v>
      </c>
      <c r="D2486" s="10">
        <v>45602</v>
      </c>
      <c r="E2486" s="13" t="str">
        <f>+HYPERLINK("http://trademark.i-assist.jp/data/china/image_1910th/80301970.pdf","80301970")</f>
        <v>80301970</v>
      </c>
      <c r="F2486" s="9" t="s">
        <v>6813</v>
      </c>
      <c r="G2486" s="9" t="s">
        <v>6814</v>
      </c>
      <c r="H2486" s="9" t="s">
        <v>6815</v>
      </c>
      <c r="I2486" s="10">
        <v>45516</v>
      </c>
    </row>
    <row r="2487" spans="1:9" x14ac:dyDescent="0.15">
      <c r="A2487" s="9">
        <v>2486</v>
      </c>
      <c r="B2487" s="9" t="s">
        <v>9</v>
      </c>
      <c r="C2487" s="9">
        <v>1910</v>
      </c>
      <c r="D2487" s="10">
        <v>45602</v>
      </c>
      <c r="E2487" s="13" t="str">
        <f>+HYPERLINK("http://trademark.i-assist.jp/data/china/image_1910th/80302041.pdf","80302041")</f>
        <v>80302041</v>
      </c>
      <c r="F2487" s="9" t="s">
        <v>6816</v>
      </c>
      <c r="G2487" s="9" t="s">
        <v>6817</v>
      </c>
      <c r="H2487" s="9" t="s">
        <v>6818</v>
      </c>
      <c r="I2487" s="10">
        <v>45516</v>
      </c>
    </row>
    <row r="2488" spans="1:9" x14ac:dyDescent="0.15">
      <c r="A2488" s="9">
        <v>2487</v>
      </c>
      <c r="B2488" s="9" t="s">
        <v>9</v>
      </c>
      <c r="C2488" s="9">
        <v>1910</v>
      </c>
      <c r="D2488" s="10">
        <v>45602</v>
      </c>
      <c r="E2488" s="13" t="str">
        <f>+HYPERLINK("http://trademark.i-assist.jp/data/china/image_1910th/80302271.pdf","80302271")</f>
        <v>80302271</v>
      </c>
      <c r="F2488" s="9" t="s">
        <v>6819</v>
      </c>
      <c r="G2488" s="11" t="s">
        <v>6820</v>
      </c>
      <c r="H2488" s="9" t="s">
        <v>6821</v>
      </c>
      <c r="I2488" s="10">
        <v>45516</v>
      </c>
    </row>
    <row r="2489" spans="1:9" x14ac:dyDescent="0.15">
      <c r="A2489" s="9">
        <v>2488</v>
      </c>
      <c r="B2489" s="9" t="s">
        <v>9</v>
      </c>
      <c r="C2489" s="9">
        <v>1910</v>
      </c>
      <c r="D2489" s="10">
        <v>45602</v>
      </c>
      <c r="E2489" s="13" t="str">
        <f>+HYPERLINK("http://trademark.i-assist.jp/data/china/image_1910th/80302274.pdf","80302274")</f>
        <v>80302274</v>
      </c>
      <c r="F2489" s="9" t="s">
        <v>6822</v>
      </c>
      <c r="G2489" s="9" t="s">
        <v>6035</v>
      </c>
      <c r="H2489" s="11" t="s">
        <v>6823</v>
      </c>
      <c r="I2489" s="10">
        <v>45516</v>
      </c>
    </row>
    <row r="2490" spans="1:9" x14ac:dyDescent="0.15">
      <c r="A2490" s="9">
        <v>2489</v>
      </c>
      <c r="B2490" s="9" t="s">
        <v>9</v>
      </c>
      <c r="C2490" s="9">
        <v>1910</v>
      </c>
      <c r="D2490" s="10">
        <v>45602</v>
      </c>
      <c r="E2490" s="13" t="str">
        <f>+HYPERLINK("http://trademark.i-assist.jp/data/china/image_1910th/80302597.pdf","80302597")</f>
        <v>80302597</v>
      </c>
      <c r="F2490" s="9" t="s">
        <v>6824</v>
      </c>
      <c r="G2490" s="9" t="s">
        <v>6825</v>
      </c>
      <c r="H2490" s="9" t="s">
        <v>6826</v>
      </c>
      <c r="I2490" s="10">
        <v>45516</v>
      </c>
    </row>
    <row r="2491" spans="1:9" x14ac:dyDescent="0.15">
      <c r="A2491" s="9">
        <v>2490</v>
      </c>
      <c r="B2491" s="9" t="s">
        <v>9</v>
      </c>
      <c r="C2491" s="9">
        <v>1910</v>
      </c>
      <c r="D2491" s="10">
        <v>45602</v>
      </c>
      <c r="E2491" s="13" t="str">
        <f>+HYPERLINK("http://trademark.i-assist.jp/data/china/image_1910th/80302729.pdf","80302729")</f>
        <v>80302729</v>
      </c>
      <c r="F2491" s="11" t="s">
        <v>6827</v>
      </c>
      <c r="G2491" s="11" t="s">
        <v>6828</v>
      </c>
      <c r="H2491" s="9" t="s">
        <v>6829</v>
      </c>
      <c r="I2491" s="10">
        <v>45516</v>
      </c>
    </row>
    <row r="2492" spans="1:9" x14ac:dyDescent="0.15">
      <c r="A2492" s="9">
        <v>2491</v>
      </c>
      <c r="B2492" s="9" t="s">
        <v>9</v>
      </c>
      <c r="C2492" s="9">
        <v>1910</v>
      </c>
      <c r="D2492" s="10">
        <v>45602</v>
      </c>
      <c r="E2492" s="13" t="str">
        <f>+HYPERLINK("http://trademark.i-assist.jp/data/china/image_1910th/80302730.pdf","80302730")</f>
        <v>80302730</v>
      </c>
      <c r="F2492" s="9" t="s">
        <v>6830</v>
      </c>
      <c r="G2492" s="9" t="s">
        <v>6773</v>
      </c>
      <c r="H2492" s="9" t="s">
        <v>6831</v>
      </c>
      <c r="I2492" s="10">
        <v>45516</v>
      </c>
    </row>
    <row r="2493" spans="1:9" x14ac:dyDescent="0.15">
      <c r="A2493" s="9">
        <v>2492</v>
      </c>
      <c r="B2493" s="9" t="s">
        <v>9</v>
      </c>
      <c r="C2493" s="9">
        <v>1910</v>
      </c>
      <c r="D2493" s="10">
        <v>45602</v>
      </c>
      <c r="E2493" s="13" t="str">
        <f>+HYPERLINK("http://trademark.i-assist.jp/data/china/image_1910th/80302929.pdf","80302929")</f>
        <v>80302929</v>
      </c>
      <c r="F2493" s="9" t="s">
        <v>6832</v>
      </c>
      <c r="G2493" s="9" t="s">
        <v>6833</v>
      </c>
      <c r="H2493" s="11" t="s">
        <v>6834</v>
      </c>
      <c r="I2493" s="10">
        <v>45516</v>
      </c>
    </row>
    <row r="2494" spans="1:9" x14ac:dyDescent="0.15">
      <c r="A2494" s="9">
        <v>2493</v>
      </c>
      <c r="B2494" s="9" t="s">
        <v>9</v>
      </c>
      <c r="C2494" s="9">
        <v>1910</v>
      </c>
      <c r="D2494" s="10">
        <v>45602</v>
      </c>
      <c r="E2494" s="13" t="str">
        <f>+HYPERLINK("http://trademark.i-assist.jp/data/china/image_1910th/80302998.pdf","80302998")</f>
        <v>80302998</v>
      </c>
      <c r="F2494" s="11" t="s">
        <v>6835</v>
      </c>
      <c r="G2494" s="11" t="s">
        <v>6779</v>
      </c>
      <c r="H2494" s="9" t="s">
        <v>6836</v>
      </c>
      <c r="I2494" s="10">
        <v>45516</v>
      </c>
    </row>
    <row r="2495" spans="1:9" x14ac:dyDescent="0.15">
      <c r="A2495" s="9">
        <v>2494</v>
      </c>
      <c r="B2495" s="9" t="s">
        <v>9</v>
      </c>
      <c r="C2495" s="9">
        <v>1910</v>
      </c>
      <c r="D2495" s="10">
        <v>45602</v>
      </c>
      <c r="E2495" s="13" t="str">
        <f>+HYPERLINK("http://trademark.i-assist.jp/data/china/image_1910th/80303059.pdf","80303059")</f>
        <v>80303059</v>
      </c>
      <c r="F2495" s="11" t="s">
        <v>6837</v>
      </c>
      <c r="G2495" s="9" t="s">
        <v>6838</v>
      </c>
      <c r="H2495" s="9" t="s">
        <v>6839</v>
      </c>
      <c r="I2495" s="10">
        <v>45516</v>
      </c>
    </row>
    <row r="2496" spans="1:9" x14ac:dyDescent="0.15">
      <c r="A2496" s="9">
        <v>2495</v>
      </c>
      <c r="B2496" s="9" t="s">
        <v>9</v>
      </c>
      <c r="C2496" s="9">
        <v>1910</v>
      </c>
      <c r="D2496" s="10">
        <v>45602</v>
      </c>
      <c r="E2496" s="13" t="str">
        <f>+HYPERLINK("http://trademark.i-assist.jp/data/china/image_1910th/80303136.pdf","80303136")</f>
        <v>80303136</v>
      </c>
      <c r="F2496" s="11" t="s">
        <v>6840</v>
      </c>
      <c r="G2496" s="11" t="s">
        <v>6841</v>
      </c>
      <c r="H2496" s="11" t="s">
        <v>6842</v>
      </c>
      <c r="I2496" s="10">
        <v>45516</v>
      </c>
    </row>
    <row r="2497" spans="1:9" x14ac:dyDescent="0.15">
      <c r="A2497" s="9">
        <v>2496</v>
      </c>
      <c r="B2497" s="9" t="s">
        <v>9</v>
      </c>
      <c r="C2497" s="9">
        <v>1910</v>
      </c>
      <c r="D2497" s="10">
        <v>45602</v>
      </c>
      <c r="E2497" s="13" t="str">
        <f>+HYPERLINK("http://trademark.i-assist.jp/data/china/image_1910th/80303227.pdf","80303227")</f>
        <v>80303227</v>
      </c>
      <c r="F2497" s="9" t="s">
        <v>6843</v>
      </c>
      <c r="G2497" s="9" t="s">
        <v>6844</v>
      </c>
      <c r="H2497" s="9" t="s">
        <v>6845</v>
      </c>
      <c r="I2497" s="10">
        <v>45516</v>
      </c>
    </row>
    <row r="2498" spans="1:9" x14ac:dyDescent="0.15">
      <c r="A2498" s="9">
        <v>2497</v>
      </c>
      <c r="B2498" s="9" t="s">
        <v>9</v>
      </c>
      <c r="C2498" s="9">
        <v>1910</v>
      </c>
      <c r="D2498" s="10">
        <v>45602</v>
      </c>
      <c r="E2498" s="13" t="str">
        <f>+HYPERLINK("http://trademark.i-assist.jp/data/china/image_1910th/80303239.pdf","80303239")</f>
        <v>80303239</v>
      </c>
      <c r="F2498" s="9" t="s">
        <v>6846</v>
      </c>
      <c r="G2498" s="9" t="s">
        <v>6844</v>
      </c>
      <c r="H2498" s="9" t="s">
        <v>6847</v>
      </c>
      <c r="I2498" s="10">
        <v>45516</v>
      </c>
    </row>
    <row r="2499" spans="1:9" x14ac:dyDescent="0.15">
      <c r="A2499" s="9">
        <v>2498</v>
      </c>
      <c r="B2499" s="9" t="s">
        <v>9</v>
      </c>
      <c r="C2499" s="9">
        <v>1910</v>
      </c>
      <c r="D2499" s="10">
        <v>45602</v>
      </c>
      <c r="E2499" s="13" t="str">
        <f>+HYPERLINK("http://trademark.i-assist.jp/data/china/image_1910th/80303257.pdf","80303257")</f>
        <v>80303257</v>
      </c>
      <c r="F2499" s="11" t="s">
        <v>19</v>
      </c>
      <c r="G2499" s="11" t="s">
        <v>6848</v>
      </c>
      <c r="H2499" s="9" t="s">
        <v>6849</v>
      </c>
      <c r="I2499" s="10">
        <v>45516</v>
      </c>
    </row>
    <row r="2500" spans="1:9" x14ac:dyDescent="0.15">
      <c r="A2500" s="9">
        <v>2499</v>
      </c>
      <c r="B2500" s="9" t="s">
        <v>9</v>
      </c>
      <c r="C2500" s="9">
        <v>1910</v>
      </c>
      <c r="D2500" s="10">
        <v>45602</v>
      </c>
      <c r="E2500" s="13" t="str">
        <f>+HYPERLINK("http://trademark.i-assist.jp/data/china/image_1910th/80303328.pdf","80303328")</f>
        <v>80303328</v>
      </c>
      <c r="F2500" s="11" t="s">
        <v>6850</v>
      </c>
      <c r="G2500" s="9" t="s">
        <v>6851</v>
      </c>
      <c r="H2500" s="9" t="s">
        <v>6852</v>
      </c>
      <c r="I2500" s="10">
        <v>45516</v>
      </c>
    </row>
    <row r="2501" spans="1:9" x14ac:dyDescent="0.15">
      <c r="A2501" s="9">
        <v>2500</v>
      </c>
      <c r="B2501" s="9" t="s">
        <v>9</v>
      </c>
      <c r="C2501" s="9">
        <v>1910</v>
      </c>
      <c r="D2501" s="10">
        <v>45602</v>
      </c>
      <c r="E2501" s="13" t="str">
        <f>+HYPERLINK("http://trademark.i-assist.jp/data/china/image_1910th/80303524.pdf","80303524")</f>
        <v>80303524</v>
      </c>
      <c r="F2501" s="11" t="s">
        <v>6853</v>
      </c>
      <c r="G2501" s="9" t="s">
        <v>6854</v>
      </c>
      <c r="H2501" s="9" t="s">
        <v>6855</v>
      </c>
      <c r="I2501" s="10">
        <v>45516</v>
      </c>
    </row>
    <row r="2502" spans="1:9" x14ac:dyDescent="0.15">
      <c r="A2502" s="9">
        <v>2501</v>
      </c>
      <c r="B2502" s="9" t="s">
        <v>9</v>
      </c>
      <c r="C2502" s="9">
        <v>1910</v>
      </c>
      <c r="D2502" s="10">
        <v>45602</v>
      </c>
      <c r="E2502" s="13" t="str">
        <f>+HYPERLINK("http://trademark.i-assist.jp/data/china/image_1910th/80303570.pdf","80303570")</f>
        <v>80303570</v>
      </c>
      <c r="F2502" s="9" t="s">
        <v>6856</v>
      </c>
      <c r="G2502" s="9" t="s">
        <v>6857</v>
      </c>
      <c r="H2502" s="9" t="s">
        <v>6858</v>
      </c>
      <c r="I2502" s="10">
        <v>45516</v>
      </c>
    </row>
    <row r="2503" spans="1:9" x14ac:dyDescent="0.15">
      <c r="A2503" s="9">
        <v>2502</v>
      </c>
      <c r="B2503" s="9" t="s">
        <v>9</v>
      </c>
      <c r="C2503" s="9">
        <v>1910</v>
      </c>
      <c r="D2503" s="10">
        <v>45602</v>
      </c>
      <c r="E2503" s="13" t="str">
        <f>+HYPERLINK("http://trademark.i-assist.jp/data/china/image_1910th/80303608.pdf","80303608")</f>
        <v>80303608</v>
      </c>
      <c r="F2503" s="9" t="s">
        <v>6859</v>
      </c>
      <c r="G2503" s="9" t="s">
        <v>6860</v>
      </c>
      <c r="H2503" s="11" t="s">
        <v>6861</v>
      </c>
      <c r="I2503" s="10">
        <v>45516</v>
      </c>
    </row>
    <row r="2504" spans="1:9" x14ac:dyDescent="0.15">
      <c r="A2504" s="9">
        <v>2503</v>
      </c>
      <c r="B2504" s="9" t="s">
        <v>9</v>
      </c>
      <c r="C2504" s="9">
        <v>1910</v>
      </c>
      <c r="D2504" s="10">
        <v>45602</v>
      </c>
      <c r="E2504" s="13" t="str">
        <f>+HYPERLINK("http://trademark.i-assist.jp/data/china/image_1910th/80303844.pdf","80303844")</f>
        <v>80303844</v>
      </c>
      <c r="F2504" s="11" t="s">
        <v>6862</v>
      </c>
      <c r="G2504" s="9" t="s">
        <v>11</v>
      </c>
      <c r="H2504" s="11" t="s">
        <v>6863</v>
      </c>
      <c r="I2504" s="10">
        <v>45516</v>
      </c>
    </row>
    <row r="2505" spans="1:9" x14ac:dyDescent="0.15">
      <c r="A2505" s="9">
        <v>2504</v>
      </c>
      <c r="B2505" s="9" t="s">
        <v>9</v>
      </c>
      <c r="C2505" s="9">
        <v>1910</v>
      </c>
      <c r="D2505" s="10">
        <v>45602</v>
      </c>
      <c r="E2505" s="13" t="str">
        <f>+HYPERLINK("http://trademark.i-assist.jp/data/china/image_1910th/80304056.pdf","80304056")</f>
        <v>80304056</v>
      </c>
      <c r="F2505" s="11" t="s">
        <v>6864</v>
      </c>
      <c r="G2505" s="9" t="s">
        <v>6865</v>
      </c>
      <c r="H2505" s="9" t="s">
        <v>6866</v>
      </c>
      <c r="I2505" s="10">
        <v>45516</v>
      </c>
    </row>
    <row r="2506" spans="1:9" x14ac:dyDescent="0.15">
      <c r="A2506" s="9">
        <v>2505</v>
      </c>
      <c r="B2506" s="9" t="s">
        <v>9</v>
      </c>
      <c r="C2506" s="9">
        <v>1910</v>
      </c>
      <c r="D2506" s="10">
        <v>45602</v>
      </c>
      <c r="E2506" s="13" t="str">
        <f>+HYPERLINK("http://trademark.i-assist.jp/data/china/image_1910th/80304062.pdf","80304062")</f>
        <v>80304062</v>
      </c>
      <c r="F2506" s="9" t="s">
        <v>6867</v>
      </c>
      <c r="G2506" s="9" t="s">
        <v>6868</v>
      </c>
      <c r="H2506" s="9" t="s">
        <v>6869</v>
      </c>
      <c r="I2506" s="10">
        <v>45516</v>
      </c>
    </row>
    <row r="2507" spans="1:9" x14ac:dyDescent="0.15">
      <c r="A2507" s="9">
        <v>2506</v>
      </c>
      <c r="B2507" s="9" t="s">
        <v>9</v>
      </c>
      <c r="C2507" s="9">
        <v>1910</v>
      </c>
      <c r="D2507" s="10">
        <v>45602</v>
      </c>
      <c r="E2507" s="13" t="str">
        <f>+HYPERLINK("http://trademark.i-assist.jp/data/china/image_1910th/80304282.pdf","80304282")</f>
        <v>80304282</v>
      </c>
      <c r="F2507" s="9" t="s">
        <v>6870</v>
      </c>
      <c r="G2507" s="9" t="s">
        <v>6871</v>
      </c>
      <c r="H2507" s="9" t="s">
        <v>6872</v>
      </c>
      <c r="I2507" s="10">
        <v>45516</v>
      </c>
    </row>
    <row r="2508" spans="1:9" x14ac:dyDescent="0.15">
      <c r="A2508" s="9">
        <v>2507</v>
      </c>
      <c r="B2508" s="9" t="s">
        <v>9</v>
      </c>
      <c r="C2508" s="9">
        <v>1910</v>
      </c>
      <c r="D2508" s="10">
        <v>45602</v>
      </c>
      <c r="E2508" s="13" t="str">
        <f>+HYPERLINK("http://trademark.i-assist.jp/data/china/image_1910th/80304414.pdf","80304414")</f>
        <v>80304414</v>
      </c>
      <c r="F2508" s="9" t="s">
        <v>6873</v>
      </c>
      <c r="G2508" s="9" t="s">
        <v>6874</v>
      </c>
      <c r="H2508" s="9" t="s">
        <v>6875</v>
      </c>
      <c r="I2508" s="10">
        <v>45516</v>
      </c>
    </row>
    <row r="2509" spans="1:9" x14ac:dyDescent="0.15">
      <c r="A2509" s="9">
        <v>2508</v>
      </c>
      <c r="B2509" s="9" t="s">
        <v>9</v>
      </c>
      <c r="C2509" s="9">
        <v>1910</v>
      </c>
      <c r="D2509" s="10">
        <v>45602</v>
      </c>
      <c r="E2509" s="13" t="str">
        <f>+HYPERLINK("http://trademark.i-assist.jp/data/china/image_1910th/80304415.pdf","80304415")</f>
        <v>80304415</v>
      </c>
      <c r="F2509" s="11" t="s">
        <v>6876</v>
      </c>
      <c r="G2509" s="9" t="s">
        <v>6877</v>
      </c>
      <c r="H2509" s="9" t="s">
        <v>6878</v>
      </c>
      <c r="I2509" s="10">
        <v>45516</v>
      </c>
    </row>
    <row r="2510" spans="1:9" x14ac:dyDescent="0.15">
      <c r="A2510" s="9">
        <v>2509</v>
      </c>
      <c r="B2510" s="9" t="s">
        <v>9</v>
      </c>
      <c r="C2510" s="9">
        <v>1910</v>
      </c>
      <c r="D2510" s="10">
        <v>45602</v>
      </c>
      <c r="E2510" s="13" t="str">
        <f>+HYPERLINK("http://trademark.i-assist.jp/data/china/image_1910th/80304455.pdf","80304455")</f>
        <v>80304455</v>
      </c>
      <c r="F2510" s="9" t="s">
        <v>6879</v>
      </c>
      <c r="G2510" s="9" t="s">
        <v>6880</v>
      </c>
      <c r="H2510" s="11" t="s">
        <v>6881</v>
      </c>
      <c r="I2510" s="10">
        <v>45516</v>
      </c>
    </row>
    <row r="2511" spans="1:9" x14ac:dyDescent="0.15">
      <c r="A2511" s="9">
        <v>2510</v>
      </c>
      <c r="B2511" s="9" t="s">
        <v>9</v>
      </c>
      <c r="C2511" s="9">
        <v>1910</v>
      </c>
      <c r="D2511" s="10">
        <v>45602</v>
      </c>
      <c r="E2511" s="13" t="str">
        <f>+HYPERLINK("http://trademark.i-assist.jp/data/china/image_1910th/80304464.pdf","80304464")</f>
        <v>80304464</v>
      </c>
      <c r="F2511" s="9" t="s">
        <v>6882</v>
      </c>
      <c r="G2511" s="11" t="s">
        <v>6883</v>
      </c>
      <c r="H2511" s="9" t="s">
        <v>6884</v>
      </c>
      <c r="I2511" s="10">
        <v>45516</v>
      </c>
    </row>
    <row r="2512" spans="1:9" x14ac:dyDescent="0.15">
      <c r="A2512" s="9">
        <v>2511</v>
      </c>
      <c r="B2512" s="9" t="s">
        <v>9</v>
      </c>
      <c r="C2512" s="9">
        <v>1910</v>
      </c>
      <c r="D2512" s="10">
        <v>45602</v>
      </c>
      <c r="E2512" s="13" t="str">
        <f>+HYPERLINK("http://trademark.i-assist.jp/data/china/image_1910th/80304536.pdf","80304536")</f>
        <v>80304536</v>
      </c>
      <c r="F2512" s="9" t="s">
        <v>6885</v>
      </c>
      <c r="G2512" s="11" t="s">
        <v>6752</v>
      </c>
      <c r="H2512" s="11" t="s">
        <v>6886</v>
      </c>
      <c r="I2512" s="10">
        <v>45516</v>
      </c>
    </row>
    <row r="2513" spans="1:9" x14ac:dyDescent="0.15">
      <c r="A2513" s="9">
        <v>2512</v>
      </c>
      <c r="B2513" s="9" t="s">
        <v>9</v>
      </c>
      <c r="C2513" s="9">
        <v>1910</v>
      </c>
      <c r="D2513" s="10">
        <v>45602</v>
      </c>
      <c r="E2513" s="13" t="str">
        <f>+HYPERLINK("http://trademark.i-assist.jp/data/china/image_1910th/80304701.pdf","80304701")</f>
        <v>80304701</v>
      </c>
      <c r="F2513" s="11" t="s">
        <v>6887</v>
      </c>
      <c r="G2513" s="9" t="s">
        <v>6888</v>
      </c>
      <c r="H2513" s="9" t="s">
        <v>6889</v>
      </c>
      <c r="I2513" s="10">
        <v>45516</v>
      </c>
    </row>
    <row r="2514" spans="1:9" x14ac:dyDescent="0.15">
      <c r="A2514" s="9">
        <v>2513</v>
      </c>
      <c r="B2514" s="9" t="s">
        <v>9</v>
      </c>
      <c r="C2514" s="9">
        <v>1910</v>
      </c>
      <c r="D2514" s="10">
        <v>45602</v>
      </c>
      <c r="E2514" s="13" t="str">
        <f>+HYPERLINK("http://trademark.i-assist.jp/data/china/image_1910th/80304708.pdf","80304708")</f>
        <v>80304708</v>
      </c>
      <c r="F2514" s="9" t="s">
        <v>6890</v>
      </c>
      <c r="G2514" s="9" t="s">
        <v>6891</v>
      </c>
      <c r="H2514" s="9" t="s">
        <v>6892</v>
      </c>
      <c r="I2514" s="10">
        <v>45516</v>
      </c>
    </row>
    <row r="2515" spans="1:9" x14ac:dyDescent="0.15">
      <c r="A2515" s="9">
        <v>2514</v>
      </c>
      <c r="B2515" s="9" t="s">
        <v>9</v>
      </c>
      <c r="C2515" s="9">
        <v>1910</v>
      </c>
      <c r="D2515" s="10">
        <v>45602</v>
      </c>
      <c r="E2515" s="13" t="str">
        <f>+HYPERLINK("http://trademark.i-assist.jp/data/china/image_1910th/80304738.pdf","80304738")</f>
        <v>80304738</v>
      </c>
      <c r="F2515" s="9" t="s">
        <v>6893</v>
      </c>
      <c r="G2515" s="9" t="s">
        <v>6854</v>
      </c>
      <c r="H2515" s="9" t="s">
        <v>6894</v>
      </c>
      <c r="I2515" s="10">
        <v>45516</v>
      </c>
    </row>
    <row r="2516" spans="1:9" x14ac:dyDescent="0.15">
      <c r="A2516" s="9">
        <v>2515</v>
      </c>
      <c r="B2516" s="9" t="s">
        <v>9</v>
      </c>
      <c r="C2516" s="9">
        <v>1910</v>
      </c>
      <c r="D2516" s="10">
        <v>45602</v>
      </c>
      <c r="E2516" s="13" t="str">
        <f>+HYPERLINK("http://trademark.i-assist.jp/data/china/image_1910th/80304862.pdf","80304862")</f>
        <v>80304862</v>
      </c>
      <c r="F2516" s="11" t="s">
        <v>6895</v>
      </c>
      <c r="G2516" s="9" t="s">
        <v>6896</v>
      </c>
      <c r="H2516" s="9" t="s">
        <v>6897</v>
      </c>
      <c r="I2516" s="10">
        <v>45516</v>
      </c>
    </row>
    <row r="2517" spans="1:9" x14ac:dyDescent="0.15">
      <c r="A2517" s="9">
        <v>2516</v>
      </c>
      <c r="B2517" s="9" t="s">
        <v>9</v>
      </c>
      <c r="C2517" s="9">
        <v>1910</v>
      </c>
      <c r="D2517" s="10">
        <v>45602</v>
      </c>
      <c r="E2517" s="13" t="str">
        <f>+HYPERLINK("http://trademark.i-assist.jp/data/china/image_1910th/80304918.pdf","80304918")</f>
        <v>80304918</v>
      </c>
      <c r="F2517" s="9" t="s">
        <v>6898</v>
      </c>
      <c r="G2517" s="9" t="s">
        <v>6899</v>
      </c>
      <c r="H2517" s="9" t="s">
        <v>100</v>
      </c>
      <c r="I2517" s="10">
        <v>45516</v>
      </c>
    </row>
    <row r="2518" spans="1:9" x14ac:dyDescent="0.15">
      <c r="A2518" s="9">
        <v>2517</v>
      </c>
      <c r="B2518" s="9" t="s">
        <v>9</v>
      </c>
      <c r="C2518" s="9">
        <v>1910</v>
      </c>
      <c r="D2518" s="10">
        <v>45602</v>
      </c>
      <c r="E2518" s="13" t="str">
        <f>+HYPERLINK("http://trademark.i-assist.jp/data/china/image_1910th/80305012.pdf","80305012")</f>
        <v>80305012</v>
      </c>
      <c r="F2518" s="9" t="s">
        <v>6900</v>
      </c>
      <c r="G2518" s="9" t="s">
        <v>6901</v>
      </c>
      <c r="H2518" s="9" t="s">
        <v>6902</v>
      </c>
      <c r="I2518" s="10">
        <v>45516</v>
      </c>
    </row>
    <row r="2519" spans="1:9" x14ac:dyDescent="0.15">
      <c r="A2519" s="9">
        <v>2518</v>
      </c>
      <c r="B2519" s="9" t="s">
        <v>9</v>
      </c>
      <c r="C2519" s="9">
        <v>1910</v>
      </c>
      <c r="D2519" s="10">
        <v>45602</v>
      </c>
      <c r="E2519" s="13" t="str">
        <f>+HYPERLINK("http://trademark.i-assist.jp/data/china/image_1910th/80305029.pdf","80305029")</f>
        <v>80305029</v>
      </c>
      <c r="F2519" s="11" t="s">
        <v>6903</v>
      </c>
      <c r="G2519" s="11" t="s">
        <v>6904</v>
      </c>
      <c r="H2519" s="9" t="s">
        <v>6905</v>
      </c>
      <c r="I2519" s="10">
        <v>45516</v>
      </c>
    </row>
    <row r="2520" spans="1:9" x14ac:dyDescent="0.15">
      <c r="A2520" s="9">
        <v>2519</v>
      </c>
      <c r="B2520" s="9" t="s">
        <v>9</v>
      </c>
      <c r="C2520" s="9">
        <v>1910</v>
      </c>
      <c r="D2520" s="10">
        <v>45602</v>
      </c>
      <c r="E2520" s="13" t="str">
        <f>+HYPERLINK("http://trademark.i-assist.jp/data/china/image_1910th/80305031.pdf","80305031")</f>
        <v>80305031</v>
      </c>
      <c r="F2520" s="9" t="s">
        <v>6906</v>
      </c>
      <c r="G2520" s="11" t="s">
        <v>6907</v>
      </c>
      <c r="H2520" s="11" t="s">
        <v>6908</v>
      </c>
      <c r="I2520" s="10">
        <v>45516</v>
      </c>
    </row>
    <row r="2521" spans="1:9" x14ac:dyDescent="0.15">
      <c r="A2521" s="9">
        <v>2520</v>
      </c>
      <c r="B2521" s="9" t="s">
        <v>9</v>
      </c>
      <c r="C2521" s="9">
        <v>1910</v>
      </c>
      <c r="D2521" s="10">
        <v>45602</v>
      </c>
      <c r="E2521" s="13" t="str">
        <f>+HYPERLINK("http://trademark.i-assist.jp/data/china/image_1910th/80305435.pdf","80305435")</f>
        <v>80305435</v>
      </c>
      <c r="F2521" s="11" t="s">
        <v>6909</v>
      </c>
      <c r="G2521" s="9" t="s">
        <v>6910</v>
      </c>
      <c r="H2521" s="9" t="s">
        <v>6911</v>
      </c>
      <c r="I2521" s="10">
        <v>45516</v>
      </c>
    </row>
    <row r="2522" spans="1:9" x14ac:dyDescent="0.15">
      <c r="A2522" s="9">
        <v>2521</v>
      </c>
      <c r="B2522" s="9" t="s">
        <v>9</v>
      </c>
      <c r="C2522" s="9">
        <v>1910</v>
      </c>
      <c r="D2522" s="10">
        <v>45602</v>
      </c>
      <c r="E2522" s="13" t="str">
        <f>+HYPERLINK("http://trademark.i-assist.jp/data/china/image_1910th/80305597.pdf","80305597")</f>
        <v>80305597</v>
      </c>
      <c r="F2522" s="9" t="s">
        <v>6912</v>
      </c>
      <c r="G2522" s="9" t="s">
        <v>6913</v>
      </c>
      <c r="H2522" s="9" t="s">
        <v>6914</v>
      </c>
      <c r="I2522" s="10">
        <v>45516</v>
      </c>
    </row>
    <row r="2523" spans="1:9" x14ac:dyDescent="0.15">
      <c r="A2523" s="9">
        <v>2522</v>
      </c>
      <c r="B2523" s="9" t="s">
        <v>9</v>
      </c>
      <c r="C2523" s="9">
        <v>1910</v>
      </c>
      <c r="D2523" s="10">
        <v>45602</v>
      </c>
      <c r="E2523" s="13" t="str">
        <f>+HYPERLINK("http://trademark.i-assist.jp/data/china/image_1910th/80305905.pdf","80305905")</f>
        <v>80305905</v>
      </c>
      <c r="F2523" s="9" t="s">
        <v>6915</v>
      </c>
      <c r="G2523" s="9" t="s">
        <v>6916</v>
      </c>
      <c r="H2523" s="9" t="s">
        <v>6917</v>
      </c>
      <c r="I2523" s="10">
        <v>45516</v>
      </c>
    </row>
    <row r="2524" spans="1:9" x14ac:dyDescent="0.15">
      <c r="A2524" s="9">
        <v>2523</v>
      </c>
      <c r="B2524" s="9" t="s">
        <v>9</v>
      </c>
      <c r="C2524" s="9">
        <v>1910</v>
      </c>
      <c r="D2524" s="10">
        <v>45602</v>
      </c>
      <c r="E2524" s="13" t="str">
        <f>+HYPERLINK("http://trademark.i-assist.jp/data/china/image_1910th/80306116.pdf","80306116")</f>
        <v>80306116</v>
      </c>
      <c r="F2524" s="9" t="s">
        <v>6918</v>
      </c>
      <c r="G2524" s="9" t="s">
        <v>6919</v>
      </c>
      <c r="H2524" s="9" t="s">
        <v>6920</v>
      </c>
      <c r="I2524" s="10">
        <v>45516</v>
      </c>
    </row>
    <row r="2525" spans="1:9" x14ac:dyDescent="0.15">
      <c r="A2525" s="9">
        <v>2524</v>
      </c>
      <c r="B2525" s="9" t="s">
        <v>9</v>
      </c>
      <c r="C2525" s="9">
        <v>1910</v>
      </c>
      <c r="D2525" s="10">
        <v>45602</v>
      </c>
      <c r="E2525" s="13" t="str">
        <f>+HYPERLINK("http://trademark.i-assist.jp/data/china/image_1910th/80306437.pdf","80306437")</f>
        <v>80306437</v>
      </c>
      <c r="F2525" s="9" t="s">
        <v>6921</v>
      </c>
      <c r="G2525" s="9" t="s">
        <v>6868</v>
      </c>
      <c r="H2525" s="9" t="s">
        <v>6922</v>
      </c>
      <c r="I2525" s="10">
        <v>45516</v>
      </c>
    </row>
    <row r="2526" spans="1:9" x14ac:dyDescent="0.15">
      <c r="A2526" s="9">
        <v>2525</v>
      </c>
      <c r="B2526" s="9" t="s">
        <v>9</v>
      </c>
      <c r="C2526" s="9">
        <v>1910</v>
      </c>
      <c r="D2526" s="10">
        <v>45602</v>
      </c>
      <c r="E2526" s="13" t="str">
        <f>+HYPERLINK("http://trademark.i-assist.jp/data/china/image_1910th/80306515.pdf","80306515")</f>
        <v>80306515</v>
      </c>
      <c r="F2526" s="9" t="s">
        <v>6923</v>
      </c>
      <c r="G2526" s="9" t="s">
        <v>6924</v>
      </c>
      <c r="H2526" s="9" t="s">
        <v>6925</v>
      </c>
      <c r="I2526" s="10">
        <v>45516</v>
      </c>
    </row>
    <row r="2527" spans="1:9" x14ac:dyDescent="0.15">
      <c r="A2527" s="9">
        <v>2526</v>
      </c>
      <c r="B2527" s="9" t="s">
        <v>9</v>
      </c>
      <c r="C2527" s="9">
        <v>1910</v>
      </c>
      <c r="D2527" s="10">
        <v>45602</v>
      </c>
      <c r="E2527" s="13" t="str">
        <f>+HYPERLINK("http://trademark.i-assist.jp/data/china/image_1910th/80306523.pdf","80306523")</f>
        <v>80306523</v>
      </c>
      <c r="F2527" s="11" t="s">
        <v>6926</v>
      </c>
      <c r="G2527" s="11" t="s">
        <v>2374</v>
      </c>
      <c r="H2527" s="9" t="s">
        <v>6927</v>
      </c>
      <c r="I2527" s="10">
        <v>45516</v>
      </c>
    </row>
    <row r="2528" spans="1:9" x14ac:dyDescent="0.15">
      <c r="A2528" s="9">
        <v>2527</v>
      </c>
      <c r="B2528" s="9" t="s">
        <v>9</v>
      </c>
      <c r="C2528" s="9">
        <v>1910</v>
      </c>
      <c r="D2528" s="10">
        <v>45602</v>
      </c>
      <c r="E2528" s="13" t="str">
        <f>+HYPERLINK("http://trademark.i-assist.jp/data/china/image_1910th/80306629.pdf","80306629")</f>
        <v>80306629</v>
      </c>
      <c r="F2528" s="9" t="s">
        <v>6928</v>
      </c>
      <c r="G2528" s="11" t="s">
        <v>64</v>
      </c>
      <c r="H2528" s="9" t="s">
        <v>6929</v>
      </c>
      <c r="I2528" s="10">
        <v>45516</v>
      </c>
    </row>
    <row r="2529" spans="1:9" x14ac:dyDescent="0.15">
      <c r="A2529" s="9">
        <v>2528</v>
      </c>
      <c r="B2529" s="9" t="s">
        <v>9</v>
      </c>
      <c r="C2529" s="9">
        <v>1910</v>
      </c>
      <c r="D2529" s="10">
        <v>45602</v>
      </c>
      <c r="E2529" s="13" t="str">
        <f>+HYPERLINK("http://trademark.i-assist.jp/data/china/image_1910th/80306656.pdf","80306656")</f>
        <v>80306656</v>
      </c>
      <c r="F2529" s="11" t="s">
        <v>6930</v>
      </c>
      <c r="G2529" s="11" t="s">
        <v>6931</v>
      </c>
      <c r="H2529" s="9" t="s">
        <v>6932</v>
      </c>
      <c r="I2529" s="10">
        <v>45516</v>
      </c>
    </row>
    <row r="2530" spans="1:9" x14ac:dyDescent="0.15">
      <c r="A2530" s="9">
        <v>2529</v>
      </c>
      <c r="B2530" s="9" t="s">
        <v>9</v>
      </c>
      <c r="C2530" s="9">
        <v>1910</v>
      </c>
      <c r="D2530" s="10">
        <v>45602</v>
      </c>
      <c r="E2530" s="13" t="str">
        <f>+HYPERLINK("http://trademark.i-assist.jp/data/china/image_1910th/80306674.pdf","80306674")</f>
        <v>80306674</v>
      </c>
      <c r="F2530" s="9" t="s">
        <v>6933</v>
      </c>
      <c r="G2530" s="11" t="s">
        <v>6934</v>
      </c>
      <c r="H2530" s="9" t="s">
        <v>6935</v>
      </c>
      <c r="I2530" s="10">
        <v>45516</v>
      </c>
    </row>
    <row r="2531" spans="1:9" x14ac:dyDescent="0.15">
      <c r="A2531" s="9">
        <v>2530</v>
      </c>
      <c r="B2531" s="9" t="s">
        <v>9</v>
      </c>
      <c r="C2531" s="9">
        <v>1910</v>
      </c>
      <c r="D2531" s="10">
        <v>45602</v>
      </c>
      <c r="E2531" s="13" t="str">
        <f>+HYPERLINK("http://trademark.i-assist.jp/data/china/image_1910th/80306920.pdf","80306920")</f>
        <v>80306920</v>
      </c>
      <c r="F2531" s="9" t="s">
        <v>6936</v>
      </c>
      <c r="G2531" s="11" t="s">
        <v>6776</v>
      </c>
      <c r="H2531" s="9" t="s">
        <v>6937</v>
      </c>
      <c r="I2531" s="10">
        <v>45516</v>
      </c>
    </row>
    <row r="2532" spans="1:9" x14ac:dyDescent="0.15">
      <c r="A2532" s="9">
        <v>2531</v>
      </c>
      <c r="B2532" s="9" t="s">
        <v>9</v>
      </c>
      <c r="C2532" s="9">
        <v>1910</v>
      </c>
      <c r="D2532" s="10">
        <v>45602</v>
      </c>
      <c r="E2532" s="13" t="str">
        <f>+HYPERLINK("http://trademark.i-assist.jp/data/china/image_1910th/80306924.pdf","80306924")</f>
        <v>80306924</v>
      </c>
      <c r="F2532" s="9" t="s">
        <v>6938</v>
      </c>
      <c r="G2532" s="9" t="s">
        <v>6939</v>
      </c>
      <c r="H2532" s="9" t="s">
        <v>6940</v>
      </c>
      <c r="I2532" s="10">
        <v>45516</v>
      </c>
    </row>
    <row r="2533" spans="1:9" x14ac:dyDescent="0.15">
      <c r="A2533" s="9">
        <v>2532</v>
      </c>
      <c r="B2533" s="9" t="s">
        <v>9</v>
      </c>
      <c r="C2533" s="9">
        <v>1910</v>
      </c>
      <c r="D2533" s="10">
        <v>45602</v>
      </c>
      <c r="E2533" s="13" t="str">
        <f>+HYPERLINK("http://trademark.i-assist.jp/data/china/image_1910th/80306972.pdf","80306972")</f>
        <v>80306972</v>
      </c>
      <c r="F2533" s="9" t="s">
        <v>6941</v>
      </c>
      <c r="G2533" s="9" t="s">
        <v>6942</v>
      </c>
      <c r="H2533" s="9" t="s">
        <v>6943</v>
      </c>
      <c r="I2533" s="10">
        <v>45516</v>
      </c>
    </row>
    <row r="2534" spans="1:9" x14ac:dyDescent="0.15">
      <c r="A2534" s="9">
        <v>2533</v>
      </c>
      <c r="B2534" s="9" t="s">
        <v>9</v>
      </c>
      <c r="C2534" s="9">
        <v>1910</v>
      </c>
      <c r="D2534" s="10">
        <v>45602</v>
      </c>
      <c r="E2534" s="13" t="str">
        <f>+HYPERLINK("http://trademark.i-assist.jp/data/china/image_1910th/80307025.pdf","80307025")</f>
        <v>80307025</v>
      </c>
      <c r="F2534" s="9" t="s">
        <v>6944</v>
      </c>
      <c r="G2534" s="9" t="s">
        <v>6945</v>
      </c>
      <c r="H2534" s="9" t="s">
        <v>6946</v>
      </c>
      <c r="I2534" s="10">
        <v>45516</v>
      </c>
    </row>
    <row r="2535" spans="1:9" x14ac:dyDescent="0.15">
      <c r="A2535" s="9">
        <v>2534</v>
      </c>
      <c r="B2535" s="9" t="s">
        <v>9</v>
      </c>
      <c r="C2535" s="9">
        <v>1910</v>
      </c>
      <c r="D2535" s="10">
        <v>45602</v>
      </c>
      <c r="E2535" s="13" t="str">
        <f>+HYPERLINK("http://trademark.i-assist.jp/data/china/image_1910th/80307419.pdf","80307419")</f>
        <v>80307419</v>
      </c>
      <c r="F2535" s="9" t="s">
        <v>6947</v>
      </c>
      <c r="G2535" s="9" t="s">
        <v>6948</v>
      </c>
      <c r="H2535" s="9" t="s">
        <v>6949</v>
      </c>
      <c r="I2535" s="10">
        <v>45516</v>
      </c>
    </row>
    <row r="2536" spans="1:9" x14ac:dyDescent="0.15">
      <c r="A2536" s="9">
        <v>2535</v>
      </c>
      <c r="B2536" s="9" t="s">
        <v>9</v>
      </c>
      <c r="C2536" s="9">
        <v>1910</v>
      </c>
      <c r="D2536" s="10">
        <v>45602</v>
      </c>
      <c r="E2536" s="13" t="str">
        <f>+HYPERLINK("http://trademark.i-assist.jp/data/china/image_1910th/80307534.pdf","80307534")</f>
        <v>80307534</v>
      </c>
      <c r="F2536" s="9" t="s">
        <v>6950</v>
      </c>
      <c r="G2536" s="9" t="s">
        <v>53</v>
      </c>
      <c r="H2536" s="9" t="s">
        <v>6951</v>
      </c>
      <c r="I2536" s="10">
        <v>45516</v>
      </c>
    </row>
    <row r="2537" spans="1:9" x14ac:dyDescent="0.15">
      <c r="A2537" s="9">
        <v>2536</v>
      </c>
      <c r="B2537" s="9" t="s">
        <v>9</v>
      </c>
      <c r="C2537" s="9">
        <v>1910</v>
      </c>
      <c r="D2537" s="10">
        <v>45602</v>
      </c>
      <c r="E2537" s="13" t="str">
        <f>+HYPERLINK("http://trademark.i-assist.jp/data/china/image_1910th/80308103.pdf","80308103")</f>
        <v>80308103</v>
      </c>
      <c r="F2537" s="9" t="s">
        <v>6952</v>
      </c>
      <c r="G2537" s="11" t="s">
        <v>6953</v>
      </c>
      <c r="H2537" s="9" t="s">
        <v>6954</v>
      </c>
      <c r="I2537" s="10">
        <v>45516</v>
      </c>
    </row>
    <row r="2538" spans="1:9" x14ac:dyDescent="0.15">
      <c r="A2538" s="9">
        <v>2537</v>
      </c>
      <c r="B2538" s="9" t="s">
        <v>9</v>
      </c>
      <c r="C2538" s="9">
        <v>1910</v>
      </c>
      <c r="D2538" s="10">
        <v>45602</v>
      </c>
      <c r="E2538" s="13" t="str">
        <f>+HYPERLINK("http://trademark.i-assist.jp/data/china/image_1910th/80308199.pdf","80308199")</f>
        <v>80308199</v>
      </c>
      <c r="F2538" s="9" t="s">
        <v>6955</v>
      </c>
      <c r="G2538" s="9" t="s">
        <v>6956</v>
      </c>
      <c r="H2538" s="9" t="s">
        <v>6957</v>
      </c>
      <c r="I2538" s="10">
        <v>45516</v>
      </c>
    </row>
    <row r="2539" spans="1:9" x14ac:dyDescent="0.15">
      <c r="A2539" s="9">
        <v>2538</v>
      </c>
      <c r="B2539" s="9" t="s">
        <v>9</v>
      </c>
      <c r="C2539" s="9">
        <v>1910</v>
      </c>
      <c r="D2539" s="10">
        <v>45602</v>
      </c>
      <c r="E2539" s="13" t="str">
        <f>+HYPERLINK("http://trademark.i-assist.jp/data/china/image_1910th/80308331.pdf","80308331")</f>
        <v>80308331</v>
      </c>
      <c r="F2539" s="9" t="s">
        <v>6958</v>
      </c>
      <c r="G2539" s="9" t="s">
        <v>6959</v>
      </c>
      <c r="H2539" s="9" t="s">
        <v>6960</v>
      </c>
      <c r="I2539" s="10">
        <v>45516</v>
      </c>
    </row>
    <row r="2540" spans="1:9" x14ac:dyDescent="0.15">
      <c r="A2540" s="9">
        <v>2539</v>
      </c>
      <c r="B2540" s="9" t="s">
        <v>9</v>
      </c>
      <c r="C2540" s="9">
        <v>1910</v>
      </c>
      <c r="D2540" s="10">
        <v>45602</v>
      </c>
      <c r="E2540" s="13" t="str">
        <f>+HYPERLINK("http://trademark.i-assist.jp/data/china/image_1910th/80308437.pdf","80308437")</f>
        <v>80308437</v>
      </c>
      <c r="F2540" s="9" t="s">
        <v>6893</v>
      </c>
      <c r="G2540" s="9" t="s">
        <v>6854</v>
      </c>
      <c r="H2540" s="9" t="s">
        <v>6961</v>
      </c>
      <c r="I2540" s="10">
        <v>45516</v>
      </c>
    </row>
    <row r="2541" spans="1:9" x14ac:dyDescent="0.15">
      <c r="A2541" s="9">
        <v>2540</v>
      </c>
      <c r="B2541" s="9" t="s">
        <v>9</v>
      </c>
      <c r="C2541" s="9">
        <v>1910</v>
      </c>
      <c r="D2541" s="10">
        <v>45602</v>
      </c>
      <c r="E2541" s="13" t="str">
        <f>+HYPERLINK("http://trademark.i-assist.jp/data/china/image_1910th/80308654.pdf","80308654")</f>
        <v>80308654</v>
      </c>
      <c r="F2541" s="9" t="s">
        <v>6962</v>
      </c>
      <c r="G2541" s="9" t="s">
        <v>6963</v>
      </c>
      <c r="H2541" s="9" t="s">
        <v>6964</v>
      </c>
      <c r="I2541" s="10">
        <v>45516</v>
      </c>
    </row>
    <row r="2542" spans="1:9" x14ac:dyDescent="0.15">
      <c r="A2542" s="9">
        <v>2541</v>
      </c>
      <c r="B2542" s="9" t="s">
        <v>9</v>
      </c>
      <c r="C2542" s="9">
        <v>1910</v>
      </c>
      <c r="D2542" s="10">
        <v>45602</v>
      </c>
      <c r="E2542" s="13" t="str">
        <f>+HYPERLINK("http://trademark.i-assist.jp/data/china/image_1910th/80308848.pdf","80308848")</f>
        <v>80308848</v>
      </c>
      <c r="F2542" s="9" t="s">
        <v>6965</v>
      </c>
      <c r="G2542" s="9" t="s">
        <v>6865</v>
      </c>
      <c r="H2542" s="9" t="s">
        <v>6966</v>
      </c>
      <c r="I2542" s="10">
        <v>45516</v>
      </c>
    </row>
    <row r="2543" spans="1:9" x14ac:dyDescent="0.15">
      <c r="A2543" s="9">
        <v>2542</v>
      </c>
      <c r="B2543" s="9" t="s">
        <v>9</v>
      </c>
      <c r="C2543" s="9">
        <v>1910</v>
      </c>
      <c r="D2543" s="10">
        <v>45602</v>
      </c>
      <c r="E2543" s="13" t="str">
        <f>+HYPERLINK("http://trademark.i-assist.jp/data/china/image_1910th/80308948.pdf","80308948")</f>
        <v>80308948</v>
      </c>
      <c r="F2543" s="9" t="s">
        <v>6967</v>
      </c>
      <c r="G2543" s="11" t="s">
        <v>6968</v>
      </c>
      <c r="H2543" s="11" t="s">
        <v>6969</v>
      </c>
      <c r="I2543" s="10">
        <v>45516</v>
      </c>
    </row>
    <row r="2544" spans="1:9" x14ac:dyDescent="0.15">
      <c r="A2544" s="9">
        <v>2543</v>
      </c>
      <c r="B2544" s="9" t="s">
        <v>9</v>
      </c>
      <c r="C2544" s="9">
        <v>1910</v>
      </c>
      <c r="D2544" s="10">
        <v>45602</v>
      </c>
      <c r="E2544" s="13" t="str">
        <f>+HYPERLINK("http://trademark.i-assist.jp/data/china/image_1910th/80308955.pdf","80308955")</f>
        <v>80308955</v>
      </c>
      <c r="F2544" s="9" t="s">
        <v>6970</v>
      </c>
      <c r="G2544" s="9" t="s">
        <v>6971</v>
      </c>
      <c r="H2544" s="9" t="s">
        <v>6972</v>
      </c>
      <c r="I2544" s="10">
        <v>45516</v>
      </c>
    </row>
    <row r="2545" spans="1:9" x14ac:dyDescent="0.15">
      <c r="A2545" s="9">
        <v>2544</v>
      </c>
      <c r="B2545" s="9" t="s">
        <v>9</v>
      </c>
      <c r="C2545" s="9">
        <v>1910</v>
      </c>
      <c r="D2545" s="10">
        <v>45602</v>
      </c>
      <c r="E2545" s="13" t="str">
        <f>+HYPERLINK("http://trademark.i-assist.jp/data/china/image_1910th/80308974.pdf","80308974")</f>
        <v>80308974</v>
      </c>
      <c r="F2545" s="9" t="s">
        <v>6973</v>
      </c>
      <c r="G2545" s="9" t="s">
        <v>6974</v>
      </c>
      <c r="H2545" s="9" t="s">
        <v>6975</v>
      </c>
      <c r="I2545" s="10">
        <v>45516</v>
      </c>
    </row>
    <row r="2546" spans="1:9" x14ac:dyDescent="0.15">
      <c r="A2546" s="9">
        <v>2545</v>
      </c>
      <c r="B2546" s="9" t="s">
        <v>9</v>
      </c>
      <c r="C2546" s="9">
        <v>1910</v>
      </c>
      <c r="D2546" s="10">
        <v>45602</v>
      </c>
      <c r="E2546" s="13" t="str">
        <f>+HYPERLINK("http://trademark.i-assist.jp/data/china/image_1910th/80309333.pdf","80309333")</f>
        <v>80309333</v>
      </c>
      <c r="F2546" s="9" t="s">
        <v>6976</v>
      </c>
      <c r="G2546" s="11" t="s">
        <v>6977</v>
      </c>
      <c r="H2546" s="9" t="s">
        <v>6978</v>
      </c>
      <c r="I2546" s="10">
        <v>45516</v>
      </c>
    </row>
    <row r="2547" spans="1:9" x14ac:dyDescent="0.15">
      <c r="A2547" s="9">
        <v>2546</v>
      </c>
      <c r="B2547" s="9" t="s">
        <v>9</v>
      </c>
      <c r="C2547" s="9">
        <v>1910</v>
      </c>
      <c r="D2547" s="10">
        <v>45602</v>
      </c>
      <c r="E2547" s="13" t="str">
        <f>+HYPERLINK("http://trademark.i-assist.jp/data/china/image_1910th/80309499.pdf","80309499")</f>
        <v>80309499</v>
      </c>
      <c r="F2547" s="9" t="s">
        <v>6979</v>
      </c>
      <c r="G2547" s="9" t="s">
        <v>6919</v>
      </c>
      <c r="H2547" s="9" t="s">
        <v>6980</v>
      </c>
      <c r="I2547" s="10">
        <v>45516</v>
      </c>
    </row>
    <row r="2548" spans="1:9" x14ac:dyDescent="0.15">
      <c r="A2548" s="9">
        <v>2547</v>
      </c>
      <c r="B2548" s="9" t="s">
        <v>9</v>
      </c>
      <c r="C2548" s="9">
        <v>1910</v>
      </c>
      <c r="D2548" s="10">
        <v>45602</v>
      </c>
      <c r="E2548" s="13" t="str">
        <f>+HYPERLINK("http://trademark.i-assist.jp/data/china/image_1910th/80309604.pdf","80309604")</f>
        <v>80309604</v>
      </c>
      <c r="F2548" s="11" t="s">
        <v>6981</v>
      </c>
      <c r="G2548" s="11" t="s">
        <v>6982</v>
      </c>
      <c r="H2548" s="9" t="s">
        <v>6983</v>
      </c>
      <c r="I2548" s="10">
        <v>45516</v>
      </c>
    </row>
    <row r="2549" spans="1:9" x14ac:dyDescent="0.15">
      <c r="A2549" s="9">
        <v>2548</v>
      </c>
      <c r="B2549" s="9" t="s">
        <v>9</v>
      </c>
      <c r="C2549" s="9">
        <v>1910</v>
      </c>
      <c r="D2549" s="10">
        <v>45602</v>
      </c>
      <c r="E2549" s="13" t="str">
        <f>+HYPERLINK("http://trademark.i-assist.jp/data/china/image_1910th/80309676.pdf","80309676")</f>
        <v>80309676</v>
      </c>
      <c r="F2549" s="11" t="s">
        <v>6984</v>
      </c>
      <c r="G2549" s="11" t="s">
        <v>6779</v>
      </c>
      <c r="H2549" s="9" t="s">
        <v>6985</v>
      </c>
      <c r="I2549" s="10">
        <v>45516</v>
      </c>
    </row>
    <row r="2550" spans="1:9" x14ac:dyDescent="0.15">
      <c r="A2550" s="9">
        <v>2549</v>
      </c>
      <c r="B2550" s="9" t="s">
        <v>9</v>
      </c>
      <c r="C2550" s="9">
        <v>1910</v>
      </c>
      <c r="D2550" s="10">
        <v>45602</v>
      </c>
      <c r="E2550" s="13" t="str">
        <f>+HYPERLINK("http://trademark.i-assist.jp/data/china/image_1910th/80309798.pdf","80309798")</f>
        <v>80309798</v>
      </c>
      <c r="F2550" s="9" t="s">
        <v>6986</v>
      </c>
      <c r="G2550" s="11" t="s">
        <v>6987</v>
      </c>
      <c r="H2550" s="9" t="s">
        <v>6988</v>
      </c>
      <c r="I2550" s="10">
        <v>45516</v>
      </c>
    </row>
    <row r="2551" spans="1:9" x14ac:dyDescent="0.15">
      <c r="A2551" s="9">
        <v>2550</v>
      </c>
      <c r="B2551" s="9" t="s">
        <v>9</v>
      </c>
      <c r="C2551" s="9">
        <v>1910</v>
      </c>
      <c r="D2551" s="10">
        <v>45602</v>
      </c>
      <c r="E2551" s="13" t="str">
        <f>+HYPERLINK("http://trademark.i-assist.jp/data/china/image_1910th/80309979.pdf","80309979")</f>
        <v>80309979</v>
      </c>
      <c r="F2551" s="9" t="s">
        <v>6989</v>
      </c>
      <c r="G2551" s="11" t="s">
        <v>6990</v>
      </c>
      <c r="H2551" s="9" t="s">
        <v>6991</v>
      </c>
      <c r="I2551" s="10">
        <v>45516</v>
      </c>
    </row>
    <row r="2552" spans="1:9" x14ac:dyDescent="0.15">
      <c r="A2552" s="9">
        <v>2551</v>
      </c>
      <c r="B2552" s="9" t="s">
        <v>9</v>
      </c>
      <c r="C2552" s="9">
        <v>1910</v>
      </c>
      <c r="D2552" s="10">
        <v>45602</v>
      </c>
      <c r="E2552" s="13" t="str">
        <f>+HYPERLINK("http://trademark.i-assist.jp/data/china/image_1910th/80310175.pdf","80310175")</f>
        <v>80310175</v>
      </c>
      <c r="F2552" s="9" t="s">
        <v>6992</v>
      </c>
      <c r="G2552" s="9" t="s">
        <v>6993</v>
      </c>
      <c r="H2552" s="11" t="s">
        <v>6994</v>
      </c>
      <c r="I2552" s="10">
        <v>45516</v>
      </c>
    </row>
    <row r="2553" spans="1:9" x14ac:dyDescent="0.15">
      <c r="A2553" s="9">
        <v>2552</v>
      </c>
      <c r="B2553" s="9" t="s">
        <v>9</v>
      </c>
      <c r="C2553" s="9">
        <v>1910</v>
      </c>
      <c r="D2553" s="10">
        <v>45602</v>
      </c>
      <c r="E2553" s="13" t="str">
        <f>+HYPERLINK("http://trademark.i-assist.jp/data/china/image_1910th/80310219.pdf","80310219")</f>
        <v>80310219</v>
      </c>
      <c r="F2553" s="9" t="s">
        <v>6995</v>
      </c>
      <c r="G2553" s="11" t="s">
        <v>6776</v>
      </c>
      <c r="H2553" s="9" t="s">
        <v>6996</v>
      </c>
      <c r="I2553" s="10">
        <v>45516</v>
      </c>
    </row>
    <row r="2554" spans="1:9" x14ac:dyDescent="0.15">
      <c r="A2554" s="9">
        <v>2553</v>
      </c>
      <c r="B2554" s="9" t="s">
        <v>9</v>
      </c>
      <c r="C2554" s="9">
        <v>1910</v>
      </c>
      <c r="D2554" s="10">
        <v>45602</v>
      </c>
      <c r="E2554" s="13" t="str">
        <f>+HYPERLINK("http://trademark.i-assist.jp/data/china/image_1910th/80310224.pdf","80310224")</f>
        <v>80310224</v>
      </c>
      <c r="F2554" s="11" t="s">
        <v>6997</v>
      </c>
      <c r="G2554" s="11" t="s">
        <v>6776</v>
      </c>
      <c r="H2554" s="9" t="s">
        <v>6998</v>
      </c>
      <c r="I2554" s="10">
        <v>45516</v>
      </c>
    </row>
    <row r="2555" spans="1:9" x14ac:dyDescent="0.15">
      <c r="A2555" s="9">
        <v>2554</v>
      </c>
      <c r="B2555" s="9" t="s">
        <v>9</v>
      </c>
      <c r="C2555" s="9">
        <v>1910</v>
      </c>
      <c r="D2555" s="10">
        <v>45602</v>
      </c>
      <c r="E2555" s="13" t="str">
        <f>+HYPERLINK("http://trademark.i-assist.jp/data/china/image_1910th/80310343.pdf","80310343")</f>
        <v>80310343</v>
      </c>
      <c r="F2555" s="11" t="s">
        <v>19</v>
      </c>
      <c r="G2555" s="9" t="s">
        <v>6999</v>
      </c>
      <c r="H2555" s="9" t="s">
        <v>7000</v>
      </c>
      <c r="I2555" s="10">
        <v>45516</v>
      </c>
    </row>
    <row r="2556" spans="1:9" x14ac:dyDescent="0.15">
      <c r="A2556" s="9">
        <v>2555</v>
      </c>
      <c r="B2556" s="9" t="s">
        <v>9</v>
      </c>
      <c r="C2556" s="9">
        <v>1910</v>
      </c>
      <c r="D2556" s="10">
        <v>45602</v>
      </c>
      <c r="E2556" s="13" t="str">
        <f>+HYPERLINK("http://trademark.i-assist.jp/data/china/image_1910th/80310375.pdf","80310375")</f>
        <v>80310375</v>
      </c>
      <c r="F2556" s="9" t="s">
        <v>7001</v>
      </c>
      <c r="G2556" s="9" t="s">
        <v>7002</v>
      </c>
      <c r="H2556" s="9" t="s">
        <v>7003</v>
      </c>
      <c r="I2556" s="10">
        <v>45516</v>
      </c>
    </row>
    <row r="2557" spans="1:9" x14ac:dyDescent="0.15">
      <c r="A2557" s="9">
        <v>2556</v>
      </c>
      <c r="B2557" s="9" t="s">
        <v>9</v>
      </c>
      <c r="C2557" s="9">
        <v>1910</v>
      </c>
      <c r="D2557" s="10">
        <v>45602</v>
      </c>
      <c r="E2557" s="13" t="str">
        <f>+HYPERLINK("http://trademark.i-assist.jp/data/china/image_1910th/80310393.pdf","80310393")</f>
        <v>80310393</v>
      </c>
      <c r="F2557" s="9" t="s">
        <v>7004</v>
      </c>
      <c r="G2557" s="11" t="s">
        <v>6752</v>
      </c>
      <c r="H2557" s="9" t="s">
        <v>7005</v>
      </c>
      <c r="I2557" s="10">
        <v>45516</v>
      </c>
    </row>
    <row r="2558" spans="1:9" x14ac:dyDescent="0.15">
      <c r="A2558" s="9">
        <v>2557</v>
      </c>
      <c r="B2558" s="9" t="s">
        <v>9</v>
      </c>
      <c r="C2558" s="9">
        <v>1910</v>
      </c>
      <c r="D2558" s="10">
        <v>45602</v>
      </c>
      <c r="E2558" s="13" t="str">
        <f>+HYPERLINK("http://trademark.i-assist.jp/data/china/image_1910th/80310538.pdf","80310538")</f>
        <v>80310538</v>
      </c>
      <c r="F2558" s="9" t="s">
        <v>7006</v>
      </c>
      <c r="G2558" s="11" t="s">
        <v>81</v>
      </c>
      <c r="H2558" s="9" t="s">
        <v>7007</v>
      </c>
      <c r="I2558" s="10">
        <v>45516</v>
      </c>
    </row>
    <row r="2559" spans="1:9" x14ac:dyDescent="0.15">
      <c r="A2559" s="9">
        <v>2558</v>
      </c>
      <c r="B2559" s="9" t="s">
        <v>9</v>
      </c>
      <c r="C2559" s="9">
        <v>1910</v>
      </c>
      <c r="D2559" s="10">
        <v>45602</v>
      </c>
      <c r="E2559" s="13" t="str">
        <f>+HYPERLINK("http://trademark.i-assist.jp/data/china/image_1910th/80310584.pdf","80310584")</f>
        <v>80310584</v>
      </c>
      <c r="F2559" s="11" t="s">
        <v>7008</v>
      </c>
      <c r="G2559" s="9" t="s">
        <v>7009</v>
      </c>
      <c r="H2559" s="9" t="s">
        <v>7010</v>
      </c>
      <c r="I2559" s="10">
        <v>45516</v>
      </c>
    </row>
    <row r="2560" spans="1:9" x14ac:dyDescent="0.15">
      <c r="A2560" s="9">
        <v>2559</v>
      </c>
      <c r="B2560" s="9" t="s">
        <v>9</v>
      </c>
      <c r="C2560" s="9">
        <v>1910</v>
      </c>
      <c r="D2560" s="10">
        <v>45602</v>
      </c>
      <c r="E2560" s="13" t="str">
        <f>+HYPERLINK("http://trademark.i-assist.jp/data/china/image_1910th/80310695.pdf","80310695")</f>
        <v>80310695</v>
      </c>
      <c r="F2560" s="9" t="s">
        <v>7011</v>
      </c>
      <c r="G2560" s="11" t="s">
        <v>7012</v>
      </c>
      <c r="H2560" s="9" t="s">
        <v>7013</v>
      </c>
      <c r="I2560" s="10">
        <v>45516</v>
      </c>
    </row>
    <row r="2561" spans="1:9" x14ac:dyDescent="0.15">
      <c r="A2561" s="9">
        <v>2560</v>
      </c>
      <c r="B2561" s="9" t="s">
        <v>9</v>
      </c>
      <c r="C2561" s="9">
        <v>1910</v>
      </c>
      <c r="D2561" s="10">
        <v>45602</v>
      </c>
      <c r="E2561" s="13" t="str">
        <f>+HYPERLINK("http://trademark.i-assist.jp/data/china/image_1910th/80310696.pdf","80310696")</f>
        <v>80310696</v>
      </c>
      <c r="F2561" s="9" t="s">
        <v>7014</v>
      </c>
      <c r="G2561" s="9" t="s">
        <v>7015</v>
      </c>
      <c r="H2561" s="9" t="s">
        <v>7016</v>
      </c>
      <c r="I2561" s="10">
        <v>45516</v>
      </c>
    </row>
    <row r="2562" spans="1:9" x14ac:dyDescent="0.15">
      <c r="A2562" s="9">
        <v>2561</v>
      </c>
      <c r="B2562" s="9" t="s">
        <v>9</v>
      </c>
      <c r="C2562" s="9">
        <v>1910</v>
      </c>
      <c r="D2562" s="10">
        <v>45602</v>
      </c>
      <c r="E2562" s="13" t="str">
        <f>+HYPERLINK("http://trademark.i-assist.jp/data/china/image_1910th/80310703.pdf","80310703")</f>
        <v>80310703</v>
      </c>
      <c r="F2562" s="9" t="s">
        <v>7017</v>
      </c>
      <c r="G2562" s="11" t="s">
        <v>6828</v>
      </c>
      <c r="H2562" s="11" t="s">
        <v>7018</v>
      </c>
      <c r="I2562" s="10">
        <v>45516</v>
      </c>
    </row>
    <row r="2563" spans="1:9" x14ac:dyDescent="0.15">
      <c r="A2563" s="9">
        <v>2562</v>
      </c>
      <c r="B2563" s="9" t="s">
        <v>9</v>
      </c>
      <c r="C2563" s="9">
        <v>1910</v>
      </c>
      <c r="D2563" s="10">
        <v>45602</v>
      </c>
      <c r="E2563" s="13" t="str">
        <f>+HYPERLINK("http://trademark.i-assist.jp/data/china/image_1910th/80310852.pdf","80310852")</f>
        <v>80310852</v>
      </c>
      <c r="F2563" s="9" t="s">
        <v>7019</v>
      </c>
      <c r="G2563" s="9" t="s">
        <v>7020</v>
      </c>
      <c r="H2563" s="9" t="s">
        <v>7021</v>
      </c>
      <c r="I2563" s="10">
        <v>45516</v>
      </c>
    </row>
    <row r="2564" spans="1:9" x14ac:dyDescent="0.15">
      <c r="A2564" s="9">
        <v>2563</v>
      </c>
      <c r="B2564" s="9" t="s">
        <v>9</v>
      </c>
      <c r="C2564" s="9">
        <v>1910</v>
      </c>
      <c r="D2564" s="10">
        <v>45602</v>
      </c>
      <c r="E2564" s="13" t="str">
        <f>+HYPERLINK("http://trademark.i-assist.jp/data/china/image_1910th/80310876.pdf","80310876")</f>
        <v>80310876</v>
      </c>
      <c r="F2564" s="9" t="s">
        <v>7022</v>
      </c>
      <c r="G2564" s="9" t="s">
        <v>6035</v>
      </c>
      <c r="H2564" s="9" t="s">
        <v>7023</v>
      </c>
      <c r="I2564" s="10">
        <v>45516</v>
      </c>
    </row>
    <row r="2565" spans="1:9" x14ac:dyDescent="0.15">
      <c r="A2565" s="9">
        <v>2564</v>
      </c>
      <c r="B2565" s="9" t="s">
        <v>9</v>
      </c>
      <c r="C2565" s="9">
        <v>1910</v>
      </c>
      <c r="D2565" s="10">
        <v>45602</v>
      </c>
      <c r="E2565" s="13" t="str">
        <f>+HYPERLINK("http://trademark.i-assist.jp/data/china/image_1910th/80310921.pdf","80310921")</f>
        <v>80310921</v>
      </c>
      <c r="F2565" s="11" t="s">
        <v>7024</v>
      </c>
      <c r="G2565" s="9" t="s">
        <v>6035</v>
      </c>
      <c r="H2565" s="9" t="s">
        <v>7025</v>
      </c>
      <c r="I2565" s="10">
        <v>45516</v>
      </c>
    </row>
    <row r="2566" spans="1:9" x14ac:dyDescent="0.15">
      <c r="A2566" s="9">
        <v>2565</v>
      </c>
      <c r="B2566" s="9" t="s">
        <v>9</v>
      </c>
      <c r="C2566" s="9">
        <v>1910</v>
      </c>
      <c r="D2566" s="10">
        <v>45602</v>
      </c>
      <c r="E2566" s="13" t="str">
        <f>+HYPERLINK("http://trademark.i-assist.jp/data/china/image_1910th/80311033.pdf","80311033")</f>
        <v>80311033</v>
      </c>
      <c r="F2566" s="9" t="s">
        <v>7026</v>
      </c>
      <c r="G2566" s="11" t="s">
        <v>6907</v>
      </c>
      <c r="H2566" s="9" t="s">
        <v>7027</v>
      </c>
      <c r="I2566" s="10">
        <v>45516</v>
      </c>
    </row>
    <row r="2567" spans="1:9" x14ac:dyDescent="0.15">
      <c r="A2567" s="9">
        <v>2566</v>
      </c>
      <c r="B2567" s="9" t="s">
        <v>9</v>
      </c>
      <c r="C2567" s="9">
        <v>1910</v>
      </c>
      <c r="D2567" s="10">
        <v>45602</v>
      </c>
      <c r="E2567" s="13" t="str">
        <f>+HYPERLINK("http://trademark.i-assist.jp/data/china/image_1910th/80311078.pdf","80311078")</f>
        <v>80311078</v>
      </c>
      <c r="F2567" s="9" t="s">
        <v>7028</v>
      </c>
      <c r="G2567" s="9" t="s">
        <v>6910</v>
      </c>
      <c r="H2567" s="9" t="s">
        <v>7029</v>
      </c>
      <c r="I2567" s="10">
        <v>45516</v>
      </c>
    </row>
    <row r="2568" spans="1:9" x14ac:dyDescent="0.15">
      <c r="A2568" s="9">
        <v>2567</v>
      </c>
      <c r="B2568" s="9" t="s">
        <v>9</v>
      </c>
      <c r="C2568" s="9">
        <v>1910</v>
      </c>
      <c r="D2568" s="10">
        <v>45602</v>
      </c>
      <c r="E2568" s="13" t="str">
        <f>+HYPERLINK("http://trademark.i-assist.jp/data/china/image_1910th/80311144.pdf","80311144")</f>
        <v>80311144</v>
      </c>
      <c r="F2568" s="9" t="s">
        <v>7030</v>
      </c>
      <c r="G2568" s="9" t="s">
        <v>7031</v>
      </c>
      <c r="H2568" s="9" t="s">
        <v>7032</v>
      </c>
      <c r="I2568" s="10">
        <v>45516</v>
      </c>
    </row>
    <row r="2569" spans="1:9" x14ac:dyDescent="0.15">
      <c r="A2569" s="9">
        <v>2568</v>
      </c>
      <c r="B2569" s="9" t="s">
        <v>9</v>
      </c>
      <c r="C2569" s="9">
        <v>1910</v>
      </c>
      <c r="D2569" s="10">
        <v>45602</v>
      </c>
      <c r="E2569" s="13" t="str">
        <f>+HYPERLINK("http://trademark.i-assist.jp/data/china/image_1910th/80311441.pdf","80311441")</f>
        <v>80311441</v>
      </c>
      <c r="F2569" s="9" t="s">
        <v>7033</v>
      </c>
      <c r="G2569" s="11" t="s">
        <v>7034</v>
      </c>
      <c r="H2569" s="9" t="s">
        <v>7035</v>
      </c>
      <c r="I2569" s="10">
        <v>45516</v>
      </c>
    </row>
    <row r="2570" spans="1:9" x14ac:dyDescent="0.15">
      <c r="A2570" s="9">
        <v>2569</v>
      </c>
      <c r="B2570" s="9" t="s">
        <v>9</v>
      </c>
      <c r="C2570" s="9">
        <v>1910</v>
      </c>
      <c r="D2570" s="10">
        <v>45602</v>
      </c>
      <c r="E2570" s="13" t="str">
        <f>+HYPERLINK("http://trademark.i-assist.jp/data/china/image_1910th/80311805.pdf","80311805")</f>
        <v>80311805</v>
      </c>
      <c r="F2570" s="9" t="s">
        <v>7036</v>
      </c>
      <c r="G2570" s="11" t="s">
        <v>7037</v>
      </c>
      <c r="H2570" s="11" t="s">
        <v>7038</v>
      </c>
      <c r="I2570" s="10">
        <v>45516</v>
      </c>
    </row>
    <row r="2571" spans="1:9" x14ac:dyDescent="0.15">
      <c r="A2571" s="9">
        <v>2570</v>
      </c>
      <c r="B2571" s="9" t="s">
        <v>9</v>
      </c>
      <c r="C2571" s="9">
        <v>1910</v>
      </c>
      <c r="D2571" s="10">
        <v>45602</v>
      </c>
      <c r="E2571" s="13" t="str">
        <f>+HYPERLINK("http://trademark.i-assist.jp/data/china/image_1910th/80312171.pdf","80312171")</f>
        <v>80312171</v>
      </c>
      <c r="F2571" s="11" t="s">
        <v>7039</v>
      </c>
      <c r="G2571" s="11" t="s">
        <v>6779</v>
      </c>
      <c r="H2571" s="9" t="s">
        <v>7040</v>
      </c>
      <c r="I2571" s="10">
        <v>45516</v>
      </c>
    </row>
    <row r="2572" spans="1:9" x14ac:dyDescent="0.15">
      <c r="A2572" s="9">
        <v>2571</v>
      </c>
      <c r="B2572" s="9" t="s">
        <v>9</v>
      </c>
      <c r="C2572" s="9">
        <v>1910</v>
      </c>
      <c r="D2572" s="10">
        <v>45602</v>
      </c>
      <c r="E2572" s="13" t="str">
        <f>+HYPERLINK("http://trademark.i-assist.jp/data/china/image_1910th/80312177.pdf","80312177")</f>
        <v>80312177</v>
      </c>
      <c r="F2572" s="11" t="s">
        <v>7041</v>
      </c>
      <c r="G2572" s="11" t="s">
        <v>6779</v>
      </c>
      <c r="H2572" s="9" t="s">
        <v>7042</v>
      </c>
      <c r="I2572" s="10">
        <v>45516</v>
      </c>
    </row>
    <row r="2573" spans="1:9" x14ac:dyDescent="0.15">
      <c r="A2573" s="9">
        <v>2572</v>
      </c>
      <c r="B2573" s="9" t="s">
        <v>9</v>
      </c>
      <c r="C2573" s="9">
        <v>1910</v>
      </c>
      <c r="D2573" s="10">
        <v>45602</v>
      </c>
      <c r="E2573" s="13" t="str">
        <f>+HYPERLINK("http://trademark.i-assist.jp/data/china/image_1910th/80312293.pdf","80312293")</f>
        <v>80312293</v>
      </c>
      <c r="F2573" s="9" t="s">
        <v>7043</v>
      </c>
      <c r="G2573" s="9" t="s">
        <v>7044</v>
      </c>
      <c r="H2573" s="9" t="s">
        <v>7045</v>
      </c>
      <c r="I2573" s="10">
        <v>45516</v>
      </c>
    </row>
    <row r="2574" spans="1:9" x14ac:dyDescent="0.15">
      <c r="A2574" s="9">
        <v>2573</v>
      </c>
      <c r="B2574" s="9" t="s">
        <v>9</v>
      </c>
      <c r="C2574" s="9">
        <v>1910</v>
      </c>
      <c r="D2574" s="10">
        <v>45602</v>
      </c>
      <c r="E2574" s="13" t="str">
        <f>+HYPERLINK("http://trademark.i-assist.jp/data/china/image_1910th/80312315.pdf","80312315")</f>
        <v>80312315</v>
      </c>
      <c r="F2574" s="9" t="s">
        <v>7046</v>
      </c>
      <c r="G2574" s="9" t="s">
        <v>7047</v>
      </c>
      <c r="H2574" s="9" t="s">
        <v>7048</v>
      </c>
      <c r="I2574" s="10">
        <v>45516</v>
      </c>
    </row>
    <row r="2575" spans="1:9" x14ac:dyDescent="0.15">
      <c r="A2575" s="9">
        <v>2574</v>
      </c>
      <c r="B2575" s="9" t="s">
        <v>9</v>
      </c>
      <c r="C2575" s="9">
        <v>1910</v>
      </c>
      <c r="D2575" s="10">
        <v>45602</v>
      </c>
      <c r="E2575" s="13" t="str">
        <f>+HYPERLINK("http://trademark.i-assist.jp/data/china/image_1910th/80312413.pdf","80312413")</f>
        <v>80312413</v>
      </c>
      <c r="F2575" s="9" t="s">
        <v>7049</v>
      </c>
      <c r="G2575" s="9" t="s">
        <v>11</v>
      </c>
      <c r="H2575" s="9" t="s">
        <v>7050</v>
      </c>
      <c r="I2575" s="10">
        <v>45516</v>
      </c>
    </row>
    <row r="2576" spans="1:9" x14ac:dyDescent="0.15">
      <c r="A2576" s="9">
        <v>2575</v>
      </c>
      <c r="B2576" s="9" t="s">
        <v>9</v>
      </c>
      <c r="C2576" s="9">
        <v>1910</v>
      </c>
      <c r="D2576" s="10">
        <v>45602</v>
      </c>
      <c r="E2576" s="13" t="str">
        <f>+HYPERLINK("http://trademark.i-assist.jp/data/china/image_1910th/80312542.pdf","80312542")</f>
        <v>80312542</v>
      </c>
      <c r="F2576" s="9" t="s">
        <v>7051</v>
      </c>
      <c r="G2576" s="11" t="s">
        <v>7052</v>
      </c>
      <c r="H2576" s="11" t="s">
        <v>7053</v>
      </c>
      <c r="I2576" s="10">
        <v>45516</v>
      </c>
    </row>
    <row r="2577" spans="1:9" x14ac:dyDescent="0.15">
      <c r="A2577" s="9">
        <v>2576</v>
      </c>
      <c r="B2577" s="9" t="s">
        <v>9</v>
      </c>
      <c r="C2577" s="9">
        <v>1910</v>
      </c>
      <c r="D2577" s="10">
        <v>45602</v>
      </c>
      <c r="E2577" s="13" t="str">
        <f>+HYPERLINK("http://trademark.i-assist.jp/data/china/image_1910th/80312946.pdf","80312946")</f>
        <v>80312946</v>
      </c>
      <c r="F2577" s="9" t="s">
        <v>7054</v>
      </c>
      <c r="G2577" s="9" t="s">
        <v>7055</v>
      </c>
      <c r="H2577" s="9" t="s">
        <v>7056</v>
      </c>
      <c r="I2577" s="10">
        <v>45516</v>
      </c>
    </row>
    <row r="2578" spans="1:9" x14ac:dyDescent="0.15">
      <c r="A2578" s="9">
        <v>2577</v>
      </c>
      <c r="B2578" s="9" t="s">
        <v>9</v>
      </c>
      <c r="C2578" s="9">
        <v>1910</v>
      </c>
      <c r="D2578" s="10">
        <v>45602</v>
      </c>
      <c r="E2578" s="13" t="str">
        <f>+HYPERLINK("http://trademark.i-assist.jp/data/china/image_1910th/80313030.pdf","80313030")</f>
        <v>80313030</v>
      </c>
      <c r="F2578" s="11" t="s">
        <v>7057</v>
      </c>
      <c r="G2578" s="11" t="s">
        <v>6982</v>
      </c>
      <c r="H2578" s="9" t="s">
        <v>7058</v>
      </c>
      <c r="I2578" s="10">
        <v>45516</v>
      </c>
    </row>
    <row r="2579" spans="1:9" x14ac:dyDescent="0.15">
      <c r="A2579" s="9">
        <v>2578</v>
      </c>
      <c r="B2579" s="9" t="s">
        <v>9</v>
      </c>
      <c r="C2579" s="9">
        <v>1910</v>
      </c>
      <c r="D2579" s="10">
        <v>45602</v>
      </c>
      <c r="E2579" s="13" t="str">
        <f>+HYPERLINK("http://trademark.i-assist.jp/data/china/image_1910th/80313036.pdf","80313036")</f>
        <v>80313036</v>
      </c>
      <c r="F2579" s="11" t="s">
        <v>7059</v>
      </c>
      <c r="G2579" s="11" t="s">
        <v>6982</v>
      </c>
      <c r="H2579" s="9" t="s">
        <v>7060</v>
      </c>
      <c r="I2579" s="10">
        <v>45516</v>
      </c>
    </row>
    <row r="2580" spans="1:9" x14ac:dyDescent="0.15">
      <c r="A2580" s="9">
        <v>2579</v>
      </c>
      <c r="B2580" s="9" t="s">
        <v>9</v>
      </c>
      <c r="C2580" s="9">
        <v>1910</v>
      </c>
      <c r="D2580" s="10">
        <v>45602</v>
      </c>
      <c r="E2580" s="13" t="str">
        <f>+HYPERLINK("http://trademark.i-assist.jp/data/china/image_1910th/80313068.pdf","80313068")</f>
        <v>80313068</v>
      </c>
      <c r="F2580" s="9" t="s">
        <v>7061</v>
      </c>
      <c r="G2580" s="11" t="s">
        <v>7062</v>
      </c>
      <c r="H2580" s="9" t="s">
        <v>7063</v>
      </c>
      <c r="I2580" s="10">
        <v>45516</v>
      </c>
    </row>
    <row r="2581" spans="1:9" x14ac:dyDescent="0.15">
      <c r="A2581" s="9">
        <v>2580</v>
      </c>
      <c r="B2581" s="9" t="s">
        <v>9</v>
      </c>
      <c r="C2581" s="9">
        <v>1910</v>
      </c>
      <c r="D2581" s="10">
        <v>45602</v>
      </c>
      <c r="E2581" s="13" t="str">
        <f>+HYPERLINK("http://trademark.i-assist.jp/data/china/image_1910th/80313075.pdf","80313075")</f>
        <v>80313075</v>
      </c>
      <c r="F2581" s="9" t="s">
        <v>7064</v>
      </c>
      <c r="G2581" s="11" t="s">
        <v>7065</v>
      </c>
      <c r="H2581" s="9" t="s">
        <v>7066</v>
      </c>
      <c r="I2581" s="10">
        <v>45516</v>
      </c>
    </row>
    <row r="2582" spans="1:9" x14ac:dyDescent="0.15">
      <c r="A2582" s="9">
        <v>2581</v>
      </c>
      <c r="B2582" s="9" t="s">
        <v>9</v>
      </c>
      <c r="C2582" s="9">
        <v>1910</v>
      </c>
      <c r="D2582" s="10">
        <v>45602</v>
      </c>
      <c r="E2582" s="13" t="str">
        <f>+HYPERLINK("http://trademark.i-assist.jp/data/china/image_1910th/80313181.pdf","80313181")</f>
        <v>80313181</v>
      </c>
      <c r="F2582" s="9" t="s">
        <v>7067</v>
      </c>
      <c r="G2582" s="9" t="s">
        <v>7068</v>
      </c>
      <c r="H2582" s="9" t="s">
        <v>7069</v>
      </c>
      <c r="I2582" s="10">
        <v>45516</v>
      </c>
    </row>
    <row r="2583" spans="1:9" x14ac:dyDescent="0.15">
      <c r="A2583" s="9">
        <v>2582</v>
      </c>
      <c r="B2583" s="9" t="s">
        <v>9</v>
      </c>
      <c r="C2583" s="9">
        <v>1910</v>
      </c>
      <c r="D2583" s="10">
        <v>45602</v>
      </c>
      <c r="E2583" s="13" t="str">
        <f>+HYPERLINK("http://trademark.i-assist.jp/data/china/image_1910th/80313191.pdf","80313191")</f>
        <v>80313191</v>
      </c>
      <c r="F2583" s="11" t="s">
        <v>19</v>
      </c>
      <c r="G2583" s="9" t="s">
        <v>7068</v>
      </c>
      <c r="H2583" s="9" t="s">
        <v>7070</v>
      </c>
      <c r="I2583" s="10">
        <v>45516</v>
      </c>
    </row>
    <row r="2584" spans="1:9" x14ac:dyDescent="0.15">
      <c r="A2584" s="9">
        <v>2583</v>
      </c>
      <c r="B2584" s="9" t="s">
        <v>9</v>
      </c>
      <c r="C2584" s="9">
        <v>1910</v>
      </c>
      <c r="D2584" s="10">
        <v>45602</v>
      </c>
      <c r="E2584" s="13" t="str">
        <f>+HYPERLINK("http://trademark.i-assist.jp/data/china/image_1910th/80313371.pdf","80313371")</f>
        <v>80313371</v>
      </c>
      <c r="F2584" s="9" t="s">
        <v>7071</v>
      </c>
      <c r="G2584" s="11" t="s">
        <v>7072</v>
      </c>
      <c r="H2584" s="9" t="s">
        <v>7073</v>
      </c>
      <c r="I2584" s="10">
        <v>45516</v>
      </c>
    </row>
    <row r="2585" spans="1:9" x14ac:dyDescent="0.15">
      <c r="A2585" s="9">
        <v>2584</v>
      </c>
      <c r="B2585" s="9" t="s">
        <v>9</v>
      </c>
      <c r="C2585" s="9">
        <v>1910</v>
      </c>
      <c r="D2585" s="10">
        <v>45602</v>
      </c>
      <c r="E2585" s="13" t="str">
        <f>+HYPERLINK("http://trademark.i-assist.jp/data/china/image_1910th/80313397.pdf","80313397")</f>
        <v>80313397</v>
      </c>
      <c r="F2585" s="9" t="s">
        <v>7074</v>
      </c>
      <c r="G2585" s="9" t="s">
        <v>6910</v>
      </c>
      <c r="H2585" s="9" t="s">
        <v>7075</v>
      </c>
      <c r="I2585" s="10">
        <v>45516</v>
      </c>
    </row>
    <row r="2586" spans="1:9" x14ac:dyDescent="0.15">
      <c r="A2586" s="9">
        <v>2585</v>
      </c>
      <c r="B2586" s="9" t="s">
        <v>9</v>
      </c>
      <c r="C2586" s="9">
        <v>1910</v>
      </c>
      <c r="D2586" s="10">
        <v>45602</v>
      </c>
      <c r="E2586" s="13" t="str">
        <f>+HYPERLINK("http://trademark.i-assist.jp/data/china/image_1910th/80313409.pdf","80313409")</f>
        <v>80313409</v>
      </c>
      <c r="F2586" s="9" t="s">
        <v>7076</v>
      </c>
      <c r="G2586" s="11" t="s">
        <v>7077</v>
      </c>
      <c r="H2586" s="9" t="s">
        <v>7078</v>
      </c>
      <c r="I2586" s="10">
        <v>45516</v>
      </c>
    </row>
    <row r="2587" spans="1:9" x14ac:dyDescent="0.15">
      <c r="A2587" s="9">
        <v>2586</v>
      </c>
      <c r="B2587" s="9" t="s">
        <v>9</v>
      </c>
      <c r="C2587" s="9">
        <v>1910</v>
      </c>
      <c r="D2587" s="10">
        <v>45602</v>
      </c>
      <c r="E2587" s="13" t="str">
        <f>+HYPERLINK("http://trademark.i-assist.jp/data/china/image_1910th/80313578.pdf","80313578")</f>
        <v>80313578</v>
      </c>
      <c r="F2587" s="11" t="s">
        <v>7079</v>
      </c>
      <c r="G2587" s="11" t="s">
        <v>6782</v>
      </c>
      <c r="H2587" s="9" t="s">
        <v>7080</v>
      </c>
      <c r="I2587" s="10">
        <v>45516</v>
      </c>
    </row>
    <row r="2588" spans="1:9" x14ac:dyDescent="0.15">
      <c r="A2588" s="9">
        <v>2587</v>
      </c>
      <c r="B2588" s="9" t="s">
        <v>9</v>
      </c>
      <c r="C2588" s="9">
        <v>1910</v>
      </c>
      <c r="D2588" s="10">
        <v>45602</v>
      </c>
      <c r="E2588" s="13" t="str">
        <f>+HYPERLINK("http://trademark.i-assist.jp/data/china/image_1910th/80313605.pdf","80313605")</f>
        <v>80313605</v>
      </c>
      <c r="F2588" s="9" t="s">
        <v>7081</v>
      </c>
      <c r="G2588" s="9" t="s">
        <v>7020</v>
      </c>
      <c r="H2588" s="9" t="s">
        <v>7082</v>
      </c>
      <c r="I2588" s="10">
        <v>45516</v>
      </c>
    </row>
    <row r="2589" spans="1:9" x14ac:dyDescent="0.15">
      <c r="A2589" s="9">
        <v>2588</v>
      </c>
      <c r="B2589" s="9" t="s">
        <v>9</v>
      </c>
      <c r="C2589" s="9">
        <v>1910</v>
      </c>
      <c r="D2589" s="10">
        <v>45602</v>
      </c>
      <c r="E2589" s="13" t="str">
        <f>+HYPERLINK("http://trademark.i-assist.jp/data/china/image_1910th/80313619.pdf","80313619")</f>
        <v>80313619</v>
      </c>
      <c r="F2589" s="9" t="s">
        <v>7083</v>
      </c>
      <c r="G2589" s="11" t="s">
        <v>6782</v>
      </c>
      <c r="H2589" s="9" t="s">
        <v>7084</v>
      </c>
      <c r="I2589" s="10">
        <v>45516</v>
      </c>
    </row>
    <row r="2590" spans="1:9" x14ac:dyDescent="0.15">
      <c r="A2590" s="9">
        <v>2589</v>
      </c>
      <c r="B2590" s="9" t="s">
        <v>9</v>
      </c>
      <c r="C2590" s="9">
        <v>1910</v>
      </c>
      <c r="D2590" s="10">
        <v>45602</v>
      </c>
      <c r="E2590" s="13" t="str">
        <f>+HYPERLINK("http://trademark.i-assist.jp/data/china/image_1910th/80313699.pdf","80313699")</f>
        <v>80313699</v>
      </c>
      <c r="F2590" s="9" t="s">
        <v>7085</v>
      </c>
      <c r="G2590" s="9" t="s">
        <v>7086</v>
      </c>
      <c r="H2590" s="9" t="s">
        <v>7087</v>
      </c>
      <c r="I2590" s="10">
        <v>45516</v>
      </c>
    </row>
    <row r="2591" spans="1:9" x14ac:dyDescent="0.15">
      <c r="A2591" s="9">
        <v>2590</v>
      </c>
      <c r="B2591" s="9" t="s">
        <v>9</v>
      </c>
      <c r="C2591" s="9">
        <v>1910</v>
      </c>
      <c r="D2591" s="10">
        <v>45602</v>
      </c>
      <c r="E2591" s="13" t="str">
        <f>+HYPERLINK("http://trademark.i-assist.jp/data/china/image_1910th/80313732.pdf","80313732")</f>
        <v>80313732</v>
      </c>
      <c r="F2591" s="9" t="s">
        <v>7088</v>
      </c>
      <c r="G2591" s="11" t="s">
        <v>7089</v>
      </c>
      <c r="H2591" s="9" t="s">
        <v>7090</v>
      </c>
      <c r="I2591" s="10">
        <v>45516</v>
      </c>
    </row>
    <row r="2592" spans="1:9" x14ac:dyDescent="0.15">
      <c r="A2592" s="9">
        <v>2591</v>
      </c>
      <c r="B2592" s="9" t="s">
        <v>9</v>
      </c>
      <c r="C2592" s="9">
        <v>1910</v>
      </c>
      <c r="D2592" s="10">
        <v>45602</v>
      </c>
      <c r="E2592" s="13" t="str">
        <f>+HYPERLINK("http://trademark.i-assist.jp/data/china/image_1910th/80313835.pdf","80313835")</f>
        <v>80313835</v>
      </c>
      <c r="F2592" s="9" t="s">
        <v>7091</v>
      </c>
      <c r="G2592" s="9" t="s">
        <v>7092</v>
      </c>
      <c r="H2592" s="9" t="s">
        <v>7093</v>
      </c>
      <c r="I2592" s="10">
        <v>45516</v>
      </c>
    </row>
    <row r="2593" spans="1:9" x14ac:dyDescent="0.15">
      <c r="A2593" s="9">
        <v>2592</v>
      </c>
      <c r="B2593" s="9" t="s">
        <v>9</v>
      </c>
      <c r="C2593" s="9">
        <v>1910</v>
      </c>
      <c r="D2593" s="10">
        <v>45602</v>
      </c>
      <c r="E2593" s="13" t="str">
        <f>+HYPERLINK("http://trademark.i-assist.jp/data/china/image_1910th/80313888.pdf","80313888")</f>
        <v>80313888</v>
      </c>
      <c r="F2593" s="9" t="s">
        <v>7094</v>
      </c>
      <c r="G2593" s="9" t="s">
        <v>7095</v>
      </c>
      <c r="H2593" s="9" t="s">
        <v>7096</v>
      </c>
      <c r="I2593" s="10">
        <v>45516</v>
      </c>
    </row>
    <row r="2594" spans="1:9" x14ac:dyDescent="0.15">
      <c r="A2594" s="9">
        <v>2593</v>
      </c>
      <c r="B2594" s="9" t="s">
        <v>9</v>
      </c>
      <c r="C2594" s="9">
        <v>1910</v>
      </c>
      <c r="D2594" s="10">
        <v>45602</v>
      </c>
      <c r="E2594" s="13" t="str">
        <f>+HYPERLINK("http://trademark.i-assist.jp/data/china/image_1910th/80314007.pdf","80314007")</f>
        <v>80314007</v>
      </c>
      <c r="F2594" s="9" t="s">
        <v>7097</v>
      </c>
      <c r="G2594" s="9" t="s">
        <v>11</v>
      </c>
      <c r="H2594" s="9" t="s">
        <v>7098</v>
      </c>
      <c r="I2594" s="10">
        <v>45516</v>
      </c>
    </row>
    <row r="2595" spans="1:9" x14ac:dyDescent="0.15">
      <c r="A2595" s="9">
        <v>2594</v>
      </c>
      <c r="B2595" s="9" t="s">
        <v>9</v>
      </c>
      <c r="C2595" s="9">
        <v>1910</v>
      </c>
      <c r="D2595" s="10">
        <v>45602</v>
      </c>
      <c r="E2595" s="13" t="str">
        <f>+HYPERLINK("http://trademark.i-assist.jp/data/china/image_1910th/80314172.pdf","80314172")</f>
        <v>80314172</v>
      </c>
      <c r="F2595" s="9" t="s">
        <v>7099</v>
      </c>
      <c r="G2595" s="9" t="s">
        <v>7100</v>
      </c>
      <c r="H2595" s="9" t="s">
        <v>7101</v>
      </c>
      <c r="I2595" s="10">
        <v>45516</v>
      </c>
    </row>
    <row r="2596" spans="1:9" x14ac:dyDescent="0.15">
      <c r="A2596" s="9">
        <v>2595</v>
      </c>
      <c r="B2596" s="9" t="s">
        <v>9</v>
      </c>
      <c r="C2596" s="9">
        <v>1910</v>
      </c>
      <c r="D2596" s="10">
        <v>45602</v>
      </c>
      <c r="E2596" s="13" t="str">
        <f>+HYPERLINK("http://trademark.i-assist.jp/data/china/image_1910th/80314190.pdf","80314190")</f>
        <v>80314190</v>
      </c>
      <c r="F2596" s="9" t="s">
        <v>7102</v>
      </c>
      <c r="G2596" s="11" t="s">
        <v>7062</v>
      </c>
      <c r="H2596" s="9" t="s">
        <v>7103</v>
      </c>
      <c r="I2596" s="10">
        <v>45516</v>
      </c>
    </row>
    <row r="2597" spans="1:9" x14ac:dyDescent="0.15">
      <c r="A2597" s="9">
        <v>2596</v>
      </c>
      <c r="B2597" s="9" t="s">
        <v>9</v>
      </c>
      <c r="C2597" s="9">
        <v>1910</v>
      </c>
      <c r="D2597" s="10">
        <v>45602</v>
      </c>
      <c r="E2597" s="13" t="str">
        <f>+HYPERLINK("http://trademark.i-assist.jp/data/china/image_1910th/80314232.pdf","80314232")</f>
        <v>80314232</v>
      </c>
      <c r="F2597" s="11" t="s">
        <v>7104</v>
      </c>
      <c r="G2597" s="11" t="s">
        <v>6779</v>
      </c>
      <c r="H2597" s="9" t="s">
        <v>7105</v>
      </c>
      <c r="I2597" s="10">
        <v>45516</v>
      </c>
    </row>
    <row r="2598" spans="1:9" x14ac:dyDescent="0.15">
      <c r="A2598" s="9">
        <v>2597</v>
      </c>
      <c r="B2598" s="9" t="s">
        <v>9</v>
      </c>
      <c r="C2598" s="9">
        <v>1910</v>
      </c>
      <c r="D2598" s="10">
        <v>45602</v>
      </c>
      <c r="E2598" s="13" t="str">
        <f>+HYPERLINK("http://trademark.i-assist.jp/data/china/image_1910th/80314292.pdf","80314292")</f>
        <v>80314292</v>
      </c>
      <c r="F2598" s="9" t="s">
        <v>7106</v>
      </c>
      <c r="G2598" s="9" t="s">
        <v>7107</v>
      </c>
      <c r="H2598" s="9" t="s">
        <v>7108</v>
      </c>
      <c r="I2598" s="10">
        <v>45516</v>
      </c>
    </row>
    <row r="2599" spans="1:9" x14ac:dyDescent="0.15">
      <c r="A2599" s="9">
        <v>2598</v>
      </c>
      <c r="B2599" s="9" t="s">
        <v>9</v>
      </c>
      <c r="C2599" s="9">
        <v>1910</v>
      </c>
      <c r="D2599" s="10">
        <v>45602</v>
      </c>
      <c r="E2599" s="13" t="str">
        <f>+HYPERLINK("http://trademark.i-assist.jp/data/china/image_1910th/80314346.pdf","80314346")</f>
        <v>80314346</v>
      </c>
      <c r="F2599" s="9" t="s">
        <v>7109</v>
      </c>
      <c r="G2599" s="9" t="s">
        <v>6871</v>
      </c>
      <c r="H2599" s="9" t="s">
        <v>7110</v>
      </c>
      <c r="I2599" s="10">
        <v>45516</v>
      </c>
    </row>
    <row r="2600" spans="1:9" x14ac:dyDescent="0.15">
      <c r="A2600" s="9">
        <v>2599</v>
      </c>
      <c r="B2600" s="9" t="s">
        <v>9</v>
      </c>
      <c r="C2600" s="9">
        <v>1910</v>
      </c>
      <c r="D2600" s="10">
        <v>45602</v>
      </c>
      <c r="E2600" s="13" t="str">
        <f>+HYPERLINK("http://trademark.i-assist.jp/data/china/image_1910th/80314500.pdf","80314500")</f>
        <v>80314500</v>
      </c>
      <c r="F2600" s="11" t="s">
        <v>7111</v>
      </c>
      <c r="G2600" s="9" t="s">
        <v>7112</v>
      </c>
      <c r="H2600" s="9" t="s">
        <v>7113</v>
      </c>
      <c r="I2600" s="10">
        <v>45516</v>
      </c>
    </row>
    <row r="2601" spans="1:9" x14ac:dyDescent="0.15">
      <c r="A2601" s="9">
        <v>2600</v>
      </c>
      <c r="B2601" s="9" t="s">
        <v>9</v>
      </c>
      <c r="C2601" s="9">
        <v>1910</v>
      </c>
      <c r="D2601" s="10">
        <v>45602</v>
      </c>
      <c r="E2601" s="13" t="str">
        <f>+HYPERLINK("http://trademark.i-assist.jp/data/china/image_1910th/80314683.pdf","80314683")</f>
        <v>80314683</v>
      </c>
      <c r="F2601" s="11" t="s">
        <v>19</v>
      </c>
      <c r="G2601" s="9" t="s">
        <v>158</v>
      </c>
      <c r="H2601" s="9" t="s">
        <v>7114</v>
      </c>
      <c r="I2601" s="10">
        <v>45516</v>
      </c>
    </row>
    <row r="2602" spans="1:9" x14ac:dyDescent="0.15">
      <c r="A2602" s="9">
        <v>2601</v>
      </c>
      <c r="B2602" s="9" t="s">
        <v>9</v>
      </c>
      <c r="C2602" s="9">
        <v>1910</v>
      </c>
      <c r="D2602" s="10">
        <v>45602</v>
      </c>
      <c r="E2602" s="13" t="str">
        <f>+HYPERLINK("http://trademark.i-assist.jp/data/china/image_1910th/80314716.pdf","80314716")</f>
        <v>80314716</v>
      </c>
      <c r="F2602" s="9" t="s">
        <v>7115</v>
      </c>
      <c r="G2602" s="11" t="s">
        <v>6953</v>
      </c>
      <c r="H2602" s="9" t="s">
        <v>7116</v>
      </c>
      <c r="I2602" s="10">
        <v>45516</v>
      </c>
    </row>
    <row r="2603" spans="1:9" x14ac:dyDescent="0.15">
      <c r="A2603" s="9">
        <v>2602</v>
      </c>
      <c r="B2603" s="9" t="s">
        <v>9</v>
      </c>
      <c r="C2603" s="9">
        <v>1910</v>
      </c>
      <c r="D2603" s="10">
        <v>45602</v>
      </c>
      <c r="E2603" s="13" t="str">
        <f>+HYPERLINK("http://trademark.i-assist.jp/data/china/image_1910th/80314988.pdf","80314988")</f>
        <v>80314988</v>
      </c>
      <c r="F2603" s="9" t="s">
        <v>7117</v>
      </c>
      <c r="G2603" s="9" t="s">
        <v>6035</v>
      </c>
      <c r="H2603" s="9" t="s">
        <v>7118</v>
      </c>
      <c r="I2603" s="10">
        <v>45516</v>
      </c>
    </row>
    <row r="2604" spans="1:9" x14ac:dyDescent="0.15">
      <c r="A2604" s="9">
        <v>2603</v>
      </c>
      <c r="B2604" s="9" t="s">
        <v>9</v>
      </c>
      <c r="C2604" s="9">
        <v>1910</v>
      </c>
      <c r="D2604" s="10">
        <v>45602</v>
      </c>
      <c r="E2604" s="13" t="str">
        <f>+HYPERLINK("http://trademark.i-assist.jp/data/china/image_1910th/80315038.pdf","80315038")</f>
        <v>80315038</v>
      </c>
      <c r="F2604" s="9" t="s">
        <v>7119</v>
      </c>
      <c r="G2604" s="9" t="s">
        <v>7120</v>
      </c>
      <c r="H2604" s="9" t="s">
        <v>7121</v>
      </c>
      <c r="I2604" s="10">
        <v>45516</v>
      </c>
    </row>
    <row r="2605" spans="1:9" x14ac:dyDescent="0.15">
      <c r="A2605" s="9">
        <v>2604</v>
      </c>
      <c r="B2605" s="9" t="s">
        <v>9</v>
      </c>
      <c r="C2605" s="9">
        <v>1910</v>
      </c>
      <c r="D2605" s="10">
        <v>45602</v>
      </c>
      <c r="E2605" s="13" t="str">
        <f>+HYPERLINK("http://trademark.i-assist.jp/data/china/image_1910th/80315071.pdf","80315071")</f>
        <v>80315071</v>
      </c>
      <c r="F2605" s="9" t="s">
        <v>7122</v>
      </c>
      <c r="G2605" s="9" t="s">
        <v>7123</v>
      </c>
      <c r="H2605" s="9" t="s">
        <v>7124</v>
      </c>
      <c r="I2605" s="10">
        <v>45516</v>
      </c>
    </row>
    <row r="2606" spans="1:9" x14ac:dyDescent="0.15">
      <c r="A2606" s="9">
        <v>2605</v>
      </c>
      <c r="B2606" s="9" t="s">
        <v>9</v>
      </c>
      <c r="C2606" s="9">
        <v>1910</v>
      </c>
      <c r="D2606" s="10">
        <v>45602</v>
      </c>
      <c r="E2606" s="13" t="str">
        <f>+HYPERLINK("http://trademark.i-assist.jp/data/china/image_1910th/80315089.pdf","80315089")</f>
        <v>80315089</v>
      </c>
      <c r="F2606" s="9" t="s">
        <v>7125</v>
      </c>
      <c r="G2606" s="9" t="s">
        <v>7126</v>
      </c>
      <c r="H2606" s="9" t="s">
        <v>7127</v>
      </c>
      <c r="I2606" s="10">
        <v>45516</v>
      </c>
    </row>
    <row r="2607" spans="1:9" x14ac:dyDescent="0.15">
      <c r="A2607" s="9">
        <v>2606</v>
      </c>
      <c r="B2607" s="9" t="s">
        <v>9</v>
      </c>
      <c r="C2607" s="9">
        <v>1910</v>
      </c>
      <c r="D2607" s="10">
        <v>45602</v>
      </c>
      <c r="E2607" s="13" t="str">
        <f>+HYPERLINK("http://trademark.i-assist.jp/data/china/image_1910th/80315103.pdf","80315103")</f>
        <v>80315103</v>
      </c>
      <c r="F2607" s="9" t="s">
        <v>7128</v>
      </c>
      <c r="G2607" s="11" t="s">
        <v>7129</v>
      </c>
      <c r="H2607" s="9" t="s">
        <v>7130</v>
      </c>
      <c r="I2607" s="10">
        <v>45516</v>
      </c>
    </row>
    <row r="2608" spans="1:9" x14ac:dyDescent="0.15">
      <c r="A2608" s="9">
        <v>2607</v>
      </c>
      <c r="B2608" s="9" t="s">
        <v>9</v>
      </c>
      <c r="C2608" s="9">
        <v>1910</v>
      </c>
      <c r="D2608" s="10">
        <v>45602</v>
      </c>
      <c r="E2608" s="13" t="str">
        <f>+HYPERLINK("http://trademark.i-assist.jp/data/china/image_1910th/80315348.pdf","80315348")</f>
        <v>80315348</v>
      </c>
      <c r="F2608" s="9" t="s">
        <v>7131</v>
      </c>
      <c r="G2608" s="9" t="s">
        <v>7132</v>
      </c>
      <c r="H2608" s="9" t="s">
        <v>7133</v>
      </c>
      <c r="I2608" s="10">
        <v>45516</v>
      </c>
    </row>
    <row r="2609" spans="1:9" x14ac:dyDescent="0.15">
      <c r="A2609" s="9">
        <v>2608</v>
      </c>
      <c r="B2609" s="9" t="s">
        <v>9</v>
      </c>
      <c r="C2609" s="9">
        <v>1910</v>
      </c>
      <c r="D2609" s="10">
        <v>45602</v>
      </c>
      <c r="E2609" s="13" t="str">
        <f>+HYPERLINK("http://trademark.i-assist.jp/data/china/image_1910th/80315360.pdf","80315360")</f>
        <v>80315360</v>
      </c>
      <c r="F2609" s="9" t="s">
        <v>7134</v>
      </c>
      <c r="G2609" s="9" t="s">
        <v>7135</v>
      </c>
      <c r="H2609" s="9" t="s">
        <v>7136</v>
      </c>
      <c r="I2609" s="10">
        <v>45516</v>
      </c>
    </row>
    <row r="2610" spans="1:9" x14ac:dyDescent="0.15">
      <c r="A2610" s="9">
        <v>2609</v>
      </c>
      <c r="B2610" s="9" t="s">
        <v>9</v>
      </c>
      <c r="C2610" s="9">
        <v>1910</v>
      </c>
      <c r="D2610" s="10">
        <v>45602</v>
      </c>
      <c r="E2610" s="13" t="str">
        <f>+HYPERLINK("http://trademark.i-assist.jp/data/china/image_1910th/80315649.pdf","80315649")</f>
        <v>80315649</v>
      </c>
      <c r="F2610" s="9" t="s">
        <v>7137</v>
      </c>
      <c r="G2610" s="9" t="s">
        <v>6924</v>
      </c>
      <c r="H2610" s="9" t="s">
        <v>7138</v>
      </c>
      <c r="I2610" s="10">
        <v>45516</v>
      </c>
    </row>
    <row r="2611" spans="1:9" x14ac:dyDescent="0.15">
      <c r="A2611" s="9">
        <v>2610</v>
      </c>
      <c r="B2611" s="9" t="s">
        <v>9</v>
      </c>
      <c r="C2611" s="9">
        <v>1910</v>
      </c>
      <c r="D2611" s="10">
        <v>45602</v>
      </c>
      <c r="E2611" s="13" t="str">
        <f>+HYPERLINK("http://trademark.i-assist.jp/data/china/image_1910th/80315677.pdf","80315677")</f>
        <v>80315677</v>
      </c>
      <c r="F2611" s="11" t="s">
        <v>7139</v>
      </c>
      <c r="G2611" s="9" t="s">
        <v>6924</v>
      </c>
      <c r="H2611" s="9" t="s">
        <v>7140</v>
      </c>
      <c r="I2611" s="10">
        <v>45516</v>
      </c>
    </row>
    <row r="2612" spans="1:9" x14ac:dyDescent="0.15">
      <c r="A2612" s="9">
        <v>2611</v>
      </c>
      <c r="B2612" s="9" t="s">
        <v>9</v>
      </c>
      <c r="C2612" s="9">
        <v>1910</v>
      </c>
      <c r="D2612" s="10">
        <v>45602</v>
      </c>
      <c r="E2612" s="13" t="str">
        <f>+HYPERLINK("http://trademark.i-assist.jp/data/china/image_1910th/80315890.pdf","80315890")</f>
        <v>80315890</v>
      </c>
      <c r="F2612" s="9" t="s">
        <v>7141</v>
      </c>
      <c r="G2612" s="9" t="s">
        <v>7142</v>
      </c>
      <c r="H2612" s="9" t="s">
        <v>7143</v>
      </c>
      <c r="I2612" s="10">
        <v>45516</v>
      </c>
    </row>
    <row r="2613" spans="1:9" x14ac:dyDescent="0.15">
      <c r="A2613" s="9">
        <v>2612</v>
      </c>
      <c r="B2613" s="9" t="s">
        <v>9</v>
      </c>
      <c r="C2613" s="9">
        <v>1910</v>
      </c>
      <c r="D2613" s="10">
        <v>45602</v>
      </c>
      <c r="E2613" s="13" t="str">
        <f>+HYPERLINK("http://trademark.i-assist.jp/data/china/image_1910th/80315946.pdf","80315946")</f>
        <v>80315946</v>
      </c>
      <c r="F2613" s="9" t="s">
        <v>6955</v>
      </c>
      <c r="G2613" s="9" t="s">
        <v>6956</v>
      </c>
      <c r="H2613" s="9" t="s">
        <v>7144</v>
      </c>
      <c r="I2613" s="10">
        <v>45516</v>
      </c>
    </row>
    <row r="2614" spans="1:9" x14ac:dyDescent="0.15">
      <c r="A2614" s="9">
        <v>2613</v>
      </c>
      <c r="B2614" s="9" t="s">
        <v>9</v>
      </c>
      <c r="C2614" s="9">
        <v>1910</v>
      </c>
      <c r="D2614" s="10">
        <v>45602</v>
      </c>
      <c r="E2614" s="13" t="str">
        <f>+HYPERLINK("http://trademark.i-assist.jp/data/china/image_1910th/80315989.pdf","80315989")</f>
        <v>80315989</v>
      </c>
      <c r="F2614" s="9" t="s">
        <v>7145</v>
      </c>
      <c r="G2614" s="9" t="s">
        <v>7146</v>
      </c>
      <c r="H2614" s="9" t="s">
        <v>7147</v>
      </c>
      <c r="I2614" s="10">
        <v>45516</v>
      </c>
    </row>
    <row r="2615" spans="1:9" x14ac:dyDescent="0.15">
      <c r="A2615" s="9">
        <v>2614</v>
      </c>
      <c r="B2615" s="9" t="s">
        <v>9</v>
      </c>
      <c r="C2615" s="9">
        <v>1910</v>
      </c>
      <c r="D2615" s="10">
        <v>45602</v>
      </c>
      <c r="E2615" s="13" t="str">
        <f>+HYPERLINK("http://trademark.i-assist.jp/data/china/image_1910th/80316045.pdf","80316045")</f>
        <v>80316045</v>
      </c>
      <c r="F2615" s="9" t="s">
        <v>7148</v>
      </c>
      <c r="G2615" s="9" t="s">
        <v>7149</v>
      </c>
      <c r="H2615" s="9" t="s">
        <v>7150</v>
      </c>
      <c r="I2615" s="10">
        <v>45516</v>
      </c>
    </row>
    <row r="2616" spans="1:9" x14ac:dyDescent="0.15">
      <c r="A2616" s="9">
        <v>2615</v>
      </c>
      <c r="B2616" s="9" t="s">
        <v>9</v>
      </c>
      <c r="C2616" s="9">
        <v>1910</v>
      </c>
      <c r="D2616" s="10">
        <v>45602</v>
      </c>
      <c r="E2616" s="13" t="str">
        <f>+HYPERLINK("http://trademark.i-assist.jp/data/china/image_1910th/80316701.pdf","80316701")</f>
        <v>80316701</v>
      </c>
      <c r="F2616" s="11" t="s">
        <v>7151</v>
      </c>
      <c r="G2616" s="9" t="s">
        <v>7152</v>
      </c>
      <c r="H2616" s="9" t="s">
        <v>7153</v>
      </c>
      <c r="I2616" s="10">
        <v>45516</v>
      </c>
    </row>
    <row r="2617" spans="1:9" x14ac:dyDescent="0.15">
      <c r="A2617" s="9">
        <v>2616</v>
      </c>
      <c r="B2617" s="9" t="s">
        <v>9</v>
      </c>
      <c r="C2617" s="9">
        <v>1910</v>
      </c>
      <c r="D2617" s="10">
        <v>45602</v>
      </c>
      <c r="E2617" s="13" t="str">
        <f>+HYPERLINK("http://trademark.i-assist.jp/data/china/image_1910th/80317087.pdf","80317087")</f>
        <v>80317087</v>
      </c>
      <c r="F2617" s="9" t="s">
        <v>7154</v>
      </c>
      <c r="G2617" s="11" t="s">
        <v>6782</v>
      </c>
      <c r="H2617" s="9" t="s">
        <v>7155</v>
      </c>
      <c r="I2617" s="10">
        <v>45516</v>
      </c>
    </row>
    <row r="2618" spans="1:9" x14ac:dyDescent="0.15">
      <c r="A2618" s="9">
        <v>2617</v>
      </c>
      <c r="B2618" s="9" t="s">
        <v>9</v>
      </c>
      <c r="C2618" s="9">
        <v>1910</v>
      </c>
      <c r="D2618" s="10">
        <v>45602</v>
      </c>
      <c r="E2618" s="13" t="str">
        <f>+HYPERLINK("http://trademark.i-assist.jp/data/china/image_1910th/80317102.pdf","80317102")</f>
        <v>80317102</v>
      </c>
      <c r="F2618" s="9" t="s">
        <v>7156</v>
      </c>
      <c r="G2618" s="11" t="s">
        <v>7157</v>
      </c>
      <c r="H2618" s="9" t="s">
        <v>7158</v>
      </c>
      <c r="I2618" s="10">
        <v>45516</v>
      </c>
    </row>
    <row r="2619" spans="1:9" x14ac:dyDescent="0.15">
      <c r="A2619" s="9">
        <v>2618</v>
      </c>
      <c r="B2619" s="9" t="s">
        <v>9</v>
      </c>
      <c r="C2619" s="9">
        <v>1910</v>
      </c>
      <c r="D2619" s="10">
        <v>45602</v>
      </c>
      <c r="E2619" s="13" t="str">
        <f>+HYPERLINK("http://trademark.i-assist.jp/data/china/image_1910th/80317375.pdf","80317375")</f>
        <v>80317375</v>
      </c>
      <c r="F2619" s="9" t="s">
        <v>7159</v>
      </c>
      <c r="G2619" s="9" t="s">
        <v>7160</v>
      </c>
      <c r="H2619" s="9" t="s">
        <v>7161</v>
      </c>
      <c r="I2619" s="10">
        <v>45516</v>
      </c>
    </row>
    <row r="2620" spans="1:9" x14ac:dyDescent="0.15">
      <c r="A2620" s="9">
        <v>2619</v>
      </c>
      <c r="B2620" s="9" t="s">
        <v>9</v>
      </c>
      <c r="C2620" s="9">
        <v>1910</v>
      </c>
      <c r="D2620" s="10">
        <v>45602</v>
      </c>
      <c r="E2620" s="13" t="str">
        <f>+HYPERLINK("http://trademark.i-assist.jp/data/china/image_1910th/80317472.pdf","80317472")</f>
        <v>80317472</v>
      </c>
      <c r="F2620" s="9" t="s">
        <v>7162</v>
      </c>
      <c r="G2620" s="11" t="s">
        <v>7163</v>
      </c>
      <c r="H2620" s="9" t="s">
        <v>7164</v>
      </c>
      <c r="I2620" s="10">
        <v>45516</v>
      </c>
    </row>
    <row r="2621" spans="1:9" x14ac:dyDescent="0.15">
      <c r="A2621" s="9">
        <v>2620</v>
      </c>
      <c r="B2621" s="9" t="s">
        <v>9</v>
      </c>
      <c r="C2621" s="9">
        <v>1910</v>
      </c>
      <c r="D2621" s="10">
        <v>45602</v>
      </c>
      <c r="E2621" s="13" t="str">
        <f>+HYPERLINK("http://trademark.i-assist.jp/data/china/image_1910th/80317539.pdf","80317539")</f>
        <v>80317539</v>
      </c>
      <c r="F2621" s="9" t="s">
        <v>7165</v>
      </c>
      <c r="G2621" s="11" t="s">
        <v>6752</v>
      </c>
      <c r="H2621" s="9" t="s">
        <v>7166</v>
      </c>
      <c r="I2621" s="10">
        <v>45516</v>
      </c>
    </row>
    <row r="2622" spans="1:9" x14ac:dyDescent="0.15">
      <c r="A2622" s="9">
        <v>2621</v>
      </c>
      <c r="B2622" s="9" t="s">
        <v>9</v>
      </c>
      <c r="C2622" s="9">
        <v>1910</v>
      </c>
      <c r="D2622" s="10">
        <v>45602</v>
      </c>
      <c r="E2622" s="13" t="str">
        <f>+HYPERLINK("http://trademark.i-assist.jp/data/china/image_1910th/80317547.pdf","80317547")</f>
        <v>80317547</v>
      </c>
      <c r="F2622" s="9" t="s">
        <v>7167</v>
      </c>
      <c r="G2622" s="11" t="s">
        <v>6752</v>
      </c>
      <c r="H2622" s="9" t="s">
        <v>7168</v>
      </c>
      <c r="I2622" s="10">
        <v>45516</v>
      </c>
    </row>
    <row r="2623" spans="1:9" x14ac:dyDescent="0.15">
      <c r="A2623" s="9">
        <v>2622</v>
      </c>
      <c r="B2623" s="9" t="s">
        <v>9</v>
      </c>
      <c r="C2623" s="9">
        <v>1910</v>
      </c>
      <c r="D2623" s="10">
        <v>45602</v>
      </c>
      <c r="E2623" s="13" t="str">
        <f>+HYPERLINK("http://trademark.i-assist.jp/data/china/image_1910th/80317642.pdf","80317642")</f>
        <v>80317642</v>
      </c>
      <c r="F2623" s="9" t="s">
        <v>7169</v>
      </c>
      <c r="G2623" s="9" t="s">
        <v>6825</v>
      </c>
      <c r="H2623" s="11" t="s">
        <v>7170</v>
      </c>
      <c r="I2623" s="10">
        <v>45516</v>
      </c>
    </row>
    <row r="2624" spans="1:9" x14ac:dyDescent="0.15">
      <c r="A2624" s="9">
        <v>2623</v>
      </c>
      <c r="B2624" s="9" t="s">
        <v>9</v>
      </c>
      <c r="C2624" s="9">
        <v>1910</v>
      </c>
      <c r="D2624" s="10">
        <v>45602</v>
      </c>
      <c r="E2624" s="13" t="str">
        <f>+HYPERLINK("http://trademark.i-assist.jp/data/china/image_1910th/80317825.pdf","80317825")</f>
        <v>80317825</v>
      </c>
      <c r="F2624" s="9" t="s">
        <v>7171</v>
      </c>
      <c r="G2624" s="9" t="s">
        <v>7172</v>
      </c>
      <c r="H2624" s="9" t="s">
        <v>7173</v>
      </c>
      <c r="I2624" s="10">
        <v>45516</v>
      </c>
    </row>
    <row r="2625" spans="1:9" x14ac:dyDescent="0.15">
      <c r="A2625" s="9">
        <v>2624</v>
      </c>
      <c r="B2625" s="9" t="s">
        <v>9</v>
      </c>
      <c r="C2625" s="9">
        <v>1910</v>
      </c>
      <c r="D2625" s="10">
        <v>45602</v>
      </c>
      <c r="E2625" s="13" t="str">
        <f>+HYPERLINK("http://trademark.i-assist.jp/data/china/image_1910th/80317998.pdf","80317998")</f>
        <v>80317998</v>
      </c>
      <c r="F2625" s="9" t="s">
        <v>7174</v>
      </c>
      <c r="G2625" s="11" t="s">
        <v>6779</v>
      </c>
      <c r="H2625" s="9" t="s">
        <v>7175</v>
      </c>
      <c r="I2625" s="10">
        <v>45516</v>
      </c>
    </row>
    <row r="2626" spans="1:9" x14ac:dyDescent="0.15">
      <c r="A2626" s="9">
        <v>2625</v>
      </c>
      <c r="B2626" s="9" t="s">
        <v>9</v>
      </c>
      <c r="C2626" s="9">
        <v>1910</v>
      </c>
      <c r="D2626" s="10">
        <v>45602</v>
      </c>
      <c r="E2626" s="13" t="str">
        <f>+HYPERLINK("http://trademark.i-assist.jp/data/china/image_1910th/80318007.pdf","80318007")</f>
        <v>80318007</v>
      </c>
      <c r="F2626" s="9" t="s">
        <v>7176</v>
      </c>
      <c r="G2626" s="9" t="s">
        <v>7177</v>
      </c>
      <c r="H2626" s="9" t="s">
        <v>7178</v>
      </c>
      <c r="I2626" s="10">
        <v>45516</v>
      </c>
    </row>
    <row r="2627" spans="1:9" x14ac:dyDescent="0.15">
      <c r="A2627" s="9">
        <v>2626</v>
      </c>
      <c r="B2627" s="9" t="s">
        <v>9</v>
      </c>
      <c r="C2627" s="9">
        <v>1910</v>
      </c>
      <c r="D2627" s="10">
        <v>45602</v>
      </c>
      <c r="E2627" s="13" t="str">
        <f>+HYPERLINK("http://trademark.i-assist.jp/data/china/image_1910th/80318026.pdf","80318026")</f>
        <v>80318026</v>
      </c>
      <c r="F2627" s="9" t="s">
        <v>7179</v>
      </c>
      <c r="G2627" s="9" t="s">
        <v>6924</v>
      </c>
      <c r="H2627" s="9" t="s">
        <v>7180</v>
      </c>
      <c r="I2627" s="10">
        <v>45516</v>
      </c>
    </row>
    <row r="2628" spans="1:9" x14ac:dyDescent="0.15">
      <c r="A2628" s="9">
        <v>2627</v>
      </c>
      <c r="B2628" s="9" t="s">
        <v>9</v>
      </c>
      <c r="C2628" s="9">
        <v>1910</v>
      </c>
      <c r="D2628" s="10">
        <v>45602</v>
      </c>
      <c r="E2628" s="13" t="str">
        <f>+HYPERLINK("http://trademark.i-assist.jp/data/china/image_1910th/80318096.pdf","80318096")</f>
        <v>80318096</v>
      </c>
      <c r="F2628" s="9" t="s">
        <v>7181</v>
      </c>
      <c r="G2628" s="9" t="s">
        <v>7182</v>
      </c>
      <c r="H2628" s="9" t="s">
        <v>7183</v>
      </c>
      <c r="I2628" s="10">
        <v>45516</v>
      </c>
    </row>
    <row r="2629" spans="1:9" x14ac:dyDescent="0.15">
      <c r="A2629" s="9">
        <v>2628</v>
      </c>
      <c r="B2629" s="9" t="s">
        <v>9</v>
      </c>
      <c r="C2629" s="9">
        <v>1910</v>
      </c>
      <c r="D2629" s="10">
        <v>45602</v>
      </c>
      <c r="E2629" s="13" t="str">
        <f>+HYPERLINK("http://trademark.i-assist.jp/data/china/image_1910th/80318097.pdf","80318097")</f>
        <v>80318097</v>
      </c>
      <c r="F2629" s="9" t="s">
        <v>7184</v>
      </c>
      <c r="G2629" s="9" t="s">
        <v>7185</v>
      </c>
      <c r="H2629" s="9" t="s">
        <v>7186</v>
      </c>
      <c r="I2629" s="10">
        <v>45516</v>
      </c>
    </row>
    <row r="2630" spans="1:9" x14ac:dyDescent="0.15">
      <c r="A2630" s="9">
        <v>2629</v>
      </c>
      <c r="B2630" s="9" t="s">
        <v>9</v>
      </c>
      <c r="C2630" s="9">
        <v>1910</v>
      </c>
      <c r="D2630" s="10">
        <v>45602</v>
      </c>
      <c r="E2630" s="13" t="str">
        <f>+HYPERLINK("http://trademark.i-assist.jp/data/china/image_1910th/80318229.pdf","80318229")</f>
        <v>80318229</v>
      </c>
      <c r="F2630" s="9" t="s">
        <v>7187</v>
      </c>
      <c r="G2630" s="11" t="s">
        <v>6953</v>
      </c>
      <c r="H2630" s="9" t="s">
        <v>7188</v>
      </c>
      <c r="I2630" s="10">
        <v>45516</v>
      </c>
    </row>
    <row r="2631" spans="1:9" x14ac:dyDescent="0.15">
      <c r="A2631" s="9">
        <v>2630</v>
      </c>
      <c r="B2631" s="9" t="s">
        <v>9</v>
      </c>
      <c r="C2631" s="9">
        <v>1910</v>
      </c>
      <c r="D2631" s="10">
        <v>45602</v>
      </c>
      <c r="E2631" s="13" t="str">
        <f>+HYPERLINK("http://trademark.i-assist.jp/data/china/image_1910th/80318242.pdf","80318242")</f>
        <v>80318242</v>
      </c>
      <c r="F2631" s="9" t="s">
        <v>7189</v>
      </c>
      <c r="G2631" s="11" t="s">
        <v>6953</v>
      </c>
      <c r="H2631" s="9" t="s">
        <v>7190</v>
      </c>
      <c r="I2631" s="10">
        <v>45516</v>
      </c>
    </row>
    <row r="2632" spans="1:9" x14ac:dyDescent="0.15">
      <c r="A2632" s="9">
        <v>2631</v>
      </c>
      <c r="B2632" s="9" t="s">
        <v>9</v>
      </c>
      <c r="C2632" s="9">
        <v>1910</v>
      </c>
      <c r="D2632" s="10">
        <v>45602</v>
      </c>
      <c r="E2632" s="13" t="str">
        <f>+HYPERLINK("http://trademark.i-assist.jp/data/china/image_1910th/80318825.pdf","80318825")</f>
        <v>80318825</v>
      </c>
      <c r="F2632" s="9" t="s">
        <v>7191</v>
      </c>
      <c r="G2632" s="11" t="s">
        <v>6782</v>
      </c>
      <c r="H2632" s="9" t="s">
        <v>7192</v>
      </c>
      <c r="I2632" s="10">
        <v>45516</v>
      </c>
    </row>
    <row r="2633" spans="1:9" x14ac:dyDescent="0.15">
      <c r="A2633" s="9">
        <v>2632</v>
      </c>
      <c r="B2633" s="9" t="s">
        <v>9</v>
      </c>
      <c r="C2633" s="9">
        <v>1910</v>
      </c>
      <c r="D2633" s="10">
        <v>45602</v>
      </c>
      <c r="E2633" s="13" t="str">
        <f>+HYPERLINK("http://trademark.i-assist.jp/data/china/image_1910th/80319143.pdf","80319143")</f>
        <v>80319143</v>
      </c>
      <c r="F2633" s="9" t="s">
        <v>7193</v>
      </c>
      <c r="G2633" s="9" t="s">
        <v>7160</v>
      </c>
      <c r="H2633" s="9" t="s">
        <v>7194</v>
      </c>
      <c r="I2633" s="10">
        <v>45516</v>
      </c>
    </row>
    <row r="2634" spans="1:9" x14ac:dyDescent="0.15">
      <c r="A2634" s="9">
        <v>2633</v>
      </c>
      <c r="B2634" s="9" t="s">
        <v>9</v>
      </c>
      <c r="C2634" s="9">
        <v>1910</v>
      </c>
      <c r="D2634" s="10">
        <v>45602</v>
      </c>
      <c r="E2634" s="13" t="str">
        <f>+HYPERLINK("http://trademark.i-assist.jp/data/china/image_1910th/80319312.pdf","80319312")</f>
        <v>80319312</v>
      </c>
      <c r="F2634" s="9" t="s">
        <v>7195</v>
      </c>
      <c r="G2634" s="11" t="s">
        <v>7129</v>
      </c>
      <c r="H2634" s="11" t="s">
        <v>7196</v>
      </c>
      <c r="I2634" s="10">
        <v>45516</v>
      </c>
    </row>
    <row r="2635" spans="1:9" x14ac:dyDescent="0.15">
      <c r="A2635" s="9">
        <v>2634</v>
      </c>
      <c r="B2635" s="9" t="s">
        <v>9</v>
      </c>
      <c r="C2635" s="9">
        <v>1910</v>
      </c>
      <c r="D2635" s="10">
        <v>45602</v>
      </c>
      <c r="E2635" s="13" t="str">
        <f>+HYPERLINK("http://trademark.i-assist.jp/data/china/image_1910th/80319334.pdf","80319334")</f>
        <v>80319334</v>
      </c>
      <c r="F2635" s="9" t="s">
        <v>7197</v>
      </c>
      <c r="G2635" s="9" t="s">
        <v>7198</v>
      </c>
      <c r="H2635" s="9" t="s">
        <v>7199</v>
      </c>
      <c r="I2635" s="10">
        <v>45516</v>
      </c>
    </row>
    <row r="2636" spans="1:9" x14ac:dyDescent="0.15">
      <c r="A2636" s="9">
        <v>2635</v>
      </c>
      <c r="B2636" s="9" t="s">
        <v>9</v>
      </c>
      <c r="C2636" s="9">
        <v>1910</v>
      </c>
      <c r="D2636" s="10">
        <v>45602</v>
      </c>
      <c r="E2636" s="13" t="str">
        <f>+HYPERLINK("http://trademark.i-assist.jp/data/china/image_1910th/80319738.pdf","80319738")</f>
        <v>80319738</v>
      </c>
      <c r="F2636" s="9" t="s">
        <v>7200</v>
      </c>
      <c r="G2636" s="11" t="s">
        <v>7201</v>
      </c>
      <c r="H2636" s="9" t="s">
        <v>7202</v>
      </c>
      <c r="I2636" s="10">
        <v>45516</v>
      </c>
    </row>
    <row r="2637" spans="1:9" x14ac:dyDescent="0.15">
      <c r="A2637" s="9">
        <v>2636</v>
      </c>
      <c r="B2637" s="9" t="s">
        <v>9</v>
      </c>
      <c r="C2637" s="9">
        <v>1910</v>
      </c>
      <c r="D2637" s="10">
        <v>45602</v>
      </c>
      <c r="E2637" s="13" t="str">
        <f>+HYPERLINK("http://trademark.i-assist.jp/data/china/image_1910th/80319858.pdf","80319858")</f>
        <v>80319858</v>
      </c>
      <c r="F2637" s="9" t="s">
        <v>7203</v>
      </c>
      <c r="G2637" s="12" t="s">
        <v>7204</v>
      </c>
      <c r="H2637" s="9" t="s">
        <v>7205</v>
      </c>
      <c r="I2637" s="10">
        <v>45516</v>
      </c>
    </row>
    <row r="2638" spans="1:9" x14ac:dyDescent="0.15">
      <c r="A2638" s="9">
        <v>2637</v>
      </c>
      <c r="B2638" s="9" t="s">
        <v>9</v>
      </c>
      <c r="C2638" s="9">
        <v>1910</v>
      </c>
      <c r="D2638" s="10">
        <v>45602</v>
      </c>
      <c r="E2638" s="13" t="str">
        <f>+HYPERLINK("http://trademark.i-assist.jp/data/china/image_1910th/80319988.pdf","80319988")</f>
        <v>80319988</v>
      </c>
      <c r="F2638" s="9" t="s">
        <v>7206</v>
      </c>
      <c r="G2638" s="11" t="s">
        <v>7207</v>
      </c>
      <c r="H2638" s="11" t="s">
        <v>7208</v>
      </c>
      <c r="I2638" s="10">
        <v>45516</v>
      </c>
    </row>
    <row r="2639" spans="1:9" x14ac:dyDescent="0.15">
      <c r="A2639" s="9">
        <v>2638</v>
      </c>
      <c r="B2639" s="9" t="s">
        <v>9</v>
      </c>
      <c r="C2639" s="9">
        <v>1910</v>
      </c>
      <c r="D2639" s="10">
        <v>45602</v>
      </c>
      <c r="E2639" s="13" t="str">
        <f>+HYPERLINK("http://trademark.i-assist.jp/data/china/image_1910th/80320033.pdf","80320033")</f>
        <v>80320033</v>
      </c>
      <c r="F2639" s="9" t="s">
        <v>7209</v>
      </c>
      <c r="G2639" s="11" t="s">
        <v>6782</v>
      </c>
      <c r="H2639" s="11" t="s">
        <v>7210</v>
      </c>
      <c r="I2639" s="10">
        <v>45516</v>
      </c>
    </row>
    <row r="2640" spans="1:9" x14ac:dyDescent="0.15">
      <c r="A2640" s="9">
        <v>2639</v>
      </c>
      <c r="B2640" s="9" t="s">
        <v>9</v>
      </c>
      <c r="C2640" s="9">
        <v>1910</v>
      </c>
      <c r="D2640" s="10">
        <v>45602</v>
      </c>
      <c r="E2640" s="13" t="str">
        <f>+HYPERLINK("http://trademark.i-assist.jp/data/china/image_1910th/80320057.pdf","80320057")</f>
        <v>80320057</v>
      </c>
      <c r="F2640" s="9" t="s">
        <v>7211</v>
      </c>
      <c r="G2640" s="11" t="s">
        <v>6782</v>
      </c>
      <c r="H2640" s="9" t="s">
        <v>7212</v>
      </c>
      <c r="I2640" s="10">
        <v>45516</v>
      </c>
    </row>
    <row r="2641" spans="1:9" x14ac:dyDescent="0.15">
      <c r="A2641" s="9">
        <v>2640</v>
      </c>
      <c r="B2641" s="9" t="s">
        <v>9</v>
      </c>
      <c r="C2641" s="9">
        <v>1910</v>
      </c>
      <c r="D2641" s="10">
        <v>45602</v>
      </c>
      <c r="E2641" s="13" t="str">
        <f>+HYPERLINK("http://trademark.i-assist.jp/data/china/image_1910th/80320222.pdf","80320222")</f>
        <v>80320222</v>
      </c>
      <c r="F2641" s="11" t="s">
        <v>7213</v>
      </c>
      <c r="G2641" s="9" t="s">
        <v>6910</v>
      </c>
      <c r="H2641" s="9" t="s">
        <v>7214</v>
      </c>
      <c r="I2641" s="10">
        <v>45516</v>
      </c>
    </row>
    <row r="2642" spans="1:9" x14ac:dyDescent="0.15">
      <c r="A2642" s="9">
        <v>2641</v>
      </c>
      <c r="B2642" s="9" t="s">
        <v>9</v>
      </c>
      <c r="C2642" s="9">
        <v>1910</v>
      </c>
      <c r="D2642" s="10">
        <v>45602</v>
      </c>
      <c r="E2642" s="13" t="str">
        <f>+HYPERLINK("http://trademark.i-assist.jp/data/china/image_1910th/80320233.pdf","80320233")</f>
        <v>80320233</v>
      </c>
      <c r="F2642" s="9" t="s">
        <v>7215</v>
      </c>
      <c r="G2642" s="9" t="s">
        <v>6910</v>
      </c>
      <c r="H2642" s="9" t="s">
        <v>7216</v>
      </c>
      <c r="I2642" s="10">
        <v>45516</v>
      </c>
    </row>
    <row r="2643" spans="1:9" x14ac:dyDescent="0.15">
      <c r="A2643" s="9">
        <v>2642</v>
      </c>
      <c r="B2643" s="9" t="s">
        <v>9</v>
      </c>
      <c r="C2643" s="9">
        <v>1910</v>
      </c>
      <c r="D2643" s="10">
        <v>45602</v>
      </c>
      <c r="E2643" s="13" t="str">
        <f>+HYPERLINK("http://trademark.i-assist.jp/data/china/image_1910th/80320235.pdf","80320235")</f>
        <v>80320235</v>
      </c>
      <c r="F2643" s="9" t="s">
        <v>7217</v>
      </c>
      <c r="G2643" s="9" t="s">
        <v>7218</v>
      </c>
      <c r="H2643" s="11" t="s">
        <v>7219</v>
      </c>
      <c r="I2643" s="10">
        <v>45516</v>
      </c>
    </row>
    <row r="2644" spans="1:9" x14ac:dyDescent="0.15">
      <c r="A2644" s="9">
        <v>2643</v>
      </c>
      <c r="B2644" s="9" t="s">
        <v>9</v>
      </c>
      <c r="C2644" s="9">
        <v>1910</v>
      </c>
      <c r="D2644" s="10">
        <v>45602</v>
      </c>
      <c r="E2644" s="13" t="str">
        <f>+HYPERLINK("http://trademark.i-assist.jp/data/china/image_1910th/80320281.pdf","80320281")</f>
        <v>80320281</v>
      </c>
      <c r="F2644" s="11" t="s">
        <v>19</v>
      </c>
      <c r="G2644" s="9" t="s">
        <v>7220</v>
      </c>
      <c r="H2644" s="9" t="s">
        <v>7221</v>
      </c>
      <c r="I2644" s="10">
        <v>45516</v>
      </c>
    </row>
    <row r="2645" spans="1:9" x14ac:dyDescent="0.15">
      <c r="A2645" s="9">
        <v>2644</v>
      </c>
      <c r="B2645" s="9" t="s">
        <v>9</v>
      </c>
      <c r="C2645" s="9">
        <v>1910</v>
      </c>
      <c r="D2645" s="10">
        <v>45602</v>
      </c>
      <c r="E2645" s="13" t="str">
        <f>+HYPERLINK("http://trademark.i-assist.jp/data/china/image_1910th/80320334.pdf","80320334")</f>
        <v>80320334</v>
      </c>
      <c r="F2645" s="9" t="s">
        <v>7222</v>
      </c>
      <c r="G2645" s="9" t="s">
        <v>6761</v>
      </c>
      <c r="H2645" s="9" t="s">
        <v>7223</v>
      </c>
      <c r="I2645" s="10">
        <v>45516</v>
      </c>
    </row>
    <row r="2646" spans="1:9" x14ac:dyDescent="0.15">
      <c r="A2646" s="9">
        <v>2645</v>
      </c>
      <c r="B2646" s="9" t="s">
        <v>9</v>
      </c>
      <c r="C2646" s="9">
        <v>1910</v>
      </c>
      <c r="D2646" s="10">
        <v>45602</v>
      </c>
      <c r="E2646" s="13" t="str">
        <f>+HYPERLINK("http://trademark.i-assist.jp/data/china/image_1910th/80320346.pdf","80320346")</f>
        <v>80320346</v>
      </c>
      <c r="F2646" s="9" t="s">
        <v>6757</v>
      </c>
      <c r="G2646" s="11" t="s">
        <v>6758</v>
      </c>
      <c r="H2646" s="9" t="s">
        <v>7224</v>
      </c>
      <c r="I2646" s="10">
        <v>45516</v>
      </c>
    </row>
    <row r="2647" spans="1:9" x14ac:dyDescent="0.15">
      <c r="A2647" s="9">
        <v>2646</v>
      </c>
      <c r="B2647" s="9" t="s">
        <v>9</v>
      </c>
      <c r="C2647" s="9">
        <v>1910</v>
      </c>
      <c r="D2647" s="10">
        <v>45602</v>
      </c>
      <c r="E2647" s="13" t="str">
        <f>+HYPERLINK("http://trademark.i-assist.jp/data/china/image_1910th/80320357.pdf","80320357")</f>
        <v>80320357</v>
      </c>
      <c r="F2647" s="9" t="s">
        <v>7225</v>
      </c>
      <c r="G2647" s="9" t="s">
        <v>7226</v>
      </c>
      <c r="H2647" s="9" t="s">
        <v>7227</v>
      </c>
      <c r="I2647" s="10">
        <v>45516</v>
      </c>
    </row>
    <row r="2648" spans="1:9" x14ac:dyDescent="0.15">
      <c r="A2648" s="9">
        <v>2647</v>
      </c>
      <c r="B2648" s="9" t="s">
        <v>9</v>
      </c>
      <c r="C2648" s="9">
        <v>1910</v>
      </c>
      <c r="D2648" s="10">
        <v>45602</v>
      </c>
      <c r="E2648" s="13" t="str">
        <f>+HYPERLINK("http://trademark.i-assist.jp/data/china/image_1910th/80320447.pdf","80320447")</f>
        <v>80320447</v>
      </c>
      <c r="F2648" s="9" t="s">
        <v>7228</v>
      </c>
      <c r="G2648" s="9" t="s">
        <v>7229</v>
      </c>
      <c r="H2648" s="9" t="s">
        <v>7230</v>
      </c>
      <c r="I2648" s="10">
        <v>45516</v>
      </c>
    </row>
    <row r="2649" spans="1:9" x14ac:dyDescent="0.15">
      <c r="A2649" s="9">
        <v>2648</v>
      </c>
      <c r="B2649" s="9" t="s">
        <v>9</v>
      </c>
      <c r="C2649" s="9">
        <v>1910</v>
      </c>
      <c r="D2649" s="10">
        <v>45602</v>
      </c>
      <c r="E2649" s="13" t="str">
        <f>+HYPERLINK("http://trademark.i-assist.jp/data/china/image_1910th/80320493.pdf","80320493")</f>
        <v>80320493</v>
      </c>
      <c r="F2649" s="11" t="s">
        <v>7231</v>
      </c>
      <c r="G2649" s="9" t="s">
        <v>7232</v>
      </c>
      <c r="H2649" s="9" t="s">
        <v>7233</v>
      </c>
      <c r="I2649" s="10">
        <v>45516</v>
      </c>
    </row>
    <row r="2650" spans="1:9" x14ac:dyDescent="0.15">
      <c r="A2650" s="9">
        <v>2649</v>
      </c>
      <c r="B2650" s="9" t="s">
        <v>9</v>
      </c>
      <c r="C2650" s="9">
        <v>1910</v>
      </c>
      <c r="D2650" s="10">
        <v>45602</v>
      </c>
      <c r="E2650" s="13" t="str">
        <f>+HYPERLINK("http://trademark.i-assist.jp/data/china/image_1910th/80320511.pdf","80320511")</f>
        <v>80320511</v>
      </c>
      <c r="F2650" s="9" t="s">
        <v>7234</v>
      </c>
      <c r="G2650" s="9" t="s">
        <v>7235</v>
      </c>
      <c r="H2650" s="11" t="s">
        <v>7236</v>
      </c>
      <c r="I2650" s="10">
        <v>45516</v>
      </c>
    </row>
    <row r="2651" spans="1:9" x14ac:dyDescent="0.15">
      <c r="A2651" s="9">
        <v>2650</v>
      </c>
      <c r="B2651" s="9" t="s">
        <v>9</v>
      </c>
      <c r="C2651" s="9">
        <v>1910</v>
      </c>
      <c r="D2651" s="10">
        <v>45602</v>
      </c>
      <c r="E2651" s="13" t="str">
        <f>+HYPERLINK("http://trademark.i-assist.jp/data/china/image_1910th/80320591.pdf","80320591")</f>
        <v>80320591</v>
      </c>
      <c r="F2651" s="9" t="s">
        <v>7237</v>
      </c>
      <c r="G2651" s="11" t="s">
        <v>6776</v>
      </c>
      <c r="H2651" s="9" t="s">
        <v>7238</v>
      </c>
      <c r="I2651" s="10">
        <v>45516</v>
      </c>
    </row>
    <row r="2652" spans="1:9" x14ac:dyDescent="0.15">
      <c r="A2652" s="9">
        <v>2651</v>
      </c>
      <c r="B2652" s="9" t="s">
        <v>9</v>
      </c>
      <c r="C2652" s="9">
        <v>1910</v>
      </c>
      <c r="D2652" s="10">
        <v>45602</v>
      </c>
      <c r="E2652" s="13" t="str">
        <f>+HYPERLINK("http://trademark.i-assist.jp/data/china/image_1910th/80320630.pdf","80320630")</f>
        <v>80320630</v>
      </c>
      <c r="F2652" s="9" t="s">
        <v>7239</v>
      </c>
      <c r="G2652" s="9" t="s">
        <v>7240</v>
      </c>
      <c r="H2652" s="9" t="s">
        <v>7241</v>
      </c>
      <c r="I2652" s="10">
        <v>45516</v>
      </c>
    </row>
    <row r="2653" spans="1:9" x14ac:dyDescent="0.15">
      <c r="A2653" s="9">
        <v>2652</v>
      </c>
      <c r="B2653" s="9" t="s">
        <v>9</v>
      </c>
      <c r="C2653" s="9">
        <v>1910</v>
      </c>
      <c r="D2653" s="10">
        <v>45602</v>
      </c>
      <c r="E2653" s="13" t="str">
        <f>+HYPERLINK("http://trademark.i-assist.jp/data/china/image_1910th/80320637.pdf","80320637")</f>
        <v>80320637</v>
      </c>
      <c r="F2653" s="9" t="s">
        <v>7242</v>
      </c>
      <c r="G2653" s="11" t="s">
        <v>6776</v>
      </c>
      <c r="H2653" s="9" t="s">
        <v>7243</v>
      </c>
      <c r="I2653" s="10">
        <v>45516</v>
      </c>
    </row>
    <row r="2654" spans="1:9" x14ac:dyDescent="0.15">
      <c r="A2654" s="9">
        <v>2653</v>
      </c>
      <c r="B2654" s="9" t="s">
        <v>9</v>
      </c>
      <c r="C2654" s="9">
        <v>1910</v>
      </c>
      <c r="D2654" s="10">
        <v>45602</v>
      </c>
      <c r="E2654" s="13" t="str">
        <f>+HYPERLINK("http://trademark.i-assist.jp/data/china/image_1910th/80320644.pdf","80320644")</f>
        <v>80320644</v>
      </c>
      <c r="F2654" s="9" t="s">
        <v>7244</v>
      </c>
      <c r="G2654" s="11" t="s">
        <v>6776</v>
      </c>
      <c r="H2654" s="9" t="s">
        <v>7245</v>
      </c>
      <c r="I2654" s="10">
        <v>45516</v>
      </c>
    </row>
    <row r="2655" spans="1:9" x14ac:dyDescent="0.15">
      <c r="A2655" s="9">
        <v>2654</v>
      </c>
      <c r="B2655" s="9" t="s">
        <v>9</v>
      </c>
      <c r="C2655" s="9">
        <v>1910</v>
      </c>
      <c r="D2655" s="10">
        <v>45602</v>
      </c>
      <c r="E2655" s="13" t="str">
        <f>+HYPERLINK("http://trademark.i-assist.jp/data/china/image_1910th/80320742.pdf","80320742")</f>
        <v>80320742</v>
      </c>
      <c r="F2655" s="9" t="s">
        <v>7246</v>
      </c>
      <c r="G2655" s="9" t="s">
        <v>7247</v>
      </c>
      <c r="H2655" s="9" t="s">
        <v>7248</v>
      </c>
      <c r="I2655" s="10">
        <v>45516</v>
      </c>
    </row>
    <row r="2656" spans="1:9" x14ac:dyDescent="0.15">
      <c r="A2656" s="9">
        <v>2655</v>
      </c>
      <c r="B2656" s="9" t="s">
        <v>9</v>
      </c>
      <c r="C2656" s="9">
        <v>1910</v>
      </c>
      <c r="D2656" s="10">
        <v>45602</v>
      </c>
      <c r="E2656" s="13" t="str">
        <f>+HYPERLINK("http://trademark.i-assist.jp/data/china/image_1910th/80320810.pdf","80320810")</f>
        <v>80320810</v>
      </c>
      <c r="F2656" s="11" t="s">
        <v>7249</v>
      </c>
      <c r="G2656" s="9" t="s">
        <v>6764</v>
      </c>
      <c r="H2656" s="9" t="s">
        <v>7250</v>
      </c>
      <c r="I2656" s="10">
        <v>45516</v>
      </c>
    </row>
    <row r="2657" spans="1:9" x14ac:dyDescent="0.15">
      <c r="A2657" s="9">
        <v>2656</v>
      </c>
      <c r="B2657" s="9" t="s">
        <v>9</v>
      </c>
      <c r="C2657" s="9">
        <v>1910</v>
      </c>
      <c r="D2657" s="10">
        <v>45602</v>
      </c>
      <c r="E2657" s="13" t="str">
        <f>+HYPERLINK("http://trademark.i-assist.jp/data/china/image_1910th/80320815.pdf","80320815")</f>
        <v>80320815</v>
      </c>
      <c r="F2657" s="9" t="s">
        <v>7251</v>
      </c>
      <c r="G2657" s="9" t="s">
        <v>7086</v>
      </c>
      <c r="H2657" s="9" t="s">
        <v>7252</v>
      </c>
      <c r="I2657" s="10">
        <v>45516</v>
      </c>
    </row>
    <row r="2658" spans="1:9" x14ac:dyDescent="0.15">
      <c r="A2658" s="9">
        <v>2657</v>
      </c>
      <c r="B2658" s="9" t="s">
        <v>9</v>
      </c>
      <c r="C2658" s="9">
        <v>1910</v>
      </c>
      <c r="D2658" s="10">
        <v>45602</v>
      </c>
      <c r="E2658" s="13" t="str">
        <f>+HYPERLINK("http://trademark.i-assist.jp/data/china/image_1910th/80320899.pdf","80320899")</f>
        <v>80320899</v>
      </c>
      <c r="F2658" s="9" t="s">
        <v>7253</v>
      </c>
      <c r="G2658" s="9" t="s">
        <v>7254</v>
      </c>
      <c r="H2658" s="9" t="s">
        <v>7255</v>
      </c>
      <c r="I2658" s="10">
        <v>45516</v>
      </c>
    </row>
    <row r="2659" spans="1:9" x14ac:dyDescent="0.15">
      <c r="A2659" s="9">
        <v>2658</v>
      </c>
      <c r="B2659" s="9" t="s">
        <v>9</v>
      </c>
      <c r="C2659" s="9">
        <v>1910</v>
      </c>
      <c r="D2659" s="10">
        <v>45602</v>
      </c>
      <c r="E2659" s="13" t="str">
        <f>+HYPERLINK("http://trademark.i-assist.jp/data/china/image_1910th/80321016.pdf","80321016")</f>
        <v>80321016</v>
      </c>
      <c r="F2659" s="11" t="s">
        <v>19</v>
      </c>
      <c r="G2659" s="9" t="s">
        <v>7256</v>
      </c>
      <c r="H2659" s="11" t="s">
        <v>7257</v>
      </c>
      <c r="I2659" s="10">
        <v>45516</v>
      </c>
    </row>
    <row r="2660" spans="1:9" x14ac:dyDescent="0.15">
      <c r="A2660" s="9">
        <v>2659</v>
      </c>
      <c r="B2660" s="9" t="s">
        <v>9</v>
      </c>
      <c r="C2660" s="9">
        <v>1910</v>
      </c>
      <c r="D2660" s="10">
        <v>45602</v>
      </c>
      <c r="E2660" s="13" t="str">
        <f>+HYPERLINK("http://trademark.i-assist.jp/data/china/image_1910th/80321255.pdf","80321255")</f>
        <v>80321255</v>
      </c>
      <c r="F2660" s="11" t="s">
        <v>7258</v>
      </c>
      <c r="G2660" s="9" t="s">
        <v>6761</v>
      </c>
      <c r="H2660" s="9" t="s">
        <v>7259</v>
      </c>
      <c r="I2660" s="10">
        <v>45516</v>
      </c>
    </row>
    <row r="2661" spans="1:9" x14ac:dyDescent="0.15">
      <c r="A2661" s="9">
        <v>2660</v>
      </c>
      <c r="B2661" s="9" t="s">
        <v>9</v>
      </c>
      <c r="C2661" s="9">
        <v>1910</v>
      </c>
      <c r="D2661" s="10">
        <v>45602</v>
      </c>
      <c r="E2661" s="13" t="str">
        <f>+HYPERLINK("http://trademark.i-assist.jp/data/china/image_1910th/80321305.pdf","80321305")</f>
        <v>80321305</v>
      </c>
      <c r="F2661" s="9" t="s">
        <v>7260</v>
      </c>
      <c r="G2661" s="9" t="s">
        <v>7261</v>
      </c>
      <c r="H2661" s="9" t="s">
        <v>7262</v>
      </c>
      <c r="I2661" s="10">
        <v>45516</v>
      </c>
    </row>
    <row r="2662" spans="1:9" x14ac:dyDescent="0.15">
      <c r="A2662" s="9">
        <v>2661</v>
      </c>
      <c r="B2662" s="9" t="s">
        <v>9</v>
      </c>
      <c r="C2662" s="9">
        <v>1910</v>
      </c>
      <c r="D2662" s="10">
        <v>45602</v>
      </c>
      <c r="E2662" s="13" t="str">
        <f>+HYPERLINK("http://trademark.i-assist.jp/data/china/image_1910th/80321606.pdf","80321606")</f>
        <v>80321606</v>
      </c>
      <c r="F2662" s="9" t="s">
        <v>7263</v>
      </c>
      <c r="G2662" s="11" t="s">
        <v>7264</v>
      </c>
      <c r="H2662" s="9" t="s">
        <v>7265</v>
      </c>
      <c r="I2662" s="10">
        <v>45516</v>
      </c>
    </row>
    <row r="2663" spans="1:9" x14ac:dyDescent="0.15">
      <c r="A2663" s="9">
        <v>2662</v>
      </c>
      <c r="B2663" s="9" t="s">
        <v>9</v>
      </c>
      <c r="C2663" s="9">
        <v>1910</v>
      </c>
      <c r="D2663" s="10">
        <v>45602</v>
      </c>
      <c r="E2663" s="13" t="str">
        <f>+HYPERLINK("http://trademark.i-assist.jp/data/china/image_1910th/80321610.pdf","80321610")</f>
        <v>80321610</v>
      </c>
      <c r="F2663" s="9" t="s">
        <v>7266</v>
      </c>
      <c r="G2663" s="9" t="s">
        <v>7267</v>
      </c>
      <c r="H2663" s="9" t="s">
        <v>7268</v>
      </c>
      <c r="I2663" s="10">
        <v>45516</v>
      </c>
    </row>
    <row r="2664" spans="1:9" x14ac:dyDescent="0.15">
      <c r="A2664" s="9">
        <v>2663</v>
      </c>
      <c r="B2664" s="9" t="s">
        <v>9</v>
      </c>
      <c r="C2664" s="9">
        <v>1910</v>
      </c>
      <c r="D2664" s="10">
        <v>45602</v>
      </c>
      <c r="E2664" s="13" t="str">
        <f>+HYPERLINK("http://trademark.i-assist.jp/data/china/image_1910th/80321711.pdf","80321711")</f>
        <v>80321711</v>
      </c>
      <c r="F2664" s="9" t="s">
        <v>7269</v>
      </c>
      <c r="G2664" s="11" t="s">
        <v>6953</v>
      </c>
      <c r="H2664" s="9" t="s">
        <v>7270</v>
      </c>
      <c r="I2664" s="10">
        <v>45516</v>
      </c>
    </row>
    <row r="2665" spans="1:9" x14ac:dyDescent="0.15">
      <c r="A2665" s="9">
        <v>2664</v>
      </c>
      <c r="B2665" s="9" t="s">
        <v>9</v>
      </c>
      <c r="C2665" s="9">
        <v>1910</v>
      </c>
      <c r="D2665" s="10">
        <v>45602</v>
      </c>
      <c r="E2665" s="13" t="str">
        <f>+HYPERLINK("http://trademark.i-assist.jp/data/china/image_1910th/80321869.pdf","80321869")</f>
        <v>80321869</v>
      </c>
      <c r="F2665" s="9" t="s">
        <v>7271</v>
      </c>
      <c r="G2665" s="9" t="s">
        <v>7177</v>
      </c>
      <c r="H2665" s="9" t="s">
        <v>7272</v>
      </c>
      <c r="I2665" s="10">
        <v>45516</v>
      </c>
    </row>
    <row r="2666" spans="1:9" x14ac:dyDescent="0.15">
      <c r="A2666" s="9">
        <v>2665</v>
      </c>
      <c r="B2666" s="9" t="s">
        <v>9</v>
      </c>
      <c r="C2666" s="9">
        <v>1910</v>
      </c>
      <c r="D2666" s="10">
        <v>45602</v>
      </c>
      <c r="E2666" s="13" t="str">
        <f>+HYPERLINK("http://trademark.i-assist.jp/data/china/image_1910th/80321873.pdf","80321873")</f>
        <v>80321873</v>
      </c>
      <c r="F2666" s="9" t="s">
        <v>7273</v>
      </c>
      <c r="G2666" s="11" t="s">
        <v>6820</v>
      </c>
      <c r="H2666" s="9" t="s">
        <v>7274</v>
      </c>
      <c r="I2666" s="10">
        <v>45516</v>
      </c>
    </row>
    <row r="2667" spans="1:9" x14ac:dyDescent="0.15">
      <c r="A2667" s="9">
        <v>2666</v>
      </c>
      <c r="B2667" s="9" t="s">
        <v>9</v>
      </c>
      <c r="C2667" s="9">
        <v>1910</v>
      </c>
      <c r="D2667" s="10">
        <v>45602</v>
      </c>
      <c r="E2667" s="13" t="str">
        <f>+HYPERLINK("http://trademark.i-assist.jp/data/china/image_1910th/80321934.pdf","80321934")</f>
        <v>80321934</v>
      </c>
      <c r="F2667" s="9" t="s">
        <v>7275</v>
      </c>
      <c r="G2667" s="9" t="s">
        <v>7276</v>
      </c>
      <c r="H2667" s="11" t="s">
        <v>7277</v>
      </c>
      <c r="I2667" s="10">
        <v>45516</v>
      </c>
    </row>
    <row r="2668" spans="1:9" x14ac:dyDescent="0.15">
      <c r="A2668" s="9">
        <v>2667</v>
      </c>
      <c r="B2668" s="9" t="s">
        <v>9</v>
      </c>
      <c r="C2668" s="9">
        <v>1910</v>
      </c>
      <c r="D2668" s="10">
        <v>45602</v>
      </c>
      <c r="E2668" s="13" t="str">
        <f>+HYPERLINK("http://trademark.i-assist.jp/data/china/image_1910th/80322007.pdf","80322007")</f>
        <v>80322007</v>
      </c>
      <c r="F2668" s="9" t="s">
        <v>7278</v>
      </c>
      <c r="G2668" s="9" t="s">
        <v>7279</v>
      </c>
      <c r="H2668" s="9" t="s">
        <v>7280</v>
      </c>
      <c r="I2668" s="10">
        <v>45516</v>
      </c>
    </row>
    <row r="2669" spans="1:9" x14ac:dyDescent="0.15">
      <c r="A2669" s="9">
        <v>2668</v>
      </c>
      <c r="B2669" s="9" t="s">
        <v>9</v>
      </c>
      <c r="C2669" s="9">
        <v>1910</v>
      </c>
      <c r="D2669" s="10">
        <v>45602</v>
      </c>
      <c r="E2669" s="13" t="str">
        <f>+HYPERLINK("http://trademark.i-assist.jp/data/china/image_1910th/80322064.pdf","80322064")</f>
        <v>80322064</v>
      </c>
      <c r="F2669" s="9" t="s">
        <v>7281</v>
      </c>
      <c r="G2669" s="9" t="s">
        <v>7282</v>
      </c>
      <c r="H2669" s="9" t="s">
        <v>7283</v>
      </c>
      <c r="I2669" s="10">
        <v>45516</v>
      </c>
    </row>
    <row r="2670" spans="1:9" x14ac:dyDescent="0.15">
      <c r="A2670" s="9">
        <v>2669</v>
      </c>
      <c r="B2670" s="9" t="s">
        <v>9</v>
      </c>
      <c r="C2670" s="9">
        <v>1910</v>
      </c>
      <c r="D2670" s="10">
        <v>45602</v>
      </c>
      <c r="E2670" s="13" t="str">
        <f>+HYPERLINK("http://trademark.i-assist.jp/data/china/image_1910th/80322199.pdf","80322199")</f>
        <v>80322199</v>
      </c>
      <c r="F2670" s="11" t="s">
        <v>19</v>
      </c>
      <c r="G2670" s="9" t="s">
        <v>7284</v>
      </c>
      <c r="H2670" s="9" t="s">
        <v>7285</v>
      </c>
      <c r="I2670" s="10">
        <v>45516</v>
      </c>
    </row>
    <row r="2671" spans="1:9" x14ac:dyDescent="0.15">
      <c r="A2671" s="9">
        <v>2670</v>
      </c>
      <c r="B2671" s="9" t="s">
        <v>9</v>
      </c>
      <c r="C2671" s="9">
        <v>1910</v>
      </c>
      <c r="D2671" s="10">
        <v>45602</v>
      </c>
      <c r="E2671" s="13" t="str">
        <f>+HYPERLINK("http://trademark.i-assist.jp/data/china/image_1910th/80322324.pdf","80322324")</f>
        <v>80322324</v>
      </c>
      <c r="F2671" s="11" t="s">
        <v>7286</v>
      </c>
      <c r="G2671" s="11" t="s">
        <v>7287</v>
      </c>
      <c r="H2671" s="9" t="s">
        <v>7288</v>
      </c>
      <c r="I2671" s="10">
        <v>45516</v>
      </c>
    </row>
    <row r="2672" spans="1:9" x14ac:dyDescent="0.15">
      <c r="A2672" s="9">
        <v>2671</v>
      </c>
      <c r="B2672" s="9" t="s">
        <v>9</v>
      </c>
      <c r="C2672" s="9">
        <v>1910</v>
      </c>
      <c r="D2672" s="10">
        <v>45602</v>
      </c>
      <c r="E2672" s="13" t="str">
        <f>+HYPERLINK("http://trademark.i-assist.jp/data/china/image_1910th/80322375.pdf","80322375")</f>
        <v>80322375</v>
      </c>
      <c r="F2672" s="9" t="s">
        <v>7289</v>
      </c>
      <c r="G2672" s="11" t="s">
        <v>7163</v>
      </c>
      <c r="H2672" s="9" t="s">
        <v>7290</v>
      </c>
      <c r="I2672" s="10">
        <v>45516</v>
      </c>
    </row>
    <row r="2673" spans="1:9" x14ac:dyDescent="0.15">
      <c r="A2673" s="9">
        <v>2672</v>
      </c>
      <c r="B2673" s="9" t="s">
        <v>9</v>
      </c>
      <c r="C2673" s="9">
        <v>1910</v>
      </c>
      <c r="D2673" s="10">
        <v>45602</v>
      </c>
      <c r="E2673" s="13" t="str">
        <f>+HYPERLINK("http://trademark.i-assist.jp/data/china/image_1910th/80322382.pdf","80322382")</f>
        <v>80322382</v>
      </c>
      <c r="F2673" s="11" t="s">
        <v>19</v>
      </c>
      <c r="G2673" s="9" t="s">
        <v>7291</v>
      </c>
      <c r="H2673" s="9" t="s">
        <v>7292</v>
      </c>
      <c r="I2673" s="10">
        <v>45516</v>
      </c>
    </row>
    <row r="2674" spans="1:9" x14ac:dyDescent="0.15">
      <c r="A2674" s="9">
        <v>2673</v>
      </c>
      <c r="B2674" s="9" t="s">
        <v>9</v>
      </c>
      <c r="C2674" s="9">
        <v>1910</v>
      </c>
      <c r="D2674" s="10">
        <v>45602</v>
      </c>
      <c r="E2674" s="13" t="str">
        <f>+HYPERLINK("http://trademark.i-assist.jp/data/china/image_1910th/80322521.pdf","80322521")</f>
        <v>80322521</v>
      </c>
      <c r="F2674" s="9" t="s">
        <v>7293</v>
      </c>
      <c r="G2674" s="9" t="s">
        <v>7294</v>
      </c>
      <c r="H2674" s="9" t="s">
        <v>7295</v>
      </c>
      <c r="I2674" s="10">
        <v>45516</v>
      </c>
    </row>
    <row r="2675" spans="1:9" x14ac:dyDescent="0.15">
      <c r="A2675" s="9">
        <v>2674</v>
      </c>
      <c r="B2675" s="9" t="s">
        <v>9</v>
      </c>
      <c r="C2675" s="9">
        <v>1910</v>
      </c>
      <c r="D2675" s="10">
        <v>45602</v>
      </c>
      <c r="E2675" s="13" t="str">
        <f>+HYPERLINK("http://trademark.i-assist.jp/data/china/image_1910th/80322590.pdf","80322590")</f>
        <v>80322590</v>
      </c>
      <c r="F2675" s="9" t="s">
        <v>7296</v>
      </c>
      <c r="G2675" s="11" t="s">
        <v>6776</v>
      </c>
      <c r="H2675" s="9" t="s">
        <v>7297</v>
      </c>
      <c r="I2675" s="10">
        <v>45516</v>
      </c>
    </row>
    <row r="2676" spans="1:9" x14ac:dyDescent="0.15">
      <c r="A2676" s="9">
        <v>2675</v>
      </c>
      <c r="B2676" s="9" t="s">
        <v>9</v>
      </c>
      <c r="C2676" s="9">
        <v>1910</v>
      </c>
      <c r="D2676" s="10">
        <v>45602</v>
      </c>
      <c r="E2676" s="13" t="str">
        <f>+HYPERLINK("http://trademark.i-assist.jp/data/china/image_1910th/80322594.pdf","80322594")</f>
        <v>80322594</v>
      </c>
      <c r="F2676" s="9" t="s">
        <v>7298</v>
      </c>
      <c r="G2676" s="9" t="s">
        <v>7299</v>
      </c>
      <c r="H2676" s="9" t="s">
        <v>7300</v>
      </c>
      <c r="I2676" s="10">
        <v>45516</v>
      </c>
    </row>
    <row r="2677" spans="1:9" x14ac:dyDescent="0.15">
      <c r="A2677" s="9">
        <v>2676</v>
      </c>
      <c r="B2677" s="9" t="s">
        <v>9</v>
      </c>
      <c r="C2677" s="9">
        <v>1910</v>
      </c>
      <c r="D2677" s="10">
        <v>45602</v>
      </c>
      <c r="E2677" s="13" t="str">
        <f>+HYPERLINK("http://trademark.i-assist.jp/data/china/image_1910th/80322627.pdf","80322627")</f>
        <v>80322627</v>
      </c>
      <c r="F2677" s="11" t="s">
        <v>7301</v>
      </c>
      <c r="G2677" s="9" t="s">
        <v>7302</v>
      </c>
      <c r="H2677" s="9" t="s">
        <v>7303</v>
      </c>
      <c r="I2677" s="10">
        <v>45516</v>
      </c>
    </row>
    <row r="2678" spans="1:9" x14ac:dyDescent="0.15">
      <c r="A2678" s="9">
        <v>2677</v>
      </c>
      <c r="B2678" s="9" t="s">
        <v>9</v>
      </c>
      <c r="C2678" s="9">
        <v>1910</v>
      </c>
      <c r="D2678" s="10">
        <v>45602</v>
      </c>
      <c r="E2678" s="13" t="str">
        <f>+HYPERLINK("http://trademark.i-assist.jp/data/china/image_1910th/80323018.pdf","80323018")</f>
        <v>80323018</v>
      </c>
      <c r="F2678" s="9" t="s">
        <v>7304</v>
      </c>
      <c r="G2678" s="9" t="s">
        <v>6910</v>
      </c>
      <c r="H2678" s="9" t="s">
        <v>7305</v>
      </c>
      <c r="I2678" s="10">
        <v>45516</v>
      </c>
    </row>
    <row r="2679" spans="1:9" x14ac:dyDescent="0.15">
      <c r="A2679" s="9">
        <v>2678</v>
      </c>
      <c r="B2679" s="9" t="s">
        <v>9</v>
      </c>
      <c r="C2679" s="9">
        <v>1910</v>
      </c>
      <c r="D2679" s="10">
        <v>45602</v>
      </c>
      <c r="E2679" s="13" t="str">
        <f>+HYPERLINK("http://trademark.i-assist.jp/data/china/image_1910th/80323070.pdf","80323070")</f>
        <v>80323070</v>
      </c>
      <c r="F2679" s="12" t="s">
        <v>7306</v>
      </c>
      <c r="G2679" s="9" t="s">
        <v>7307</v>
      </c>
      <c r="H2679" s="11" t="s">
        <v>7308</v>
      </c>
      <c r="I2679" s="10">
        <v>45516</v>
      </c>
    </row>
    <row r="2680" spans="1:9" x14ac:dyDescent="0.15">
      <c r="A2680" s="9">
        <v>2679</v>
      </c>
      <c r="B2680" s="9" t="s">
        <v>9</v>
      </c>
      <c r="C2680" s="9">
        <v>1910</v>
      </c>
      <c r="D2680" s="10">
        <v>45602</v>
      </c>
      <c r="E2680" s="13" t="str">
        <f>+HYPERLINK("http://trademark.i-assist.jp/data/china/image_1910th/80323252.pdf","80323252")</f>
        <v>80323252</v>
      </c>
      <c r="F2680" s="11" t="s">
        <v>19</v>
      </c>
      <c r="G2680" s="9" t="s">
        <v>7309</v>
      </c>
      <c r="H2680" s="9" t="s">
        <v>7310</v>
      </c>
      <c r="I2680" s="10">
        <v>45517</v>
      </c>
    </row>
    <row r="2681" spans="1:9" x14ac:dyDescent="0.15">
      <c r="A2681" s="9">
        <v>2680</v>
      </c>
      <c r="B2681" s="9" t="s">
        <v>9</v>
      </c>
      <c r="C2681" s="9">
        <v>1910</v>
      </c>
      <c r="D2681" s="10">
        <v>45602</v>
      </c>
      <c r="E2681" s="13" t="str">
        <f>+HYPERLINK("http://trademark.i-assist.jp/data/china/image_1910th/80323515.pdf","80323515")</f>
        <v>80323515</v>
      </c>
      <c r="F2681" s="11" t="s">
        <v>7311</v>
      </c>
      <c r="G2681" s="11" t="s">
        <v>7312</v>
      </c>
      <c r="H2681" s="9" t="s">
        <v>7313</v>
      </c>
      <c r="I2681" s="10">
        <v>45517</v>
      </c>
    </row>
    <row r="2682" spans="1:9" x14ac:dyDescent="0.15">
      <c r="A2682" s="9">
        <v>2681</v>
      </c>
      <c r="B2682" s="9" t="s">
        <v>9</v>
      </c>
      <c r="C2682" s="9">
        <v>1910</v>
      </c>
      <c r="D2682" s="10">
        <v>45602</v>
      </c>
      <c r="E2682" s="13" t="str">
        <f>+HYPERLINK("http://trademark.i-assist.jp/data/china/image_1910th/80323590.pdf","80323590")</f>
        <v>80323590</v>
      </c>
      <c r="F2682" s="11" t="s">
        <v>7314</v>
      </c>
      <c r="G2682" s="9" t="s">
        <v>7315</v>
      </c>
      <c r="H2682" s="9" t="s">
        <v>7316</v>
      </c>
      <c r="I2682" s="10">
        <v>45517</v>
      </c>
    </row>
    <row r="2683" spans="1:9" x14ac:dyDescent="0.15">
      <c r="A2683" s="9">
        <v>2682</v>
      </c>
      <c r="B2683" s="9" t="s">
        <v>9</v>
      </c>
      <c r="C2683" s="9">
        <v>1910</v>
      </c>
      <c r="D2683" s="10">
        <v>45602</v>
      </c>
      <c r="E2683" s="13" t="str">
        <f>+HYPERLINK("http://trademark.i-assist.jp/data/china/image_1910th/80323817.pdf","80323817")</f>
        <v>80323817</v>
      </c>
      <c r="F2683" s="11" t="s">
        <v>19</v>
      </c>
      <c r="G2683" s="9" t="s">
        <v>7317</v>
      </c>
      <c r="H2683" s="9" t="s">
        <v>7318</v>
      </c>
      <c r="I2683" s="10">
        <v>45517</v>
      </c>
    </row>
    <row r="2684" spans="1:9" x14ac:dyDescent="0.15">
      <c r="A2684" s="9">
        <v>2683</v>
      </c>
      <c r="B2684" s="9" t="s">
        <v>9</v>
      </c>
      <c r="C2684" s="9">
        <v>1910</v>
      </c>
      <c r="D2684" s="10">
        <v>45602</v>
      </c>
      <c r="E2684" s="13" t="str">
        <f>+HYPERLINK("http://trademark.i-assist.jp/data/china/image_1910th/80323853.pdf","80323853")</f>
        <v>80323853</v>
      </c>
      <c r="F2684" s="11" t="s">
        <v>19</v>
      </c>
      <c r="G2684" s="9" t="s">
        <v>7319</v>
      </c>
      <c r="H2684" s="9" t="s">
        <v>7320</v>
      </c>
      <c r="I2684" s="10">
        <v>45517</v>
      </c>
    </row>
    <row r="2685" spans="1:9" x14ac:dyDescent="0.15">
      <c r="A2685" s="9">
        <v>2684</v>
      </c>
      <c r="B2685" s="9" t="s">
        <v>9</v>
      </c>
      <c r="C2685" s="9">
        <v>1910</v>
      </c>
      <c r="D2685" s="10">
        <v>45602</v>
      </c>
      <c r="E2685" s="13" t="str">
        <f>+HYPERLINK("http://trademark.i-assist.jp/data/china/image_1910th/80324161.pdf","80324161")</f>
        <v>80324161</v>
      </c>
      <c r="F2685" s="11" t="s">
        <v>7321</v>
      </c>
      <c r="G2685" s="9" t="s">
        <v>7322</v>
      </c>
      <c r="H2685" s="9" t="s">
        <v>7323</v>
      </c>
      <c r="I2685" s="10">
        <v>45517</v>
      </c>
    </row>
    <row r="2686" spans="1:9" x14ac:dyDescent="0.15">
      <c r="A2686" s="9">
        <v>2685</v>
      </c>
      <c r="B2686" s="9" t="s">
        <v>9</v>
      </c>
      <c r="C2686" s="9">
        <v>1910</v>
      </c>
      <c r="D2686" s="10">
        <v>45602</v>
      </c>
      <c r="E2686" s="13" t="str">
        <f>+HYPERLINK("http://trademark.i-assist.jp/data/china/image_1910th/80324180.pdf","80324180")</f>
        <v>80324180</v>
      </c>
      <c r="F2686" s="9" t="s">
        <v>7324</v>
      </c>
      <c r="G2686" s="9" t="s">
        <v>7325</v>
      </c>
      <c r="H2686" s="9" t="s">
        <v>7326</v>
      </c>
      <c r="I2686" s="10">
        <v>45517</v>
      </c>
    </row>
    <row r="2687" spans="1:9" x14ac:dyDescent="0.15">
      <c r="A2687" s="9">
        <v>2686</v>
      </c>
      <c r="B2687" s="9" t="s">
        <v>9</v>
      </c>
      <c r="C2687" s="9">
        <v>1910</v>
      </c>
      <c r="D2687" s="10">
        <v>45602</v>
      </c>
      <c r="E2687" s="13" t="str">
        <f>+HYPERLINK("http://trademark.i-assist.jp/data/china/image_1910th/80324303.pdf","80324303")</f>
        <v>80324303</v>
      </c>
      <c r="F2687" s="9" t="s">
        <v>7327</v>
      </c>
      <c r="G2687" s="11" t="s">
        <v>7328</v>
      </c>
      <c r="H2687" s="9" t="s">
        <v>7329</v>
      </c>
      <c r="I2687" s="10">
        <v>45517</v>
      </c>
    </row>
    <row r="2688" spans="1:9" x14ac:dyDescent="0.15">
      <c r="A2688" s="9">
        <v>2687</v>
      </c>
      <c r="B2688" s="9" t="s">
        <v>9</v>
      </c>
      <c r="C2688" s="9">
        <v>1910</v>
      </c>
      <c r="D2688" s="10">
        <v>45602</v>
      </c>
      <c r="E2688" s="13" t="str">
        <f>+HYPERLINK("http://trademark.i-assist.jp/data/china/image_1910th/80324393.pdf","80324393")</f>
        <v>80324393</v>
      </c>
      <c r="F2688" s="9" t="s">
        <v>7330</v>
      </c>
      <c r="G2688" s="11" t="s">
        <v>7331</v>
      </c>
      <c r="H2688" s="9" t="s">
        <v>7332</v>
      </c>
      <c r="I2688" s="10">
        <v>45517</v>
      </c>
    </row>
    <row r="2689" spans="1:9" x14ac:dyDescent="0.15">
      <c r="A2689" s="9">
        <v>2688</v>
      </c>
      <c r="B2689" s="9" t="s">
        <v>9</v>
      </c>
      <c r="C2689" s="9">
        <v>1910</v>
      </c>
      <c r="D2689" s="10">
        <v>45602</v>
      </c>
      <c r="E2689" s="13" t="str">
        <f>+HYPERLINK("http://trademark.i-assist.jp/data/china/image_1910th/80324614.pdf","80324614")</f>
        <v>80324614</v>
      </c>
      <c r="F2689" s="11" t="s">
        <v>7333</v>
      </c>
      <c r="G2689" s="11" t="s">
        <v>7334</v>
      </c>
      <c r="H2689" s="11" t="s">
        <v>7335</v>
      </c>
      <c r="I2689" s="10">
        <v>45517</v>
      </c>
    </row>
    <row r="2690" spans="1:9" x14ac:dyDescent="0.15">
      <c r="A2690" s="9">
        <v>2689</v>
      </c>
      <c r="B2690" s="9" t="s">
        <v>9</v>
      </c>
      <c r="C2690" s="9">
        <v>1910</v>
      </c>
      <c r="D2690" s="10">
        <v>45602</v>
      </c>
      <c r="E2690" s="13" t="str">
        <f>+HYPERLINK("http://trademark.i-assist.jp/data/china/image_1910th/80324712.pdf","80324712")</f>
        <v>80324712</v>
      </c>
      <c r="F2690" s="9" t="s">
        <v>7336</v>
      </c>
      <c r="G2690" s="9" t="s">
        <v>7337</v>
      </c>
      <c r="H2690" s="9" t="s">
        <v>7338</v>
      </c>
      <c r="I2690" s="10">
        <v>45517</v>
      </c>
    </row>
    <row r="2691" spans="1:9" x14ac:dyDescent="0.15">
      <c r="A2691" s="9">
        <v>2690</v>
      </c>
      <c r="B2691" s="9" t="s">
        <v>9</v>
      </c>
      <c r="C2691" s="9">
        <v>1910</v>
      </c>
      <c r="D2691" s="10">
        <v>45602</v>
      </c>
      <c r="E2691" s="13" t="str">
        <f>+HYPERLINK("http://trademark.i-assist.jp/data/china/image_1910th/80325791.pdf","80325791")</f>
        <v>80325791</v>
      </c>
      <c r="F2691" s="9" t="s">
        <v>7339</v>
      </c>
      <c r="G2691" s="9" t="s">
        <v>3101</v>
      </c>
      <c r="H2691" s="11" t="s">
        <v>7340</v>
      </c>
      <c r="I2691" s="10">
        <v>45517</v>
      </c>
    </row>
    <row r="2692" spans="1:9" x14ac:dyDescent="0.15">
      <c r="A2692" s="9">
        <v>2691</v>
      </c>
      <c r="B2692" s="9" t="s">
        <v>9</v>
      </c>
      <c r="C2692" s="9">
        <v>1910</v>
      </c>
      <c r="D2692" s="10">
        <v>45602</v>
      </c>
      <c r="E2692" s="13" t="str">
        <f>+HYPERLINK("http://trademark.i-assist.jp/data/china/image_1910th/80326108.pdf","80326108")</f>
        <v>80326108</v>
      </c>
      <c r="F2692" s="9" t="s">
        <v>7341</v>
      </c>
      <c r="G2692" s="9" t="s">
        <v>7342</v>
      </c>
      <c r="H2692" s="9" t="s">
        <v>7343</v>
      </c>
      <c r="I2692" s="10">
        <v>45517</v>
      </c>
    </row>
    <row r="2693" spans="1:9" x14ac:dyDescent="0.15">
      <c r="A2693" s="9">
        <v>2692</v>
      </c>
      <c r="B2693" s="9" t="s">
        <v>9</v>
      </c>
      <c r="C2693" s="9">
        <v>1910</v>
      </c>
      <c r="D2693" s="10">
        <v>45602</v>
      </c>
      <c r="E2693" s="13" t="str">
        <f>+HYPERLINK("http://trademark.i-assist.jp/data/china/image_1910th/80326279.pdf","80326279")</f>
        <v>80326279</v>
      </c>
      <c r="F2693" s="9" t="s">
        <v>7344</v>
      </c>
      <c r="G2693" s="9" t="s">
        <v>7345</v>
      </c>
      <c r="H2693" s="9" t="s">
        <v>7346</v>
      </c>
      <c r="I2693" s="10">
        <v>45517</v>
      </c>
    </row>
    <row r="2694" spans="1:9" x14ac:dyDescent="0.15">
      <c r="A2694" s="9">
        <v>2693</v>
      </c>
      <c r="B2694" s="9" t="s">
        <v>9</v>
      </c>
      <c r="C2694" s="9">
        <v>1910</v>
      </c>
      <c r="D2694" s="10">
        <v>45602</v>
      </c>
      <c r="E2694" s="13" t="str">
        <f>+HYPERLINK("http://trademark.i-assist.jp/data/china/image_1910th/80326332.pdf","80326332")</f>
        <v>80326332</v>
      </c>
      <c r="F2694" s="11" t="s">
        <v>7347</v>
      </c>
      <c r="G2694" s="9" t="s">
        <v>7348</v>
      </c>
      <c r="H2694" s="9" t="s">
        <v>7349</v>
      </c>
      <c r="I2694" s="10">
        <v>45517</v>
      </c>
    </row>
    <row r="2695" spans="1:9" x14ac:dyDescent="0.15">
      <c r="A2695" s="9">
        <v>2694</v>
      </c>
      <c r="B2695" s="9" t="s">
        <v>9</v>
      </c>
      <c r="C2695" s="9">
        <v>1910</v>
      </c>
      <c r="D2695" s="10">
        <v>45602</v>
      </c>
      <c r="E2695" s="13" t="str">
        <f>+HYPERLINK("http://trademark.i-assist.jp/data/china/image_1910th/80326434.pdf","80326434")</f>
        <v>80326434</v>
      </c>
      <c r="F2695" s="12" t="s">
        <v>7350</v>
      </c>
      <c r="G2695" s="9" t="s">
        <v>7351</v>
      </c>
      <c r="H2695" s="9" t="s">
        <v>7352</v>
      </c>
      <c r="I2695" s="10">
        <v>45517</v>
      </c>
    </row>
    <row r="2696" spans="1:9" x14ac:dyDescent="0.15">
      <c r="A2696" s="9">
        <v>2695</v>
      </c>
      <c r="B2696" s="9" t="s">
        <v>9</v>
      </c>
      <c r="C2696" s="9">
        <v>1910</v>
      </c>
      <c r="D2696" s="10">
        <v>45602</v>
      </c>
      <c r="E2696" s="13" t="str">
        <f>+HYPERLINK("http://trademark.i-assist.jp/data/china/image_1910th/80326565.pdf","80326565")</f>
        <v>80326565</v>
      </c>
      <c r="F2696" s="9" t="s">
        <v>7353</v>
      </c>
      <c r="G2696" s="9" t="s">
        <v>7354</v>
      </c>
      <c r="H2696" s="9" t="s">
        <v>7355</v>
      </c>
      <c r="I2696" s="10">
        <v>45517</v>
      </c>
    </row>
    <row r="2697" spans="1:9" x14ac:dyDescent="0.15">
      <c r="A2697" s="9">
        <v>2696</v>
      </c>
      <c r="B2697" s="9" t="s">
        <v>9</v>
      </c>
      <c r="C2697" s="9">
        <v>1910</v>
      </c>
      <c r="D2697" s="10">
        <v>45602</v>
      </c>
      <c r="E2697" s="13" t="str">
        <f>+HYPERLINK("http://trademark.i-assist.jp/data/china/image_1910th/80326879.pdf","80326879")</f>
        <v>80326879</v>
      </c>
      <c r="F2697" s="9" t="s">
        <v>7356</v>
      </c>
      <c r="G2697" s="9" t="s">
        <v>7357</v>
      </c>
      <c r="H2697" s="9" t="s">
        <v>7358</v>
      </c>
      <c r="I2697" s="10">
        <v>45517</v>
      </c>
    </row>
    <row r="2698" spans="1:9" x14ac:dyDescent="0.15">
      <c r="A2698" s="9">
        <v>2697</v>
      </c>
      <c r="B2698" s="9" t="s">
        <v>9</v>
      </c>
      <c r="C2698" s="9">
        <v>1910</v>
      </c>
      <c r="D2698" s="10">
        <v>45602</v>
      </c>
      <c r="E2698" s="13" t="str">
        <f>+HYPERLINK("http://trademark.i-assist.jp/data/china/image_1910th/80327114.pdf","80327114")</f>
        <v>80327114</v>
      </c>
      <c r="F2698" s="9" t="s">
        <v>7359</v>
      </c>
      <c r="G2698" s="9" t="s">
        <v>7360</v>
      </c>
      <c r="H2698" s="9" t="s">
        <v>7361</v>
      </c>
      <c r="I2698" s="10">
        <v>45517</v>
      </c>
    </row>
    <row r="2699" spans="1:9" x14ac:dyDescent="0.15">
      <c r="A2699" s="9">
        <v>2698</v>
      </c>
      <c r="B2699" s="9" t="s">
        <v>9</v>
      </c>
      <c r="C2699" s="9">
        <v>1910</v>
      </c>
      <c r="D2699" s="10">
        <v>45602</v>
      </c>
      <c r="E2699" s="13" t="str">
        <f>+HYPERLINK("http://trademark.i-assist.jp/data/china/image_1910th/80327463.pdf","80327463")</f>
        <v>80327463</v>
      </c>
      <c r="F2699" s="11" t="s">
        <v>7362</v>
      </c>
      <c r="G2699" s="11" t="s">
        <v>7363</v>
      </c>
      <c r="H2699" s="9" t="s">
        <v>7364</v>
      </c>
      <c r="I2699" s="10">
        <v>45517</v>
      </c>
    </row>
    <row r="2700" spans="1:9" x14ac:dyDescent="0.15">
      <c r="A2700" s="9">
        <v>2699</v>
      </c>
      <c r="B2700" s="9" t="s">
        <v>9</v>
      </c>
      <c r="C2700" s="9">
        <v>1910</v>
      </c>
      <c r="D2700" s="10">
        <v>45602</v>
      </c>
      <c r="E2700" s="13" t="str">
        <f>+HYPERLINK("http://trademark.i-assist.jp/data/china/image_1910th/80327520.pdf","80327520")</f>
        <v>80327520</v>
      </c>
      <c r="F2700" s="9" t="s">
        <v>7365</v>
      </c>
      <c r="G2700" s="9" t="s">
        <v>7366</v>
      </c>
      <c r="H2700" s="9" t="s">
        <v>7367</v>
      </c>
      <c r="I2700" s="10">
        <v>45517</v>
      </c>
    </row>
    <row r="2701" spans="1:9" x14ac:dyDescent="0.15">
      <c r="A2701" s="9">
        <v>2700</v>
      </c>
      <c r="B2701" s="9" t="s">
        <v>9</v>
      </c>
      <c r="C2701" s="9">
        <v>1910</v>
      </c>
      <c r="D2701" s="10">
        <v>45602</v>
      </c>
      <c r="E2701" s="13" t="str">
        <f>+HYPERLINK("http://trademark.i-assist.jp/data/china/image_1910th/80327620.pdf","80327620")</f>
        <v>80327620</v>
      </c>
      <c r="F2701" s="9" t="s">
        <v>7368</v>
      </c>
      <c r="G2701" s="9" t="s">
        <v>7369</v>
      </c>
      <c r="H2701" s="9" t="s">
        <v>7370</v>
      </c>
      <c r="I2701" s="10">
        <v>45517</v>
      </c>
    </row>
    <row r="2702" spans="1:9" x14ac:dyDescent="0.15">
      <c r="A2702" s="9">
        <v>2701</v>
      </c>
      <c r="B2702" s="9" t="s">
        <v>9</v>
      </c>
      <c r="C2702" s="9">
        <v>1910</v>
      </c>
      <c r="D2702" s="10">
        <v>45602</v>
      </c>
      <c r="E2702" s="13" t="str">
        <f>+HYPERLINK("http://trademark.i-assist.jp/data/china/image_1910th/80327689.pdf","80327689")</f>
        <v>80327689</v>
      </c>
      <c r="F2702" s="9" t="s">
        <v>7371</v>
      </c>
      <c r="G2702" s="9" t="s">
        <v>7372</v>
      </c>
      <c r="H2702" s="9" t="s">
        <v>7373</v>
      </c>
      <c r="I2702" s="10">
        <v>45517</v>
      </c>
    </row>
    <row r="2703" spans="1:9" x14ac:dyDescent="0.15">
      <c r="A2703" s="9">
        <v>2702</v>
      </c>
      <c r="B2703" s="9" t="s">
        <v>9</v>
      </c>
      <c r="C2703" s="9">
        <v>1910</v>
      </c>
      <c r="D2703" s="10">
        <v>45602</v>
      </c>
      <c r="E2703" s="13" t="str">
        <f>+HYPERLINK("http://trademark.i-assist.jp/data/china/image_1910th/80327893.pdf","80327893")</f>
        <v>80327893</v>
      </c>
      <c r="F2703" s="9" t="s">
        <v>7374</v>
      </c>
      <c r="G2703" s="11" t="s">
        <v>7312</v>
      </c>
      <c r="H2703" s="9" t="s">
        <v>7375</v>
      </c>
      <c r="I2703" s="10">
        <v>45517</v>
      </c>
    </row>
    <row r="2704" spans="1:9" x14ac:dyDescent="0.15">
      <c r="A2704" s="9">
        <v>2703</v>
      </c>
      <c r="B2704" s="9" t="s">
        <v>9</v>
      </c>
      <c r="C2704" s="9">
        <v>1910</v>
      </c>
      <c r="D2704" s="10">
        <v>45602</v>
      </c>
      <c r="E2704" s="13" t="str">
        <f>+HYPERLINK("http://trademark.i-assist.jp/data/china/image_1910th/80327939.pdf","80327939")</f>
        <v>80327939</v>
      </c>
      <c r="F2704" s="11" t="s">
        <v>7376</v>
      </c>
      <c r="G2704" s="11" t="s">
        <v>7377</v>
      </c>
      <c r="H2704" s="9" t="s">
        <v>7378</v>
      </c>
      <c r="I2704" s="10">
        <v>45517</v>
      </c>
    </row>
    <row r="2705" spans="1:9" x14ac:dyDescent="0.15">
      <c r="A2705" s="9">
        <v>2704</v>
      </c>
      <c r="B2705" s="9" t="s">
        <v>9</v>
      </c>
      <c r="C2705" s="9">
        <v>1910</v>
      </c>
      <c r="D2705" s="10">
        <v>45602</v>
      </c>
      <c r="E2705" s="13" t="str">
        <f>+HYPERLINK("http://trademark.i-assist.jp/data/china/image_1910th/80327992.pdf","80327992")</f>
        <v>80327992</v>
      </c>
      <c r="F2705" s="9" t="s">
        <v>7379</v>
      </c>
      <c r="G2705" s="9" t="s">
        <v>7380</v>
      </c>
      <c r="H2705" s="9" t="s">
        <v>7381</v>
      </c>
      <c r="I2705" s="10">
        <v>45517</v>
      </c>
    </row>
    <row r="2706" spans="1:9" x14ac:dyDescent="0.15">
      <c r="A2706" s="9">
        <v>2705</v>
      </c>
      <c r="B2706" s="9" t="s">
        <v>9</v>
      </c>
      <c r="C2706" s="9">
        <v>1910</v>
      </c>
      <c r="D2706" s="10">
        <v>45602</v>
      </c>
      <c r="E2706" s="13" t="str">
        <f>+HYPERLINK("http://trademark.i-assist.jp/data/china/image_1910th/80327996.pdf","80327996")</f>
        <v>80327996</v>
      </c>
      <c r="F2706" s="9" t="s">
        <v>7382</v>
      </c>
      <c r="G2706" s="9" t="s">
        <v>7383</v>
      </c>
      <c r="H2706" s="9" t="s">
        <v>7384</v>
      </c>
      <c r="I2706" s="10">
        <v>45517</v>
      </c>
    </row>
    <row r="2707" spans="1:9" x14ac:dyDescent="0.15">
      <c r="A2707" s="9">
        <v>2706</v>
      </c>
      <c r="B2707" s="9" t="s">
        <v>9</v>
      </c>
      <c r="C2707" s="9">
        <v>1910</v>
      </c>
      <c r="D2707" s="10">
        <v>45602</v>
      </c>
      <c r="E2707" s="13" t="str">
        <f>+HYPERLINK("http://trademark.i-assist.jp/data/china/image_1910th/80328002.pdf","80328002")</f>
        <v>80328002</v>
      </c>
      <c r="F2707" s="9" t="s">
        <v>7385</v>
      </c>
      <c r="G2707" s="11" t="s">
        <v>7386</v>
      </c>
      <c r="H2707" s="11" t="s">
        <v>7387</v>
      </c>
      <c r="I2707" s="10">
        <v>45517</v>
      </c>
    </row>
    <row r="2708" spans="1:9" x14ac:dyDescent="0.15">
      <c r="A2708" s="9">
        <v>2707</v>
      </c>
      <c r="B2708" s="9" t="s">
        <v>9</v>
      </c>
      <c r="C2708" s="9">
        <v>1910</v>
      </c>
      <c r="D2708" s="10">
        <v>45602</v>
      </c>
      <c r="E2708" s="13" t="str">
        <f>+HYPERLINK("http://trademark.i-assist.jp/data/china/image_1910th/80328045.pdf","80328045")</f>
        <v>80328045</v>
      </c>
      <c r="F2708" s="9" t="s">
        <v>7388</v>
      </c>
      <c r="G2708" s="9" t="s">
        <v>7389</v>
      </c>
      <c r="H2708" s="11" t="s">
        <v>7390</v>
      </c>
      <c r="I2708" s="10">
        <v>45517</v>
      </c>
    </row>
    <row r="2709" spans="1:9" x14ac:dyDescent="0.15">
      <c r="A2709" s="9">
        <v>2708</v>
      </c>
      <c r="B2709" s="9" t="s">
        <v>9</v>
      </c>
      <c r="C2709" s="9">
        <v>1910</v>
      </c>
      <c r="D2709" s="10">
        <v>45602</v>
      </c>
      <c r="E2709" s="13" t="str">
        <f>+HYPERLINK("http://trademark.i-assist.jp/data/china/image_1910th/80328084.pdf","80328084")</f>
        <v>80328084</v>
      </c>
      <c r="F2709" s="9" t="s">
        <v>7391</v>
      </c>
      <c r="G2709" s="9" t="s">
        <v>7392</v>
      </c>
      <c r="H2709" s="9" t="s">
        <v>7393</v>
      </c>
      <c r="I2709" s="10">
        <v>45517</v>
      </c>
    </row>
    <row r="2710" spans="1:9" x14ac:dyDescent="0.15">
      <c r="A2710" s="9">
        <v>2709</v>
      </c>
      <c r="B2710" s="9" t="s">
        <v>9</v>
      </c>
      <c r="C2710" s="9">
        <v>1910</v>
      </c>
      <c r="D2710" s="10">
        <v>45602</v>
      </c>
      <c r="E2710" s="13" t="str">
        <f>+HYPERLINK("http://trademark.i-assist.jp/data/china/image_1910th/80328141.pdf","80328141")</f>
        <v>80328141</v>
      </c>
      <c r="F2710" s="9" t="s">
        <v>7394</v>
      </c>
      <c r="G2710" s="9" t="s">
        <v>7395</v>
      </c>
      <c r="H2710" s="9" t="s">
        <v>7396</v>
      </c>
      <c r="I2710" s="10">
        <v>45517</v>
      </c>
    </row>
    <row r="2711" spans="1:9" x14ac:dyDescent="0.15">
      <c r="A2711" s="9">
        <v>2710</v>
      </c>
      <c r="B2711" s="9" t="s">
        <v>9</v>
      </c>
      <c r="C2711" s="9">
        <v>1910</v>
      </c>
      <c r="D2711" s="10">
        <v>45602</v>
      </c>
      <c r="E2711" s="13" t="str">
        <f>+HYPERLINK("http://trademark.i-assist.jp/data/china/image_1910th/80328160.pdf","80328160")</f>
        <v>80328160</v>
      </c>
      <c r="F2711" s="9" t="s">
        <v>7397</v>
      </c>
      <c r="G2711" s="9" t="s">
        <v>7398</v>
      </c>
      <c r="H2711" s="9" t="s">
        <v>7399</v>
      </c>
      <c r="I2711" s="10">
        <v>45517</v>
      </c>
    </row>
    <row r="2712" spans="1:9" x14ac:dyDescent="0.15">
      <c r="A2712" s="9">
        <v>2711</v>
      </c>
      <c r="B2712" s="9" t="s">
        <v>9</v>
      </c>
      <c r="C2712" s="9">
        <v>1910</v>
      </c>
      <c r="D2712" s="10">
        <v>45602</v>
      </c>
      <c r="E2712" s="13" t="str">
        <f>+HYPERLINK("http://trademark.i-assist.jp/data/china/image_1910th/80328167.pdf","80328167")</f>
        <v>80328167</v>
      </c>
      <c r="F2712" s="11" t="s">
        <v>7400</v>
      </c>
      <c r="G2712" s="11" t="s">
        <v>7401</v>
      </c>
      <c r="H2712" s="9" t="s">
        <v>7402</v>
      </c>
      <c r="I2712" s="10">
        <v>45517</v>
      </c>
    </row>
    <row r="2713" spans="1:9" x14ac:dyDescent="0.15">
      <c r="A2713" s="9">
        <v>2712</v>
      </c>
      <c r="B2713" s="9" t="s">
        <v>9</v>
      </c>
      <c r="C2713" s="9">
        <v>1910</v>
      </c>
      <c r="D2713" s="10">
        <v>45602</v>
      </c>
      <c r="E2713" s="13" t="str">
        <f>+HYPERLINK("http://trademark.i-assist.jp/data/china/image_1910th/80328257.pdf","80328257")</f>
        <v>80328257</v>
      </c>
      <c r="F2713" s="9" t="s">
        <v>7403</v>
      </c>
      <c r="G2713" s="11" t="s">
        <v>7404</v>
      </c>
      <c r="H2713" s="9" t="s">
        <v>7405</v>
      </c>
      <c r="I2713" s="10">
        <v>45517</v>
      </c>
    </row>
    <row r="2714" spans="1:9" x14ac:dyDescent="0.15">
      <c r="A2714" s="9">
        <v>2713</v>
      </c>
      <c r="B2714" s="9" t="s">
        <v>9</v>
      </c>
      <c r="C2714" s="9">
        <v>1910</v>
      </c>
      <c r="D2714" s="10">
        <v>45602</v>
      </c>
      <c r="E2714" s="13" t="str">
        <f>+HYPERLINK("http://trademark.i-assist.jp/data/china/image_1910th/80328286.pdf","80328286")</f>
        <v>80328286</v>
      </c>
      <c r="F2714" s="11" t="s">
        <v>7406</v>
      </c>
      <c r="G2714" s="9" t="s">
        <v>7407</v>
      </c>
      <c r="H2714" s="9" t="s">
        <v>7408</v>
      </c>
      <c r="I2714" s="10">
        <v>45517</v>
      </c>
    </row>
    <row r="2715" spans="1:9" x14ac:dyDescent="0.15">
      <c r="A2715" s="9">
        <v>2714</v>
      </c>
      <c r="B2715" s="9" t="s">
        <v>9</v>
      </c>
      <c r="C2715" s="9">
        <v>1910</v>
      </c>
      <c r="D2715" s="10">
        <v>45602</v>
      </c>
      <c r="E2715" s="13" t="str">
        <f>+HYPERLINK("http://trademark.i-assist.jp/data/china/image_1910th/80328332.pdf","80328332")</f>
        <v>80328332</v>
      </c>
      <c r="F2715" s="9" t="s">
        <v>7409</v>
      </c>
      <c r="G2715" s="9" t="s">
        <v>7410</v>
      </c>
      <c r="H2715" s="9" t="s">
        <v>7411</v>
      </c>
      <c r="I2715" s="10">
        <v>45517</v>
      </c>
    </row>
    <row r="2716" spans="1:9" x14ac:dyDescent="0.15">
      <c r="A2716" s="9">
        <v>2715</v>
      </c>
      <c r="B2716" s="9" t="s">
        <v>9</v>
      </c>
      <c r="C2716" s="9">
        <v>1910</v>
      </c>
      <c r="D2716" s="10">
        <v>45602</v>
      </c>
      <c r="E2716" s="13" t="str">
        <f>+HYPERLINK("http://trademark.i-assist.jp/data/china/image_1910th/80328392.pdf","80328392")</f>
        <v>80328392</v>
      </c>
      <c r="F2716" s="9" t="s">
        <v>7412</v>
      </c>
      <c r="G2716" s="9" t="s">
        <v>4488</v>
      </c>
      <c r="H2716" s="9" t="s">
        <v>7413</v>
      </c>
      <c r="I2716" s="10">
        <v>45517</v>
      </c>
    </row>
    <row r="2717" spans="1:9" x14ac:dyDescent="0.15">
      <c r="A2717" s="9">
        <v>2716</v>
      </c>
      <c r="B2717" s="9" t="s">
        <v>9</v>
      </c>
      <c r="C2717" s="9">
        <v>1910</v>
      </c>
      <c r="D2717" s="10">
        <v>45602</v>
      </c>
      <c r="E2717" s="13" t="str">
        <f>+HYPERLINK("http://trademark.i-assist.jp/data/china/image_1910th/80328536.pdf","80328536")</f>
        <v>80328536</v>
      </c>
      <c r="F2717" s="9" t="s">
        <v>7414</v>
      </c>
      <c r="G2717" s="9" t="s">
        <v>7415</v>
      </c>
      <c r="H2717" s="9" t="s">
        <v>7416</v>
      </c>
      <c r="I2717" s="10">
        <v>45517</v>
      </c>
    </row>
    <row r="2718" spans="1:9" x14ac:dyDescent="0.15">
      <c r="A2718" s="9">
        <v>2717</v>
      </c>
      <c r="B2718" s="9" t="s">
        <v>9</v>
      </c>
      <c r="C2718" s="9">
        <v>1910</v>
      </c>
      <c r="D2718" s="10">
        <v>45602</v>
      </c>
      <c r="E2718" s="13" t="str">
        <f>+HYPERLINK("http://trademark.i-assist.jp/data/china/image_1910th/80328861.pdf","80328861")</f>
        <v>80328861</v>
      </c>
      <c r="F2718" s="9" t="s">
        <v>7417</v>
      </c>
      <c r="G2718" s="11" t="s">
        <v>7418</v>
      </c>
      <c r="H2718" s="9" t="s">
        <v>7419</v>
      </c>
      <c r="I2718" s="10">
        <v>45517</v>
      </c>
    </row>
    <row r="2719" spans="1:9" x14ac:dyDescent="0.15">
      <c r="A2719" s="9">
        <v>2718</v>
      </c>
      <c r="B2719" s="9" t="s">
        <v>9</v>
      </c>
      <c r="C2719" s="9">
        <v>1910</v>
      </c>
      <c r="D2719" s="10">
        <v>45602</v>
      </c>
      <c r="E2719" s="13" t="str">
        <f>+HYPERLINK("http://trademark.i-assist.jp/data/china/image_1910th/80328892.pdf","80328892")</f>
        <v>80328892</v>
      </c>
      <c r="F2719" s="9" t="s">
        <v>7420</v>
      </c>
      <c r="G2719" s="9" t="s">
        <v>7421</v>
      </c>
      <c r="H2719" s="9" t="s">
        <v>7422</v>
      </c>
      <c r="I2719" s="10">
        <v>45517</v>
      </c>
    </row>
    <row r="2720" spans="1:9" x14ac:dyDescent="0.15">
      <c r="A2720" s="9">
        <v>2719</v>
      </c>
      <c r="B2720" s="9" t="s">
        <v>9</v>
      </c>
      <c r="C2720" s="9">
        <v>1910</v>
      </c>
      <c r="D2720" s="10">
        <v>45602</v>
      </c>
      <c r="E2720" s="13" t="str">
        <f>+HYPERLINK("http://trademark.i-assist.jp/data/china/image_1910th/80328987.pdf","80328987")</f>
        <v>80328987</v>
      </c>
      <c r="F2720" s="11" t="s">
        <v>19</v>
      </c>
      <c r="G2720" s="9" t="s">
        <v>7423</v>
      </c>
      <c r="H2720" s="9" t="s">
        <v>7424</v>
      </c>
      <c r="I2720" s="10">
        <v>45517</v>
      </c>
    </row>
    <row r="2721" spans="1:9" x14ac:dyDescent="0.15">
      <c r="A2721" s="9">
        <v>2720</v>
      </c>
      <c r="B2721" s="9" t="s">
        <v>9</v>
      </c>
      <c r="C2721" s="9">
        <v>1910</v>
      </c>
      <c r="D2721" s="10">
        <v>45602</v>
      </c>
      <c r="E2721" s="13" t="str">
        <f>+HYPERLINK("http://trademark.i-assist.jp/data/china/image_1910th/80329073.pdf","80329073")</f>
        <v>80329073</v>
      </c>
      <c r="F2721" s="9" t="s">
        <v>7425</v>
      </c>
      <c r="G2721" s="9" t="s">
        <v>7426</v>
      </c>
      <c r="H2721" s="9" t="s">
        <v>7427</v>
      </c>
      <c r="I2721" s="10">
        <v>45517</v>
      </c>
    </row>
    <row r="2722" spans="1:9" x14ac:dyDescent="0.15">
      <c r="A2722" s="9">
        <v>2721</v>
      </c>
      <c r="B2722" s="9" t="s">
        <v>9</v>
      </c>
      <c r="C2722" s="9">
        <v>1910</v>
      </c>
      <c r="D2722" s="10">
        <v>45602</v>
      </c>
      <c r="E2722" s="13" t="str">
        <f>+HYPERLINK("http://trademark.i-assist.jp/data/china/image_1910th/80329331.pdf","80329331")</f>
        <v>80329331</v>
      </c>
      <c r="F2722" s="9" t="s">
        <v>7428</v>
      </c>
      <c r="G2722" s="9" t="s">
        <v>7372</v>
      </c>
      <c r="H2722" s="9" t="s">
        <v>7429</v>
      </c>
      <c r="I2722" s="10">
        <v>45517</v>
      </c>
    </row>
    <row r="2723" spans="1:9" x14ac:dyDescent="0.15">
      <c r="A2723" s="9">
        <v>2722</v>
      </c>
      <c r="B2723" s="9" t="s">
        <v>9</v>
      </c>
      <c r="C2723" s="9">
        <v>1910</v>
      </c>
      <c r="D2723" s="10">
        <v>45602</v>
      </c>
      <c r="E2723" s="13" t="str">
        <f>+HYPERLINK("http://trademark.i-assist.jp/data/china/image_1910th/80329350.pdf","80329350")</f>
        <v>80329350</v>
      </c>
      <c r="F2723" s="9" t="s">
        <v>7430</v>
      </c>
      <c r="G2723" s="11" t="s">
        <v>4479</v>
      </c>
      <c r="H2723" s="9" t="s">
        <v>7431</v>
      </c>
      <c r="I2723" s="10">
        <v>45517</v>
      </c>
    </row>
    <row r="2724" spans="1:9" x14ac:dyDescent="0.15">
      <c r="A2724" s="9">
        <v>2723</v>
      </c>
      <c r="B2724" s="9" t="s">
        <v>9</v>
      </c>
      <c r="C2724" s="9">
        <v>1910</v>
      </c>
      <c r="D2724" s="10">
        <v>45602</v>
      </c>
      <c r="E2724" s="13" t="str">
        <f>+HYPERLINK("http://trademark.i-assist.jp/data/china/image_1910th/80329457.pdf","80329457")</f>
        <v>80329457</v>
      </c>
      <c r="F2724" s="11" t="s">
        <v>19</v>
      </c>
      <c r="G2724" s="9" t="s">
        <v>7432</v>
      </c>
      <c r="H2724" s="9" t="s">
        <v>7433</v>
      </c>
      <c r="I2724" s="10">
        <v>45517</v>
      </c>
    </row>
    <row r="2725" spans="1:9" x14ac:dyDescent="0.15">
      <c r="A2725" s="9">
        <v>2724</v>
      </c>
      <c r="B2725" s="9" t="s">
        <v>9</v>
      </c>
      <c r="C2725" s="9">
        <v>1910</v>
      </c>
      <c r="D2725" s="10">
        <v>45602</v>
      </c>
      <c r="E2725" s="13" t="str">
        <f>+HYPERLINK("http://trademark.i-assist.jp/data/china/image_1910th/80329481.pdf","80329481")</f>
        <v>80329481</v>
      </c>
      <c r="F2725" s="9" t="s">
        <v>7434</v>
      </c>
      <c r="G2725" s="9" t="s">
        <v>7435</v>
      </c>
      <c r="H2725" s="9" t="s">
        <v>7436</v>
      </c>
      <c r="I2725" s="10">
        <v>45517</v>
      </c>
    </row>
    <row r="2726" spans="1:9" x14ac:dyDescent="0.15">
      <c r="A2726" s="9">
        <v>2725</v>
      </c>
      <c r="B2726" s="9" t="s">
        <v>9</v>
      </c>
      <c r="C2726" s="9">
        <v>1910</v>
      </c>
      <c r="D2726" s="10">
        <v>45602</v>
      </c>
      <c r="E2726" s="13" t="str">
        <f>+HYPERLINK("http://trademark.i-assist.jp/data/china/image_1910th/80329694.pdf","80329694")</f>
        <v>80329694</v>
      </c>
      <c r="F2726" s="9" t="s">
        <v>7437</v>
      </c>
      <c r="G2726" s="9" t="s">
        <v>7438</v>
      </c>
      <c r="H2726" s="9" t="s">
        <v>7439</v>
      </c>
      <c r="I2726" s="10">
        <v>45517</v>
      </c>
    </row>
    <row r="2727" spans="1:9" x14ac:dyDescent="0.15">
      <c r="A2727" s="9">
        <v>2726</v>
      </c>
      <c r="B2727" s="9" t="s">
        <v>9</v>
      </c>
      <c r="C2727" s="9">
        <v>1910</v>
      </c>
      <c r="D2727" s="10">
        <v>45602</v>
      </c>
      <c r="E2727" s="13" t="str">
        <f>+HYPERLINK("http://trademark.i-assist.jp/data/china/image_1910th/80329699.pdf","80329699")</f>
        <v>80329699</v>
      </c>
      <c r="F2727" s="9" t="s">
        <v>7440</v>
      </c>
      <c r="G2727" s="9" t="s">
        <v>7441</v>
      </c>
      <c r="H2727" s="9" t="s">
        <v>7442</v>
      </c>
      <c r="I2727" s="10">
        <v>45517</v>
      </c>
    </row>
    <row r="2728" spans="1:9" x14ac:dyDescent="0.15">
      <c r="A2728" s="9">
        <v>2727</v>
      </c>
      <c r="B2728" s="9" t="s">
        <v>9</v>
      </c>
      <c r="C2728" s="9">
        <v>1910</v>
      </c>
      <c r="D2728" s="10">
        <v>45602</v>
      </c>
      <c r="E2728" s="13" t="str">
        <f>+HYPERLINK("http://trademark.i-assist.jp/data/china/image_1910th/80329922.pdf","80329922")</f>
        <v>80329922</v>
      </c>
      <c r="F2728" s="9" t="s">
        <v>7443</v>
      </c>
      <c r="G2728" s="9" t="s">
        <v>4375</v>
      </c>
      <c r="H2728" s="9" t="s">
        <v>7444</v>
      </c>
      <c r="I2728" s="10">
        <v>45517</v>
      </c>
    </row>
    <row r="2729" spans="1:9" x14ac:dyDescent="0.15">
      <c r="A2729" s="9">
        <v>2728</v>
      </c>
      <c r="B2729" s="9" t="s">
        <v>9</v>
      </c>
      <c r="C2729" s="9">
        <v>1910</v>
      </c>
      <c r="D2729" s="10">
        <v>45602</v>
      </c>
      <c r="E2729" s="13" t="str">
        <f>+HYPERLINK("http://trademark.i-assist.jp/data/china/image_1910th/80330092.pdf","80330092")</f>
        <v>80330092</v>
      </c>
      <c r="F2729" s="11" t="s">
        <v>7445</v>
      </c>
      <c r="G2729" s="11" t="s">
        <v>7446</v>
      </c>
      <c r="H2729" s="9" t="s">
        <v>7447</v>
      </c>
      <c r="I2729" s="10">
        <v>45517</v>
      </c>
    </row>
    <row r="2730" spans="1:9" x14ac:dyDescent="0.15">
      <c r="A2730" s="9">
        <v>2729</v>
      </c>
      <c r="B2730" s="9" t="s">
        <v>9</v>
      </c>
      <c r="C2730" s="9">
        <v>1910</v>
      </c>
      <c r="D2730" s="10">
        <v>45602</v>
      </c>
      <c r="E2730" s="13" t="str">
        <f>+HYPERLINK("http://trademark.i-assist.jp/data/china/image_1910th/80330121.pdf","80330121")</f>
        <v>80330121</v>
      </c>
      <c r="F2730" s="9" t="s">
        <v>7448</v>
      </c>
      <c r="G2730" s="9" t="s">
        <v>7342</v>
      </c>
      <c r="H2730" s="9" t="s">
        <v>7449</v>
      </c>
      <c r="I2730" s="10">
        <v>45517</v>
      </c>
    </row>
    <row r="2731" spans="1:9" x14ac:dyDescent="0.15">
      <c r="A2731" s="9">
        <v>2730</v>
      </c>
      <c r="B2731" s="9" t="s">
        <v>9</v>
      </c>
      <c r="C2731" s="9">
        <v>1910</v>
      </c>
      <c r="D2731" s="10">
        <v>45602</v>
      </c>
      <c r="E2731" s="13" t="str">
        <f>+HYPERLINK("http://trademark.i-assist.jp/data/china/image_1910th/80330205.pdf","80330205")</f>
        <v>80330205</v>
      </c>
      <c r="F2731" s="9" t="s">
        <v>7450</v>
      </c>
      <c r="G2731" s="9" t="s">
        <v>7451</v>
      </c>
      <c r="H2731" s="9" t="s">
        <v>7452</v>
      </c>
      <c r="I2731" s="10">
        <v>45517</v>
      </c>
    </row>
    <row r="2732" spans="1:9" x14ac:dyDescent="0.15">
      <c r="A2732" s="9">
        <v>2731</v>
      </c>
      <c r="B2732" s="9" t="s">
        <v>9</v>
      </c>
      <c r="C2732" s="9">
        <v>1910</v>
      </c>
      <c r="D2732" s="10">
        <v>45602</v>
      </c>
      <c r="E2732" s="13" t="str">
        <f>+HYPERLINK("http://trademark.i-assist.jp/data/china/image_1910th/80330397.pdf","80330397")</f>
        <v>80330397</v>
      </c>
      <c r="F2732" s="9" t="s">
        <v>7453</v>
      </c>
      <c r="G2732" s="9" t="s">
        <v>7454</v>
      </c>
      <c r="H2732" s="9" t="s">
        <v>7455</v>
      </c>
      <c r="I2732" s="10">
        <v>45517</v>
      </c>
    </row>
    <row r="2733" spans="1:9" x14ac:dyDescent="0.15">
      <c r="A2733" s="9">
        <v>2732</v>
      </c>
      <c r="B2733" s="9" t="s">
        <v>9</v>
      </c>
      <c r="C2733" s="9">
        <v>1910</v>
      </c>
      <c r="D2733" s="10">
        <v>45602</v>
      </c>
      <c r="E2733" s="13" t="str">
        <f>+HYPERLINK("http://trademark.i-assist.jp/data/china/image_1910th/80330459.pdf","80330459")</f>
        <v>80330459</v>
      </c>
      <c r="F2733" s="9" t="s">
        <v>7456</v>
      </c>
      <c r="G2733" s="9" t="s">
        <v>7457</v>
      </c>
      <c r="H2733" s="9" t="s">
        <v>7458</v>
      </c>
      <c r="I2733" s="10">
        <v>45517</v>
      </c>
    </row>
    <row r="2734" spans="1:9" x14ac:dyDescent="0.15">
      <c r="A2734" s="9">
        <v>2733</v>
      </c>
      <c r="B2734" s="9" t="s">
        <v>9</v>
      </c>
      <c r="C2734" s="9">
        <v>1910</v>
      </c>
      <c r="D2734" s="10">
        <v>45602</v>
      </c>
      <c r="E2734" s="13" t="str">
        <f>+HYPERLINK("http://trademark.i-assist.jp/data/china/image_1910th/80330523.pdf","80330523")</f>
        <v>80330523</v>
      </c>
      <c r="F2734" s="9" t="s">
        <v>7459</v>
      </c>
      <c r="G2734" s="9" t="s">
        <v>4488</v>
      </c>
      <c r="H2734" s="9" t="s">
        <v>7460</v>
      </c>
      <c r="I2734" s="10">
        <v>45517</v>
      </c>
    </row>
    <row r="2735" spans="1:9" x14ac:dyDescent="0.15">
      <c r="A2735" s="9">
        <v>2734</v>
      </c>
      <c r="B2735" s="9" t="s">
        <v>9</v>
      </c>
      <c r="C2735" s="9">
        <v>1910</v>
      </c>
      <c r="D2735" s="10">
        <v>45602</v>
      </c>
      <c r="E2735" s="13" t="str">
        <f>+HYPERLINK("http://trademark.i-assist.jp/data/china/image_1910th/80330590.pdf","80330590")</f>
        <v>80330590</v>
      </c>
      <c r="F2735" s="11" t="s">
        <v>7461</v>
      </c>
      <c r="G2735" s="9" t="s">
        <v>7462</v>
      </c>
      <c r="H2735" s="9" t="s">
        <v>7463</v>
      </c>
      <c r="I2735" s="10">
        <v>45517</v>
      </c>
    </row>
    <row r="2736" spans="1:9" x14ac:dyDescent="0.15">
      <c r="A2736" s="9">
        <v>2735</v>
      </c>
      <c r="B2736" s="9" t="s">
        <v>9</v>
      </c>
      <c r="C2736" s="9">
        <v>1910</v>
      </c>
      <c r="D2736" s="10">
        <v>45602</v>
      </c>
      <c r="E2736" s="13" t="str">
        <f>+HYPERLINK("http://trademark.i-assist.jp/data/china/image_1910th/80330728.pdf","80330728")</f>
        <v>80330728</v>
      </c>
      <c r="F2736" s="9" t="s">
        <v>7464</v>
      </c>
      <c r="G2736" s="9" t="s">
        <v>7465</v>
      </c>
      <c r="H2736" s="9" t="s">
        <v>7466</v>
      </c>
      <c r="I2736" s="10">
        <v>45517</v>
      </c>
    </row>
    <row r="2737" spans="1:9" x14ac:dyDescent="0.15">
      <c r="A2737" s="9">
        <v>2736</v>
      </c>
      <c r="B2737" s="9" t="s">
        <v>9</v>
      </c>
      <c r="C2737" s="9">
        <v>1910</v>
      </c>
      <c r="D2737" s="10">
        <v>45602</v>
      </c>
      <c r="E2737" s="13" t="str">
        <f>+HYPERLINK("http://trademark.i-assist.jp/data/china/image_1910th/80330756.pdf","80330756")</f>
        <v>80330756</v>
      </c>
      <c r="F2737" s="9" t="s">
        <v>7467</v>
      </c>
      <c r="G2737" s="9" t="s">
        <v>7468</v>
      </c>
      <c r="H2737" s="9" t="s">
        <v>7469</v>
      </c>
      <c r="I2737" s="10">
        <v>45517</v>
      </c>
    </row>
    <row r="2738" spans="1:9" x14ac:dyDescent="0.15">
      <c r="A2738" s="9">
        <v>2737</v>
      </c>
      <c r="B2738" s="9" t="s">
        <v>9</v>
      </c>
      <c r="C2738" s="9">
        <v>1910</v>
      </c>
      <c r="D2738" s="10">
        <v>45602</v>
      </c>
      <c r="E2738" s="13" t="str">
        <f>+HYPERLINK("http://trademark.i-assist.jp/data/china/image_1910th/80330945.pdf","80330945")</f>
        <v>80330945</v>
      </c>
      <c r="F2738" s="11" t="s">
        <v>19</v>
      </c>
      <c r="G2738" s="11" t="s">
        <v>7470</v>
      </c>
      <c r="H2738" s="9" t="s">
        <v>7471</v>
      </c>
      <c r="I2738" s="10">
        <v>45517</v>
      </c>
    </row>
    <row r="2739" spans="1:9" x14ac:dyDescent="0.15">
      <c r="A2739" s="9">
        <v>2738</v>
      </c>
      <c r="B2739" s="9" t="s">
        <v>9</v>
      </c>
      <c r="C2739" s="9">
        <v>1910</v>
      </c>
      <c r="D2739" s="10">
        <v>45602</v>
      </c>
      <c r="E2739" s="13" t="str">
        <f>+HYPERLINK("http://trademark.i-assist.jp/data/china/image_1910th/80330979.pdf","80330979")</f>
        <v>80330979</v>
      </c>
      <c r="F2739" s="9" t="s">
        <v>7472</v>
      </c>
      <c r="G2739" s="11" t="s">
        <v>7473</v>
      </c>
      <c r="H2739" s="9" t="s">
        <v>7474</v>
      </c>
      <c r="I2739" s="10">
        <v>45517</v>
      </c>
    </row>
    <row r="2740" spans="1:9" x14ac:dyDescent="0.15">
      <c r="A2740" s="9">
        <v>2739</v>
      </c>
      <c r="B2740" s="9" t="s">
        <v>9</v>
      </c>
      <c r="C2740" s="9">
        <v>1910</v>
      </c>
      <c r="D2740" s="10">
        <v>45602</v>
      </c>
      <c r="E2740" s="13" t="str">
        <f>+HYPERLINK("http://trademark.i-assist.jp/data/china/image_1910th/80331102.pdf","80331102")</f>
        <v>80331102</v>
      </c>
      <c r="F2740" s="9" t="s">
        <v>7475</v>
      </c>
      <c r="G2740" s="11" t="s">
        <v>7476</v>
      </c>
      <c r="H2740" s="9" t="s">
        <v>7477</v>
      </c>
      <c r="I2740" s="10">
        <v>45517</v>
      </c>
    </row>
    <row r="2741" spans="1:9" x14ac:dyDescent="0.15">
      <c r="A2741" s="9">
        <v>2740</v>
      </c>
      <c r="B2741" s="9" t="s">
        <v>9</v>
      </c>
      <c r="C2741" s="9">
        <v>1910</v>
      </c>
      <c r="D2741" s="10">
        <v>45602</v>
      </c>
      <c r="E2741" s="13" t="str">
        <f>+HYPERLINK("http://trademark.i-assist.jp/data/china/image_1910th/80331148.pdf","80331148")</f>
        <v>80331148</v>
      </c>
      <c r="F2741" s="9" t="s">
        <v>7478</v>
      </c>
      <c r="G2741" s="9" t="s">
        <v>7479</v>
      </c>
      <c r="H2741" s="9" t="s">
        <v>7480</v>
      </c>
      <c r="I2741" s="10">
        <v>45517</v>
      </c>
    </row>
    <row r="2742" spans="1:9" x14ac:dyDescent="0.15">
      <c r="A2742" s="9">
        <v>2741</v>
      </c>
      <c r="B2742" s="9" t="s">
        <v>9</v>
      </c>
      <c r="C2742" s="9">
        <v>1910</v>
      </c>
      <c r="D2742" s="10">
        <v>45602</v>
      </c>
      <c r="E2742" s="13" t="str">
        <f>+HYPERLINK("http://trademark.i-assist.jp/data/china/image_1910th/80331399.pdf","80331399")</f>
        <v>80331399</v>
      </c>
      <c r="F2742" s="9" t="s">
        <v>7481</v>
      </c>
      <c r="G2742" s="9" t="s">
        <v>7351</v>
      </c>
      <c r="H2742" s="9" t="s">
        <v>7482</v>
      </c>
      <c r="I2742" s="10">
        <v>45517</v>
      </c>
    </row>
    <row r="2743" spans="1:9" x14ac:dyDescent="0.15">
      <c r="A2743" s="9">
        <v>2742</v>
      </c>
      <c r="B2743" s="9" t="s">
        <v>9</v>
      </c>
      <c r="C2743" s="9">
        <v>1910</v>
      </c>
      <c r="D2743" s="10">
        <v>45602</v>
      </c>
      <c r="E2743" s="13" t="str">
        <f>+HYPERLINK("http://trademark.i-assist.jp/data/china/image_1910th/80331618.pdf","80331618")</f>
        <v>80331618</v>
      </c>
      <c r="F2743" s="9" t="s">
        <v>7483</v>
      </c>
      <c r="G2743" s="9" t="s">
        <v>4488</v>
      </c>
      <c r="H2743" s="9" t="s">
        <v>7484</v>
      </c>
      <c r="I2743" s="10">
        <v>45517</v>
      </c>
    </row>
    <row r="2744" spans="1:9" x14ac:dyDescent="0.15">
      <c r="A2744" s="9">
        <v>2743</v>
      </c>
      <c r="B2744" s="9" t="s">
        <v>9</v>
      </c>
      <c r="C2744" s="9">
        <v>1910</v>
      </c>
      <c r="D2744" s="10">
        <v>45602</v>
      </c>
      <c r="E2744" s="13" t="str">
        <f>+HYPERLINK("http://trademark.i-assist.jp/data/china/image_1910th/80331675.pdf","80331675")</f>
        <v>80331675</v>
      </c>
      <c r="F2744" s="9" t="s">
        <v>7485</v>
      </c>
      <c r="G2744" s="9" t="s">
        <v>7389</v>
      </c>
      <c r="H2744" s="9" t="s">
        <v>7486</v>
      </c>
      <c r="I2744" s="10">
        <v>45517</v>
      </c>
    </row>
    <row r="2745" spans="1:9" x14ac:dyDescent="0.15">
      <c r="A2745" s="9">
        <v>2744</v>
      </c>
      <c r="B2745" s="9" t="s">
        <v>9</v>
      </c>
      <c r="C2745" s="9">
        <v>1910</v>
      </c>
      <c r="D2745" s="10">
        <v>45602</v>
      </c>
      <c r="E2745" s="13" t="str">
        <f>+HYPERLINK("http://trademark.i-assist.jp/data/china/image_1910th/80331878.pdf","80331878")</f>
        <v>80331878</v>
      </c>
      <c r="F2745" s="9" t="s">
        <v>7487</v>
      </c>
      <c r="G2745" s="9" t="s">
        <v>7488</v>
      </c>
      <c r="H2745" s="9" t="s">
        <v>7489</v>
      </c>
      <c r="I2745" s="10">
        <v>45517</v>
      </c>
    </row>
    <row r="2746" spans="1:9" x14ac:dyDescent="0.15">
      <c r="A2746" s="9">
        <v>2745</v>
      </c>
      <c r="B2746" s="9" t="s">
        <v>9</v>
      </c>
      <c r="C2746" s="9">
        <v>1910</v>
      </c>
      <c r="D2746" s="10">
        <v>45602</v>
      </c>
      <c r="E2746" s="13" t="str">
        <f>+HYPERLINK("http://trademark.i-assist.jp/data/china/image_1910th/80332197.pdf","80332197")</f>
        <v>80332197</v>
      </c>
      <c r="F2746" s="9" t="s">
        <v>7490</v>
      </c>
      <c r="G2746" s="9" t="s">
        <v>7491</v>
      </c>
      <c r="H2746" s="9" t="s">
        <v>7492</v>
      </c>
      <c r="I2746" s="10">
        <v>45517</v>
      </c>
    </row>
    <row r="2747" spans="1:9" x14ac:dyDescent="0.15">
      <c r="A2747" s="9">
        <v>2746</v>
      </c>
      <c r="B2747" s="9" t="s">
        <v>9</v>
      </c>
      <c r="C2747" s="9">
        <v>1910</v>
      </c>
      <c r="D2747" s="10">
        <v>45602</v>
      </c>
      <c r="E2747" s="13" t="str">
        <f>+HYPERLINK("http://trademark.i-assist.jp/data/china/image_1910th/80332206.pdf","80332206")</f>
        <v>80332206</v>
      </c>
      <c r="F2747" s="11" t="s">
        <v>19</v>
      </c>
      <c r="G2747" s="9" t="s">
        <v>7493</v>
      </c>
      <c r="H2747" s="9" t="s">
        <v>7494</v>
      </c>
      <c r="I2747" s="10">
        <v>45517</v>
      </c>
    </row>
    <row r="2748" spans="1:9" x14ac:dyDescent="0.15">
      <c r="A2748" s="9">
        <v>2747</v>
      </c>
      <c r="B2748" s="9" t="s">
        <v>9</v>
      </c>
      <c r="C2748" s="9">
        <v>1910</v>
      </c>
      <c r="D2748" s="10">
        <v>45602</v>
      </c>
      <c r="E2748" s="13" t="str">
        <f>+HYPERLINK("http://trademark.i-assist.jp/data/china/image_1910th/80332422.pdf","80332422")</f>
        <v>80332422</v>
      </c>
      <c r="F2748" s="11" t="s">
        <v>7495</v>
      </c>
      <c r="G2748" s="9" t="s">
        <v>7309</v>
      </c>
      <c r="H2748" s="9" t="s">
        <v>7496</v>
      </c>
      <c r="I2748" s="10">
        <v>45517</v>
      </c>
    </row>
    <row r="2749" spans="1:9" x14ac:dyDescent="0.15">
      <c r="A2749" s="9">
        <v>2748</v>
      </c>
      <c r="B2749" s="9" t="s">
        <v>9</v>
      </c>
      <c r="C2749" s="9">
        <v>1910</v>
      </c>
      <c r="D2749" s="10">
        <v>45602</v>
      </c>
      <c r="E2749" s="13" t="str">
        <f>+HYPERLINK("http://trademark.i-assist.jp/data/china/image_1910th/80332522.pdf","80332522")</f>
        <v>80332522</v>
      </c>
      <c r="F2749" s="11" t="s">
        <v>7497</v>
      </c>
      <c r="G2749" s="9" t="s">
        <v>7498</v>
      </c>
      <c r="H2749" s="9" t="s">
        <v>7499</v>
      </c>
      <c r="I2749" s="10">
        <v>45517</v>
      </c>
    </row>
    <row r="2750" spans="1:9" x14ac:dyDescent="0.15">
      <c r="A2750" s="9">
        <v>2749</v>
      </c>
      <c r="B2750" s="9" t="s">
        <v>9</v>
      </c>
      <c r="C2750" s="9">
        <v>1910</v>
      </c>
      <c r="D2750" s="10">
        <v>45602</v>
      </c>
      <c r="E2750" s="13" t="str">
        <f>+HYPERLINK("http://trademark.i-assist.jp/data/china/image_1910th/80332560.pdf","80332560")</f>
        <v>80332560</v>
      </c>
      <c r="F2750" s="9" t="s">
        <v>7500</v>
      </c>
      <c r="G2750" s="11" t="s">
        <v>7501</v>
      </c>
      <c r="H2750" s="11" t="s">
        <v>7502</v>
      </c>
      <c r="I2750" s="10">
        <v>45517</v>
      </c>
    </row>
    <row r="2751" spans="1:9" x14ac:dyDescent="0.15">
      <c r="A2751" s="9">
        <v>2750</v>
      </c>
      <c r="B2751" s="9" t="s">
        <v>9</v>
      </c>
      <c r="C2751" s="9">
        <v>1910</v>
      </c>
      <c r="D2751" s="10">
        <v>45602</v>
      </c>
      <c r="E2751" s="13" t="str">
        <f>+HYPERLINK("http://trademark.i-assist.jp/data/china/image_1910th/80332574.pdf","80332574")</f>
        <v>80332574</v>
      </c>
      <c r="F2751" s="9" t="s">
        <v>7503</v>
      </c>
      <c r="G2751" s="9" t="s">
        <v>7479</v>
      </c>
      <c r="H2751" s="9" t="s">
        <v>7504</v>
      </c>
      <c r="I2751" s="10">
        <v>45517</v>
      </c>
    </row>
    <row r="2752" spans="1:9" x14ac:dyDescent="0.15">
      <c r="A2752" s="9">
        <v>2751</v>
      </c>
      <c r="B2752" s="9" t="s">
        <v>9</v>
      </c>
      <c r="C2752" s="9">
        <v>1910</v>
      </c>
      <c r="D2752" s="10">
        <v>45602</v>
      </c>
      <c r="E2752" s="13" t="str">
        <f>+HYPERLINK("http://trademark.i-assist.jp/data/china/image_1910th/80332636.pdf","80332636")</f>
        <v>80332636</v>
      </c>
      <c r="F2752" s="9" t="s">
        <v>7505</v>
      </c>
      <c r="G2752" s="9" t="s">
        <v>7506</v>
      </c>
      <c r="H2752" s="9" t="s">
        <v>7507</v>
      </c>
      <c r="I2752" s="10">
        <v>45517</v>
      </c>
    </row>
    <row r="2753" spans="1:9" x14ac:dyDescent="0.15">
      <c r="A2753" s="9">
        <v>2752</v>
      </c>
      <c r="B2753" s="9" t="s">
        <v>9</v>
      </c>
      <c r="C2753" s="9">
        <v>1910</v>
      </c>
      <c r="D2753" s="10">
        <v>45602</v>
      </c>
      <c r="E2753" s="13" t="str">
        <f>+HYPERLINK("http://trademark.i-assist.jp/data/china/image_1910th/80332786.pdf","80332786")</f>
        <v>80332786</v>
      </c>
      <c r="F2753" s="9" t="s">
        <v>7508</v>
      </c>
      <c r="G2753" s="9" t="s">
        <v>7509</v>
      </c>
      <c r="H2753" s="9" t="s">
        <v>7510</v>
      </c>
      <c r="I2753" s="10">
        <v>45517</v>
      </c>
    </row>
    <row r="2754" spans="1:9" x14ac:dyDescent="0.15">
      <c r="A2754" s="9">
        <v>2753</v>
      </c>
      <c r="B2754" s="9" t="s">
        <v>9</v>
      </c>
      <c r="C2754" s="9">
        <v>1910</v>
      </c>
      <c r="D2754" s="10">
        <v>45602</v>
      </c>
      <c r="E2754" s="13" t="str">
        <f>+HYPERLINK("http://trademark.i-assist.jp/data/china/image_1910th/80332808.pdf","80332808")</f>
        <v>80332808</v>
      </c>
      <c r="F2754" s="9" t="s">
        <v>7511</v>
      </c>
      <c r="G2754" s="11" t="s">
        <v>7512</v>
      </c>
      <c r="H2754" s="9" t="s">
        <v>7513</v>
      </c>
      <c r="I2754" s="10">
        <v>45517</v>
      </c>
    </row>
    <row r="2755" spans="1:9" x14ac:dyDescent="0.15">
      <c r="A2755" s="9">
        <v>2754</v>
      </c>
      <c r="B2755" s="9" t="s">
        <v>9</v>
      </c>
      <c r="C2755" s="9">
        <v>1910</v>
      </c>
      <c r="D2755" s="10">
        <v>45602</v>
      </c>
      <c r="E2755" s="13" t="str">
        <f>+HYPERLINK("http://trademark.i-assist.jp/data/china/image_1910th/80332890.pdf","80332890")</f>
        <v>80332890</v>
      </c>
      <c r="F2755" s="9" t="s">
        <v>7514</v>
      </c>
      <c r="G2755" s="9" t="s">
        <v>7515</v>
      </c>
      <c r="H2755" s="9" t="s">
        <v>7516</v>
      </c>
      <c r="I2755" s="10">
        <v>45517</v>
      </c>
    </row>
    <row r="2756" spans="1:9" x14ac:dyDescent="0.15">
      <c r="A2756" s="9">
        <v>2755</v>
      </c>
      <c r="B2756" s="9" t="s">
        <v>9</v>
      </c>
      <c r="C2756" s="9">
        <v>1910</v>
      </c>
      <c r="D2756" s="10">
        <v>45602</v>
      </c>
      <c r="E2756" s="13" t="str">
        <f>+HYPERLINK("http://trademark.i-assist.jp/data/china/image_1910th/80332935.pdf","80332935")</f>
        <v>80332935</v>
      </c>
      <c r="F2756" s="9" t="s">
        <v>7517</v>
      </c>
      <c r="G2756" s="9" t="s">
        <v>7342</v>
      </c>
      <c r="H2756" s="9" t="s">
        <v>7518</v>
      </c>
      <c r="I2756" s="10">
        <v>45517</v>
      </c>
    </row>
    <row r="2757" spans="1:9" x14ac:dyDescent="0.15">
      <c r="A2757" s="9">
        <v>2756</v>
      </c>
      <c r="B2757" s="9" t="s">
        <v>9</v>
      </c>
      <c r="C2757" s="9">
        <v>1910</v>
      </c>
      <c r="D2757" s="10">
        <v>45602</v>
      </c>
      <c r="E2757" s="13" t="str">
        <f>+HYPERLINK("http://trademark.i-assist.jp/data/china/image_1910th/80332992.pdf","80332992")</f>
        <v>80332992</v>
      </c>
      <c r="F2757" s="9" t="s">
        <v>7519</v>
      </c>
      <c r="G2757" s="9" t="s">
        <v>7520</v>
      </c>
      <c r="H2757" s="9" t="s">
        <v>7521</v>
      </c>
      <c r="I2757" s="10">
        <v>45517</v>
      </c>
    </row>
    <row r="2758" spans="1:9" x14ac:dyDescent="0.15">
      <c r="A2758" s="9">
        <v>2757</v>
      </c>
      <c r="B2758" s="9" t="s">
        <v>9</v>
      </c>
      <c r="C2758" s="9">
        <v>1910</v>
      </c>
      <c r="D2758" s="10">
        <v>45602</v>
      </c>
      <c r="E2758" s="13" t="str">
        <f>+HYPERLINK("http://trademark.i-assist.jp/data/china/image_1910th/80333034.pdf","80333034")</f>
        <v>80333034</v>
      </c>
      <c r="F2758" s="9" t="s">
        <v>7522</v>
      </c>
      <c r="G2758" s="11" t="s">
        <v>7523</v>
      </c>
      <c r="H2758" s="9" t="s">
        <v>7524</v>
      </c>
      <c r="I2758" s="10">
        <v>45517</v>
      </c>
    </row>
    <row r="2759" spans="1:9" x14ac:dyDescent="0.15">
      <c r="A2759" s="9">
        <v>2758</v>
      </c>
      <c r="B2759" s="9" t="s">
        <v>9</v>
      </c>
      <c r="C2759" s="9">
        <v>1910</v>
      </c>
      <c r="D2759" s="10">
        <v>45602</v>
      </c>
      <c r="E2759" s="13" t="str">
        <f>+HYPERLINK("http://trademark.i-assist.jp/data/china/image_1910th/80333053.pdf","80333053")</f>
        <v>80333053</v>
      </c>
      <c r="F2759" s="9" t="s">
        <v>7525</v>
      </c>
      <c r="G2759" s="9" t="s">
        <v>7526</v>
      </c>
      <c r="H2759" s="9" t="s">
        <v>7527</v>
      </c>
      <c r="I2759" s="10">
        <v>45517</v>
      </c>
    </row>
    <row r="2760" spans="1:9" x14ac:dyDescent="0.15">
      <c r="A2760" s="9">
        <v>2759</v>
      </c>
      <c r="B2760" s="9" t="s">
        <v>9</v>
      </c>
      <c r="C2760" s="9">
        <v>1910</v>
      </c>
      <c r="D2760" s="10">
        <v>45602</v>
      </c>
      <c r="E2760" s="13" t="str">
        <f>+HYPERLINK("http://trademark.i-assist.jp/data/china/image_1910th/80333148.pdf","80333148")</f>
        <v>80333148</v>
      </c>
      <c r="F2760" s="9" t="s">
        <v>7528</v>
      </c>
      <c r="G2760" s="9" t="s">
        <v>7529</v>
      </c>
      <c r="H2760" s="9" t="s">
        <v>7530</v>
      </c>
      <c r="I2760" s="10">
        <v>45517</v>
      </c>
    </row>
    <row r="2761" spans="1:9" x14ac:dyDescent="0.15">
      <c r="A2761" s="9">
        <v>2760</v>
      </c>
      <c r="B2761" s="9" t="s">
        <v>9</v>
      </c>
      <c r="C2761" s="9">
        <v>1910</v>
      </c>
      <c r="D2761" s="10">
        <v>45602</v>
      </c>
      <c r="E2761" s="13" t="str">
        <f>+HYPERLINK("http://trademark.i-assist.jp/data/china/image_1910th/80333221.pdf","80333221")</f>
        <v>80333221</v>
      </c>
      <c r="F2761" s="9" t="s">
        <v>7531</v>
      </c>
      <c r="G2761" s="9" t="s">
        <v>7276</v>
      </c>
      <c r="H2761" s="9" t="s">
        <v>7532</v>
      </c>
      <c r="I2761" s="10">
        <v>45517</v>
      </c>
    </row>
    <row r="2762" spans="1:9" x14ac:dyDescent="0.15">
      <c r="A2762" s="9">
        <v>2761</v>
      </c>
      <c r="B2762" s="9" t="s">
        <v>9</v>
      </c>
      <c r="C2762" s="9">
        <v>1910</v>
      </c>
      <c r="D2762" s="10">
        <v>45602</v>
      </c>
      <c r="E2762" s="13" t="str">
        <f>+HYPERLINK("http://trademark.i-assist.jp/data/china/image_1910th/80333338.pdf","80333338")</f>
        <v>80333338</v>
      </c>
      <c r="F2762" s="9" t="s">
        <v>7533</v>
      </c>
      <c r="G2762" s="9" t="s">
        <v>7534</v>
      </c>
      <c r="H2762" s="9" t="s">
        <v>7535</v>
      </c>
      <c r="I2762" s="10">
        <v>45517</v>
      </c>
    </row>
    <row r="2763" spans="1:9" x14ac:dyDescent="0.15">
      <c r="A2763" s="9">
        <v>2762</v>
      </c>
      <c r="B2763" s="9" t="s">
        <v>9</v>
      </c>
      <c r="C2763" s="9">
        <v>1910</v>
      </c>
      <c r="D2763" s="10">
        <v>45602</v>
      </c>
      <c r="E2763" s="13" t="str">
        <f>+HYPERLINK("http://trademark.i-assist.jp/data/china/image_1910th/80333615.pdf","80333615")</f>
        <v>80333615</v>
      </c>
      <c r="F2763" s="9" t="s">
        <v>7536</v>
      </c>
      <c r="G2763" s="9" t="s">
        <v>7537</v>
      </c>
      <c r="H2763" s="9" t="s">
        <v>7538</v>
      </c>
      <c r="I2763" s="10">
        <v>45517</v>
      </c>
    </row>
    <row r="2764" spans="1:9" x14ac:dyDescent="0.15">
      <c r="A2764" s="9">
        <v>2763</v>
      </c>
      <c r="B2764" s="9" t="s">
        <v>9</v>
      </c>
      <c r="C2764" s="9">
        <v>1910</v>
      </c>
      <c r="D2764" s="10">
        <v>45602</v>
      </c>
      <c r="E2764" s="13" t="str">
        <f>+HYPERLINK("http://trademark.i-assist.jp/data/china/image_1910th/80333947.pdf","80333947")</f>
        <v>80333947</v>
      </c>
      <c r="F2764" s="9" t="s">
        <v>7539</v>
      </c>
      <c r="G2764" s="9" t="s">
        <v>7540</v>
      </c>
      <c r="H2764" s="11" t="s">
        <v>7541</v>
      </c>
      <c r="I2764" s="10">
        <v>45517</v>
      </c>
    </row>
    <row r="2765" spans="1:9" x14ac:dyDescent="0.15">
      <c r="A2765" s="9">
        <v>2764</v>
      </c>
      <c r="B2765" s="9" t="s">
        <v>9</v>
      </c>
      <c r="C2765" s="9">
        <v>1910</v>
      </c>
      <c r="D2765" s="10">
        <v>45602</v>
      </c>
      <c r="E2765" s="13" t="str">
        <f>+HYPERLINK("http://trademark.i-assist.jp/data/china/image_1910th/80334117.pdf","80334117")</f>
        <v>80334117</v>
      </c>
      <c r="F2765" s="9" t="s">
        <v>7542</v>
      </c>
      <c r="G2765" s="9" t="s">
        <v>7543</v>
      </c>
      <c r="H2765" s="9" t="s">
        <v>7544</v>
      </c>
      <c r="I2765" s="10">
        <v>45517</v>
      </c>
    </row>
    <row r="2766" spans="1:9" x14ac:dyDescent="0.15">
      <c r="A2766" s="9">
        <v>2765</v>
      </c>
      <c r="B2766" s="9" t="s">
        <v>9</v>
      </c>
      <c r="C2766" s="9">
        <v>1910</v>
      </c>
      <c r="D2766" s="10">
        <v>45602</v>
      </c>
      <c r="E2766" s="13" t="str">
        <f>+HYPERLINK("http://trademark.i-assist.jp/data/china/image_1910th/80334182.pdf","80334182")</f>
        <v>80334182</v>
      </c>
      <c r="F2766" s="9" t="s">
        <v>7545</v>
      </c>
      <c r="G2766" s="9" t="s">
        <v>7546</v>
      </c>
      <c r="H2766" s="9" t="s">
        <v>7547</v>
      </c>
      <c r="I2766" s="10">
        <v>45517</v>
      </c>
    </row>
    <row r="2767" spans="1:9" x14ac:dyDescent="0.15">
      <c r="A2767" s="9">
        <v>2766</v>
      </c>
      <c r="B2767" s="9" t="s">
        <v>9</v>
      </c>
      <c r="C2767" s="9">
        <v>1910</v>
      </c>
      <c r="D2767" s="10">
        <v>45602</v>
      </c>
      <c r="E2767" s="13" t="str">
        <f>+HYPERLINK("http://trademark.i-assist.jp/data/china/image_1910th/80334685.pdf","80334685")</f>
        <v>80334685</v>
      </c>
      <c r="F2767" s="9" t="s">
        <v>7548</v>
      </c>
      <c r="G2767" s="11" t="s">
        <v>7331</v>
      </c>
      <c r="H2767" s="11" t="s">
        <v>7549</v>
      </c>
      <c r="I2767" s="10">
        <v>45517</v>
      </c>
    </row>
    <row r="2768" spans="1:9" x14ac:dyDescent="0.15">
      <c r="A2768" s="9">
        <v>2767</v>
      </c>
      <c r="B2768" s="9" t="s">
        <v>9</v>
      </c>
      <c r="C2768" s="9">
        <v>1910</v>
      </c>
      <c r="D2768" s="10">
        <v>45602</v>
      </c>
      <c r="E2768" s="13" t="str">
        <f>+HYPERLINK("http://trademark.i-assist.jp/data/china/image_1910th/80334691.pdf","80334691")</f>
        <v>80334691</v>
      </c>
      <c r="F2768" s="9" t="s">
        <v>7550</v>
      </c>
      <c r="G2768" s="11" t="s">
        <v>7331</v>
      </c>
      <c r="H2768" s="9" t="s">
        <v>7551</v>
      </c>
      <c r="I2768" s="10">
        <v>45517</v>
      </c>
    </row>
    <row r="2769" spans="1:9" x14ac:dyDescent="0.15">
      <c r="A2769" s="9">
        <v>2768</v>
      </c>
      <c r="B2769" s="9" t="s">
        <v>9</v>
      </c>
      <c r="C2769" s="9">
        <v>1910</v>
      </c>
      <c r="D2769" s="10">
        <v>45602</v>
      </c>
      <c r="E2769" s="13" t="str">
        <f>+HYPERLINK("http://trademark.i-assist.jp/data/china/image_1910th/80334825.pdf","80334825")</f>
        <v>80334825</v>
      </c>
      <c r="F2769" s="9" t="s">
        <v>7552</v>
      </c>
      <c r="G2769" s="9" t="s">
        <v>7498</v>
      </c>
      <c r="H2769" s="9" t="s">
        <v>7553</v>
      </c>
      <c r="I2769" s="10">
        <v>45517</v>
      </c>
    </row>
    <row r="2770" spans="1:9" x14ac:dyDescent="0.15">
      <c r="A2770" s="9">
        <v>2769</v>
      </c>
      <c r="B2770" s="9" t="s">
        <v>9</v>
      </c>
      <c r="C2770" s="9">
        <v>1910</v>
      </c>
      <c r="D2770" s="10">
        <v>45602</v>
      </c>
      <c r="E2770" s="13" t="str">
        <f>+HYPERLINK("http://trademark.i-assist.jp/data/china/image_1910th/80334829.pdf","80334829")</f>
        <v>80334829</v>
      </c>
      <c r="F2770" s="9" t="s">
        <v>7554</v>
      </c>
      <c r="G2770" s="9" t="s">
        <v>7555</v>
      </c>
      <c r="H2770" s="9" t="s">
        <v>7556</v>
      </c>
      <c r="I2770" s="10">
        <v>45517</v>
      </c>
    </row>
    <row r="2771" spans="1:9" x14ac:dyDescent="0.15">
      <c r="A2771" s="9">
        <v>2770</v>
      </c>
      <c r="B2771" s="9" t="s">
        <v>9</v>
      </c>
      <c r="C2771" s="9">
        <v>1910</v>
      </c>
      <c r="D2771" s="10">
        <v>45602</v>
      </c>
      <c r="E2771" s="13" t="str">
        <f>+HYPERLINK("http://trademark.i-assist.jp/data/china/image_1910th/80334899.pdf","80334899")</f>
        <v>80334899</v>
      </c>
      <c r="F2771" s="9" t="s">
        <v>7557</v>
      </c>
      <c r="G2771" s="9" t="s">
        <v>7558</v>
      </c>
      <c r="H2771" s="9" t="s">
        <v>7559</v>
      </c>
      <c r="I2771" s="10">
        <v>45517</v>
      </c>
    </row>
    <row r="2772" spans="1:9" x14ac:dyDescent="0.15">
      <c r="A2772" s="9">
        <v>2771</v>
      </c>
      <c r="B2772" s="9" t="s">
        <v>9</v>
      </c>
      <c r="C2772" s="9">
        <v>1910</v>
      </c>
      <c r="D2772" s="10">
        <v>45602</v>
      </c>
      <c r="E2772" s="13" t="str">
        <f>+HYPERLINK("http://trademark.i-assist.jp/data/china/image_1910th/80334936.pdf","80334936")</f>
        <v>80334936</v>
      </c>
      <c r="F2772" s="9" t="s">
        <v>7560</v>
      </c>
      <c r="G2772" s="9" t="s">
        <v>7561</v>
      </c>
      <c r="H2772" s="9" t="s">
        <v>7562</v>
      </c>
      <c r="I2772" s="10">
        <v>45517</v>
      </c>
    </row>
    <row r="2773" spans="1:9" x14ac:dyDescent="0.15">
      <c r="A2773" s="9">
        <v>2772</v>
      </c>
      <c r="B2773" s="9" t="s">
        <v>9</v>
      </c>
      <c r="C2773" s="9">
        <v>1910</v>
      </c>
      <c r="D2773" s="10">
        <v>45602</v>
      </c>
      <c r="E2773" s="13" t="str">
        <f>+HYPERLINK("http://trademark.i-assist.jp/data/china/image_1910th/80334947.pdf","80334947")</f>
        <v>80334947</v>
      </c>
      <c r="F2773" s="9" t="s">
        <v>7563</v>
      </c>
      <c r="G2773" s="9" t="s">
        <v>7564</v>
      </c>
      <c r="H2773" s="9" t="s">
        <v>7565</v>
      </c>
      <c r="I2773" s="10">
        <v>45517</v>
      </c>
    </row>
    <row r="2774" spans="1:9" x14ac:dyDescent="0.15">
      <c r="A2774" s="9">
        <v>2773</v>
      </c>
      <c r="B2774" s="9" t="s">
        <v>9</v>
      </c>
      <c r="C2774" s="9">
        <v>1910</v>
      </c>
      <c r="D2774" s="10">
        <v>45602</v>
      </c>
      <c r="E2774" s="13" t="str">
        <f>+HYPERLINK("http://trademark.i-assist.jp/data/china/image_1910th/80335074.pdf","80335074")</f>
        <v>80335074</v>
      </c>
      <c r="F2774" s="11" t="s">
        <v>7566</v>
      </c>
      <c r="G2774" s="9" t="s">
        <v>7567</v>
      </c>
      <c r="H2774" s="9" t="s">
        <v>7568</v>
      </c>
      <c r="I2774" s="10">
        <v>45517</v>
      </c>
    </row>
    <row r="2775" spans="1:9" x14ac:dyDescent="0.15">
      <c r="A2775" s="9">
        <v>2774</v>
      </c>
      <c r="B2775" s="9" t="s">
        <v>9</v>
      </c>
      <c r="C2775" s="9">
        <v>1910</v>
      </c>
      <c r="D2775" s="10">
        <v>45602</v>
      </c>
      <c r="E2775" s="13" t="str">
        <f>+HYPERLINK("http://trademark.i-assist.jp/data/china/image_1910th/80335627.pdf","80335627")</f>
        <v>80335627</v>
      </c>
      <c r="F2775" s="9" t="s">
        <v>7569</v>
      </c>
      <c r="G2775" s="9" t="s">
        <v>7570</v>
      </c>
      <c r="H2775" s="9" t="s">
        <v>7571</v>
      </c>
      <c r="I2775" s="10">
        <v>45517</v>
      </c>
    </row>
    <row r="2776" spans="1:9" x14ac:dyDescent="0.15">
      <c r="A2776" s="9">
        <v>2775</v>
      </c>
      <c r="B2776" s="9" t="s">
        <v>9</v>
      </c>
      <c r="C2776" s="9">
        <v>1910</v>
      </c>
      <c r="D2776" s="10">
        <v>45602</v>
      </c>
      <c r="E2776" s="13" t="str">
        <f>+HYPERLINK("http://trademark.i-assist.jp/data/china/image_1910th/80335660.pdf","80335660")</f>
        <v>80335660</v>
      </c>
      <c r="F2776" s="11" t="s">
        <v>19</v>
      </c>
      <c r="G2776" s="9" t="s">
        <v>7572</v>
      </c>
      <c r="H2776" s="9" t="s">
        <v>7573</v>
      </c>
      <c r="I2776" s="10">
        <v>45517</v>
      </c>
    </row>
    <row r="2777" spans="1:9" x14ac:dyDescent="0.15">
      <c r="A2777" s="9">
        <v>2776</v>
      </c>
      <c r="B2777" s="9" t="s">
        <v>9</v>
      </c>
      <c r="C2777" s="9">
        <v>1910</v>
      </c>
      <c r="D2777" s="10">
        <v>45602</v>
      </c>
      <c r="E2777" s="13" t="str">
        <f>+HYPERLINK("http://trademark.i-assist.jp/data/china/image_1910th/80335873.pdf","80335873")</f>
        <v>80335873</v>
      </c>
      <c r="F2777" s="11" t="s">
        <v>19</v>
      </c>
      <c r="G2777" s="9" t="s">
        <v>7574</v>
      </c>
      <c r="H2777" s="9" t="s">
        <v>7575</v>
      </c>
      <c r="I2777" s="10">
        <v>45517</v>
      </c>
    </row>
    <row r="2778" spans="1:9" x14ac:dyDescent="0.15">
      <c r="A2778" s="9">
        <v>2777</v>
      </c>
      <c r="B2778" s="9" t="s">
        <v>9</v>
      </c>
      <c r="C2778" s="9">
        <v>1910</v>
      </c>
      <c r="D2778" s="10">
        <v>45602</v>
      </c>
      <c r="E2778" s="13" t="str">
        <f>+HYPERLINK("http://trademark.i-assist.jp/data/china/image_1910th/80335893.pdf","80335893")</f>
        <v>80335893</v>
      </c>
      <c r="F2778" s="11" t="s">
        <v>19</v>
      </c>
      <c r="G2778" s="9" t="s">
        <v>7576</v>
      </c>
      <c r="H2778" s="9" t="s">
        <v>7577</v>
      </c>
      <c r="I2778" s="10">
        <v>45517</v>
      </c>
    </row>
    <row r="2779" spans="1:9" x14ac:dyDescent="0.15">
      <c r="A2779" s="9">
        <v>2778</v>
      </c>
      <c r="B2779" s="9" t="s">
        <v>9</v>
      </c>
      <c r="C2779" s="9">
        <v>1910</v>
      </c>
      <c r="D2779" s="10">
        <v>45602</v>
      </c>
      <c r="E2779" s="13" t="str">
        <f>+HYPERLINK("http://trademark.i-assist.jp/data/china/image_1910th/80336097.pdf","80336097")</f>
        <v>80336097</v>
      </c>
      <c r="F2779" s="9" t="s">
        <v>7578</v>
      </c>
      <c r="G2779" s="9" t="s">
        <v>85</v>
      </c>
      <c r="H2779" s="9" t="s">
        <v>7579</v>
      </c>
      <c r="I2779" s="10">
        <v>45517</v>
      </c>
    </row>
    <row r="2780" spans="1:9" x14ac:dyDescent="0.15">
      <c r="A2780" s="9">
        <v>2779</v>
      </c>
      <c r="B2780" s="9" t="s">
        <v>9</v>
      </c>
      <c r="C2780" s="9">
        <v>1910</v>
      </c>
      <c r="D2780" s="10">
        <v>45602</v>
      </c>
      <c r="E2780" s="13" t="str">
        <f>+HYPERLINK("http://trademark.i-assist.jp/data/china/image_1910th/80336108.pdf","80336108")</f>
        <v>80336108</v>
      </c>
      <c r="F2780" s="9" t="s">
        <v>7580</v>
      </c>
      <c r="G2780" s="11" t="s">
        <v>7581</v>
      </c>
      <c r="H2780" s="11" t="s">
        <v>7582</v>
      </c>
      <c r="I2780" s="10">
        <v>45517</v>
      </c>
    </row>
    <row r="2781" spans="1:9" x14ac:dyDescent="0.15">
      <c r="A2781" s="9">
        <v>2780</v>
      </c>
      <c r="B2781" s="9" t="s">
        <v>9</v>
      </c>
      <c r="C2781" s="9">
        <v>1910</v>
      </c>
      <c r="D2781" s="10">
        <v>45602</v>
      </c>
      <c r="E2781" s="13" t="str">
        <f>+HYPERLINK("http://trademark.i-assist.jp/data/china/image_1910th/80336131.pdf","80336131")</f>
        <v>80336131</v>
      </c>
      <c r="F2781" s="9" t="s">
        <v>7583</v>
      </c>
      <c r="G2781" s="11" t="s">
        <v>7584</v>
      </c>
      <c r="H2781" s="9" t="s">
        <v>7585</v>
      </c>
      <c r="I2781" s="10">
        <v>45517</v>
      </c>
    </row>
    <row r="2782" spans="1:9" x14ac:dyDescent="0.15">
      <c r="A2782" s="9">
        <v>2781</v>
      </c>
      <c r="B2782" s="9" t="s">
        <v>9</v>
      </c>
      <c r="C2782" s="9">
        <v>1910</v>
      </c>
      <c r="D2782" s="10">
        <v>45602</v>
      </c>
      <c r="E2782" s="13" t="str">
        <f>+HYPERLINK("http://trademark.i-assist.jp/data/china/image_1910th/80336511.pdf","80336511")</f>
        <v>80336511</v>
      </c>
      <c r="F2782" s="11" t="s">
        <v>19</v>
      </c>
      <c r="G2782" s="9" t="s">
        <v>7586</v>
      </c>
      <c r="H2782" s="9" t="s">
        <v>7587</v>
      </c>
      <c r="I2782" s="10">
        <v>45517</v>
      </c>
    </row>
    <row r="2783" spans="1:9" x14ac:dyDescent="0.15">
      <c r="A2783" s="9">
        <v>2782</v>
      </c>
      <c r="B2783" s="9" t="s">
        <v>9</v>
      </c>
      <c r="C2783" s="9">
        <v>1910</v>
      </c>
      <c r="D2783" s="10">
        <v>45602</v>
      </c>
      <c r="E2783" s="13" t="str">
        <f>+HYPERLINK("http://trademark.i-assist.jp/data/china/image_1910th/80336544.pdf","80336544")</f>
        <v>80336544</v>
      </c>
      <c r="F2783" s="9" t="s">
        <v>7588</v>
      </c>
      <c r="G2783" s="11" t="s">
        <v>7589</v>
      </c>
      <c r="H2783" s="9" t="s">
        <v>7590</v>
      </c>
      <c r="I2783" s="10">
        <v>45517</v>
      </c>
    </row>
    <row r="2784" spans="1:9" x14ac:dyDescent="0.15">
      <c r="A2784" s="9">
        <v>2783</v>
      </c>
      <c r="B2784" s="9" t="s">
        <v>9</v>
      </c>
      <c r="C2784" s="9">
        <v>1910</v>
      </c>
      <c r="D2784" s="10">
        <v>45602</v>
      </c>
      <c r="E2784" s="13" t="str">
        <f>+HYPERLINK("http://trademark.i-assist.jp/data/china/image_1910th/80336657.pdf","80336657")</f>
        <v>80336657</v>
      </c>
      <c r="F2784" s="9" t="s">
        <v>7591</v>
      </c>
      <c r="G2784" s="9" t="s">
        <v>7592</v>
      </c>
      <c r="H2784" s="11" t="s">
        <v>7593</v>
      </c>
      <c r="I2784" s="10">
        <v>45517</v>
      </c>
    </row>
    <row r="2785" spans="1:9" x14ac:dyDescent="0.15">
      <c r="A2785" s="9">
        <v>2784</v>
      </c>
      <c r="B2785" s="9" t="s">
        <v>9</v>
      </c>
      <c r="C2785" s="9">
        <v>1910</v>
      </c>
      <c r="D2785" s="10">
        <v>45602</v>
      </c>
      <c r="E2785" s="13" t="str">
        <f>+HYPERLINK("http://trademark.i-assist.jp/data/china/image_1910th/80336736.pdf","80336736")</f>
        <v>80336736</v>
      </c>
      <c r="F2785" s="9" t="s">
        <v>7594</v>
      </c>
      <c r="G2785" s="9" t="s">
        <v>7595</v>
      </c>
      <c r="H2785" s="9" t="s">
        <v>7596</v>
      </c>
      <c r="I2785" s="10">
        <v>45517</v>
      </c>
    </row>
    <row r="2786" spans="1:9" x14ac:dyDescent="0.15">
      <c r="A2786" s="9">
        <v>2785</v>
      </c>
      <c r="B2786" s="9" t="s">
        <v>9</v>
      </c>
      <c r="C2786" s="9">
        <v>1910</v>
      </c>
      <c r="D2786" s="10">
        <v>45602</v>
      </c>
      <c r="E2786" s="13" t="str">
        <f>+HYPERLINK("http://trademark.i-assist.jp/data/china/image_1910th/80336878.pdf","80336878")</f>
        <v>80336878</v>
      </c>
      <c r="F2786" s="9" t="s">
        <v>7597</v>
      </c>
      <c r="G2786" s="9" t="s">
        <v>7598</v>
      </c>
      <c r="H2786" s="9" t="s">
        <v>7599</v>
      </c>
      <c r="I2786" s="10">
        <v>45517</v>
      </c>
    </row>
    <row r="2787" spans="1:9" x14ac:dyDescent="0.15">
      <c r="A2787" s="9">
        <v>2786</v>
      </c>
      <c r="B2787" s="9" t="s">
        <v>9</v>
      </c>
      <c r="C2787" s="9">
        <v>1910</v>
      </c>
      <c r="D2787" s="10">
        <v>45602</v>
      </c>
      <c r="E2787" s="13" t="str">
        <f>+HYPERLINK("http://trademark.i-assist.jp/data/china/image_1910th/80337145.pdf","80337145")</f>
        <v>80337145</v>
      </c>
      <c r="F2787" s="11" t="s">
        <v>7600</v>
      </c>
      <c r="G2787" s="9" t="s">
        <v>7601</v>
      </c>
      <c r="H2787" s="9" t="s">
        <v>7602</v>
      </c>
      <c r="I2787" s="10">
        <v>45517</v>
      </c>
    </row>
    <row r="2788" spans="1:9" x14ac:dyDescent="0.15">
      <c r="A2788" s="9">
        <v>2787</v>
      </c>
      <c r="B2788" s="9" t="s">
        <v>9</v>
      </c>
      <c r="C2788" s="9">
        <v>1910</v>
      </c>
      <c r="D2788" s="10">
        <v>45602</v>
      </c>
      <c r="E2788" s="13" t="str">
        <f>+HYPERLINK("http://trademark.i-assist.jp/data/china/image_1910th/80337181.pdf","80337181")</f>
        <v>80337181</v>
      </c>
      <c r="F2788" s="9" t="s">
        <v>7603</v>
      </c>
      <c r="G2788" s="9" t="s">
        <v>7604</v>
      </c>
      <c r="H2788" s="9" t="s">
        <v>7605</v>
      </c>
      <c r="I2788" s="10">
        <v>45517</v>
      </c>
    </row>
    <row r="2789" spans="1:9" x14ac:dyDescent="0.15">
      <c r="A2789" s="9">
        <v>2788</v>
      </c>
      <c r="B2789" s="9" t="s">
        <v>9</v>
      </c>
      <c r="C2789" s="9">
        <v>1910</v>
      </c>
      <c r="D2789" s="10">
        <v>45602</v>
      </c>
      <c r="E2789" s="13" t="str">
        <f>+HYPERLINK("http://trademark.i-assist.jp/data/china/image_1910th/80337346.pdf","80337346")</f>
        <v>80337346</v>
      </c>
      <c r="F2789" s="11" t="s">
        <v>7606</v>
      </c>
      <c r="G2789" s="11" t="s">
        <v>7401</v>
      </c>
      <c r="H2789" s="9" t="s">
        <v>7607</v>
      </c>
      <c r="I2789" s="10">
        <v>45517</v>
      </c>
    </row>
    <row r="2790" spans="1:9" x14ac:dyDescent="0.15">
      <c r="A2790" s="9">
        <v>2789</v>
      </c>
      <c r="B2790" s="9" t="s">
        <v>9</v>
      </c>
      <c r="C2790" s="9">
        <v>1910</v>
      </c>
      <c r="D2790" s="10">
        <v>45602</v>
      </c>
      <c r="E2790" s="13" t="str">
        <f>+HYPERLINK("http://trademark.i-assist.jp/data/china/image_1910th/80337858.pdf","80337858")</f>
        <v>80337858</v>
      </c>
      <c r="F2790" s="9" t="s">
        <v>7608</v>
      </c>
      <c r="G2790" s="9" t="s">
        <v>7609</v>
      </c>
      <c r="H2790" s="9" t="s">
        <v>7610</v>
      </c>
      <c r="I2790" s="10">
        <v>45517</v>
      </c>
    </row>
    <row r="2791" spans="1:9" x14ac:dyDescent="0.15">
      <c r="A2791" s="9">
        <v>2790</v>
      </c>
      <c r="B2791" s="9" t="s">
        <v>9</v>
      </c>
      <c r="C2791" s="9">
        <v>1910</v>
      </c>
      <c r="D2791" s="10">
        <v>45602</v>
      </c>
      <c r="E2791" s="13" t="str">
        <f>+HYPERLINK("http://trademark.i-assist.jp/data/china/image_1910th/80337928.pdf","80337928")</f>
        <v>80337928</v>
      </c>
      <c r="F2791" s="9" t="s">
        <v>7611</v>
      </c>
      <c r="G2791" s="9" t="s">
        <v>7309</v>
      </c>
      <c r="H2791" s="9" t="s">
        <v>7612</v>
      </c>
      <c r="I2791" s="10">
        <v>45517</v>
      </c>
    </row>
    <row r="2792" spans="1:9" x14ac:dyDescent="0.15">
      <c r="A2792" s="9">
        <v>2791</v>
      </c>
      <c r="B2792" s="9" t="s">
        <v>9</v>
      </c>
      <c r="C2792" s="9">
        <v>1910</v>
      </c>
      <c r="D2792" s="10">
        <v>45602</v>
      </c>
      <c r="E2792" s="13" t="str">
        <f>+HYPERLINK("http://trademark.i-assist.jp/data/china/image_1910th/80337986.pdf","80337986")</f>
        <v>80337986</v>
      </c>
      <c r="F2792" s="9" t="s">
        <v>7613</v>
      </c>
      <c r="G2792" s="11" t="s">
        <v>7614</v>
      </c>
      <c r="H2792" s="9" t="s">
        <v>7615</v>
      </c>
      <c r="I2792" s="10">
        <v>45517</v>
      </c>
    </row>
    <row r="2793" spans="1:9" x14ac:dyDescent="0.15">
      <c r="A2793" s="9">
        <v>2792</v>
      </c>
      <c r="B2793" s="9" t="s">
        <v>9</v>
      </c>
      <c r="C2793" s="9">
        <v>1910</v>
      </c>
      <c r="D2793" s="10">
        <v>45602</v>
      </c>
      <c r="E2793" s="13" t="str">
        <f>+HYPERLINK("http://trademark.i-assist.jp/data/china/image_1910th/80338134.pdf","80338134")</f>
        <v>80338134</v>
      </c>
      <c r="F2793" s="9" t="s">
        <v>7616</v>
      </c>
      <c r="G2793" s="9" t="s">
        <v>7617</v>
      </c>
      <c r="H2793" s="9" t="s">
        <v>7618</v>
      </c>
      <c r="I2793" s="10">
        <v>45517</v>
      </c>
    </row>
    <row r="2794" spans="1:9" x14ac:dyDescent="0.15">
      <c r="A2794" s="9">
        <v>2793</v>
      </c>
      <c r="B2794" s="9" t="s">
        <v>9</v>
      </c>
      <c r="C2794" s="9">
        <v>1910</v>
      </c>
      <c r="D2794" s="10">
        <v>45602</v>
      </c>
      <c r="E2794" s="13" t="str">
        <f>+HYPERLINK("http://trademark.i-assist.jp/data/china/image_1910th/80338314.pdf","80338314")</f>
        <v>80338314</v>
      </c>
      <c r="F2794" s="9" t="s">
        <v>7619</v>
      </c>
      <c r="G2794" s="11" t="s">
        <v>7620</v>
      </c>
      <c r="H2794" s="9" t="s">
        <v>7621</v>
      </c>
      <c r="I2794" s="10">
        <v>45517</v>
      </c>
    </row>
    <row r="2795" spans="1:9" x14ac:dyDescent="0.15">
      <c r="A2795" s="9">
        <v>2794</v>
      </c>
      <c r="B2795" s="9" t="s">
        <v>9</v>
      </c>
      <c r="C2795" s="9">
        <v>1910</v>
      </c>
      <c r="D2795" s="10">
        <v>45602</v>
      </c>
      <c r="E2795" s="13" t="str">
        <f>+HYPERLINK("http://trademark.i-assist.jp/data/china/image_1910th/80338595.pdf","80338595")</f>
        <v>80338595</v>
      </c>
      <c r="F2795" s="9" t="s">
        <v>7622</v>
      </c>
      <c r="G2795" s="9" t="s">
        <v>7623</v>
      </c>
      <c r="H2795" s="9" t="s">
        <v>7624</v>
      </c>
      <c r="I2795" s="10">
        <v>45517</v>
      </c>
    </row>
    <row r="2796" spans="1:9" x14ac:dyDescent="0.15">
      <c r="A2796" s="9">
        <v>2795</v>
      </c>
      <c r="B2796" s="9" t="s">
        <v>9</v>
      </c>
      <c r="C2796" s="9">
        <v>1910</v>
      </c>
      <c r="D2796" s="10">
        <v>45602</v>
      </c>
      <c r="E2796" s="13" t="str">
        <f>+HYPERLINK("http://trademark.i-assist.jp/data/china/image_1910th/80338851.pdf","80338851")</f>
        <v>80338851</v>
      </c>
      <c r="F2796" s="9" t="s">
        <v>7625</v>
      </c>
      <c r="G2796" s="9" t="s">
        <v>14</v>
      </c>
      <c r="H2796" s="9" t="s">
        <v>7626</v>
      </c>
      <c r="I2796" s="10">
        <v>45517</v>
      </c>
    </row>
    <row r="2797" spans="1:9" x14ac:dyDescent="0.15">
      <c r="A2797" s="9">
        <v>2796</v>
      </c>
      <c r="B2797" s="9" t="s">
        <v>9</v>
      </c>
      <c r="C2797" s="9">
        <v>1910</v>
      </c>
      <c r="D2797" s="10">
        <v>45602</v>
      </c>
      <c r="E2797" s="13" t="str">
        <f>+HYPERLINK("http://trademark.i-assist.jp/data/china/image_1910th/80338974.pdf","80338974")</f>
        <v>80338974</v>
      </c>
      <c r="F2797" s="9" t="s">
        <v>7627</v>
      </c>
      <c r="G2797" s="9" t="s">
        <v>7574</v>
      </c>
      <c r="H2797" s="9" t="s">
        <v>7628</v>
      </c>
      <c r="I2797" s="10">
        <v>45517</v>
      </c>
    </row>
    <row r="2798" spans="1:9" x14ac:dyDescent="0.15">
      <c r="A2798" s="9">
        <v>2797</v>
      </c>
      <c r="B2798" s="9" t="s">
        <v>9</v>
      </c>
      <c r="C2798" s="9">
        <v>1910</v>
      </c>
      <c r="D2798" s="10">
        <v>45602</v>
      </c>
      <c r="E2798" s="13" t="str">
        <f>+HYPERLINK("http://trademark.i-assist.jp/data/china/image_1910th/80338987.pdf","80338987")</f>
        <v>80338987</v>
      </c>
      <c r="F2798" s="11" t="s">
        <v>19</v>
      </c>
      <c r="G2798" s="9" t="s">
        <v>7574</v>
      </c>
      <c r="H2798" s="9" t="s">
        <v>7629</v>
      </c>
      <c r="I2798" s="10">
        <v>45517</v>
      </c>
    </row>
    <row r="2799" spans="1:9" x14ac:dyDescent="0.15">
      <c r="A2799" s="9">
        <v>2798</v>
      </c>
      <c r="B2799" s="9" t="s">
        <v>9</v>
      </c>
      <c r="C2799" s="9">
        <v>1910</v>
      </c>
      <c r="D2799" s="10">
        <v>45602</v>
      </c>
      <c r="E2799" s="13" t="str">
        <f>+HYPERLINK("http://trademark.i-assist.jp/data/china/image_1910th/80339139.pdf","80339139")</f>
        <v>80339139</v>
      </c>
      <c r="F2799" s="9" t="s">
        <v>7630</v>
      </c>
      <c r="G2799" s="9" t="s">
        <v>7631</v>
      </c>
      <c r="H2799" s="9" t="s">
        <v>7632</v>
      </c>
      <c r="I2799" s="10">
        <v>45517</v>
      </c>
    </row>
    <row r="2800" spans="1:9" x14ac:dyDescent="0.15">
      <c r="A2800" s="9">
        <v>2799</v>
      </c>
      <c r="B2800" s="9" t="s">
        <v>9</v>
      </c>
      <c r="C2800" s="9">
        <v>1910</v>
      </c>
      <c r="D2800" s="10">
        <v>45602</v>
      </c>
      <c r="E2800" s="13" t="str">
        <f>+HYPERLINK("http://trademark.i-assist.jp/data/china/image_1910th/80339309.pdf","80339309")</f>
        <v>80339309</v>
      </c>
      <c r="F2800" s="11" t="s">
        <v>7633</v>
      </c>
      <c r="G2800" s="9" t="s">
        <v>7634</v>
      </c>
      <c r="H2800" s="9" t="s">
        <v>7635</v>
      </c>
      <c r="I2800" s="10">
        <v>45517</v>
      </c>
    </row>
    <row r="2801" spans="1:9" x14ac:dyDescent="0.15">
      <c r="A2801" s="9">
        <v>2800</v>
      </c>
      <c r="B2801" s="9" t="s">
        <v>9</v>
      </c>
      <c r="C2801" s="9">
        <v>1910</v>
      </c>
      <c r="D2801" s="10">
        <v>45602</v>
      </c>
      <c r="E2801" s="13" t="str">
        <f>+HYPERLINK("http://trademark.i-assist.jp/data/china/image_1910th/80339843.pdf","80339843")</f>
        <v>80339843</v>
      </c>
      <c r="F2801" s="9" t="s">
        <v>7636</v>
      </c>
      <c r="G2801" s="9" t="s">
        <v>7637</v>
      </c>
      <c r="H2801" s="9" t="s">
        <v>7638</v>
      </c>
      <c r="I2801" s="10">
        <v>45517</v>
      </c>
    </row>
    <row r="2802" spans="1:9" x14ac:dyDescent="0.15">
      <c r="A2802" s="9">
        <v>2801</v>
      </c>
      <c r="B2802" s="9" t="s">
        <v>9</v>
      </c>
      <c r="C2802" s="9">
        <v>1910</v>
      </c>
      <c r="D2802" s="10">
        <v>45602</v>
      </c>
      <c r="E2802" s="13" t="str">
        <f>+HYPERLINK("http://trademark.i-assist.jp/data/china/image_1910th/80339878.pdf","80339878")</f>
        <v>80339878</v>
      </c>
      <c r="F2802" s="9" t="s">
        <v>7639</v>
      </c>
      <c r="G2802" s="9" t="s">
        <v>7640</v>
      </c>
      <c r="H2802" s="9" t="s">
        <v>7641</v>
      </c>
      <c r="I2802" s="10">
        <v>45517</v>
      </c>
    </row>
    <row r="2803" spans="1:9" x14ac:dyDescent="0.15">
      <c r="A2803" s="9">
        <v>2802</v>
      </c>
      <c r="B2803" s="9" t="s">
        <v>9</v>
      </c>
      <c r="C2803" s="9">
        <v>1910</v>
      </c>
      <c r="D2803" s="10">
        <v>45602</v>
      </c>
      <c r="E2803" s="13" t="str">
        <f>+HYPERLINK("http://trademark.i-assist.jp/data/china/image_1910th/80339923.pdf","80339923")</f>
        <v>80339923</v>
      </c>
      <c r="F2803" s="9" t="s">
        <v>7642</v>
      </c>
      <c r="G2803" s="9" t="s">
        <v>7609</v>
      </c>
      <c r="H2803" s="9" t="s">
        <v>7643</v>
      </c>
      <c r="I2803" s="10">
        <v>45517</v>
      </c>
    </row>
    <row r="2804" spans="1:9" x14ac:dyDescent="0.15">
      <c r="A2804" s="9">
        <v>2803</v>
      </c>
      <c r="B2804" s="9" t="s">
        <v>9</v>
      </c>
      <c r="C2804" s="9">
        <v>1910</v>
      </c>
      <c r="D2804" s="10">
        <v>45602</v>
      </c>
      <c r="E2804" s="13" t="str">
        <f>+HYPERLINK("http://trademark.i-assist.jp/data/china/image_1910th/80340006.pdf","80340006")</f>
        <v>80340006</v>
      </c>
      <c r="F2804" s="9" t="s">
        <v>7644</v>
      </c>
      <c r="G2804" s="9" t="s">
        <v>7645</v>
      </c>
      <c r="H2804" s="9" t="s">
        <v>7646</v>
      </c>
      <c r="I2804" s="10">
        <v>45517</v>
      </c>
    </row>
    <row r="2805" spans="1:9" x14ac:dyDescent="0.15">
      <c r="A2805" s="9">
        <v>2804</v>
      </c>
      <c r="B2805" s="9" t="s">
        <v>9</v>
      </c>
      <c r="C2805" s="9">
        <v>1910</v>
      </c>
      <c r="D2805" s="10">
        <v>45602</v>
      </c>
      <c r="E2805" s="13" t="str">
        <f>+HYPERLINK("http://trademark.i-assist.jp/data/china/image_1910th/80340124.pdf","80340124")</f>
        <v>80340124</v>
      </c>
      <c r="F2805" s="9" t="s">
        <v>7647</v>
      </c>
      <c r="G2805" s="9" t="s">
        <v>7648</v>
      </c>
      <c r="H2805" s="9" t="s">
        <v>7649</v>
      </c>
      <c r="I2805" s="10">
        <v>45517</v>
      </c>
    </row>
    <row r="2806" spans="1:9" x14ac:dyDescent="0.15">
      <c r="A2806" s="9">
        <v>2805</v>
      </c>
      <c r="B2806" s="9" t="s">
        <v>9</v>
      </c>
      <c r="C2806" s="9">
        <v>1910</v>
      </c>
      <c r="D2806" s="10">
        <v>45602</v>
      </c>
      <c r="E2806" s="13" t="str">
        <f>+HYPERLINK("http://trademark.i-assist.jp/data/china/image_1910th/80340133.pdf","80340133")</f>
        <v>80340133</v>
      </c>
      <c r="F2806" s="9" t="s">
        <v>7650</v>
      </c>
      <c r="G2806" s="9" t="s">
        <v>7651</v>
      </c>
      <c r="H2806" s="11" t="s">
        <v>7652</v>
      </c>
      <c r="I2806" s="10">
        <v>45517</v>
      </c>
    </row>
    <row r="2807" spans="1:9" x14ac:dyDescent="0.15">
      <c r="A2807" s="9">
        <v>2806</v>
      </c>
      <c r="B2807" s="9" t="s">
        <v>9</v>
      </c>
      <c r="C2807" s="9">
        <v>1910</v>
      </c>
      <c r="D2807" s="10">
        <v>45602</v>
      </c>
      <c r="E2807" s="13" t="str">
        <f>+HYPERLINK("http://trademark.i-assist.jp/data/china/image_1910th/80340189.pdf","80340189")</f>
        <v>80340189</v>
      </c>
      <c r="F2807" s="9" t="s">
        <v>7653</v>
      </c>
      <c r="G2807" s="11" t="s">
        <v>7404</v>
      </c>
      <c r="H2807" s="9" t="s">
        <v>7654</v>
      </c>
      <c r="I2807" s="10">
        <v>45517</v>
      </c>
    </row>
    <row r="2808" spans="1:9" x14ac:dyDescent="0.15">
      <c r="A2808" s="9">
        <v>2807</v>
      </c>
      <c r="B2808" s="9" t="s">
        <v>9</v>
      </c>
      <c r="C2808" s="9">
        <v>1910</v>
      </c>
      <c r="D2808" s="10">
        <v>45602</v>
      </c>
      <c r="E2808" s="13" t="str">
        <f>+HYPERLINK("http://trademark.i-assist.jp/data/china/image_1910th/80340361.pdf","80340361")</f>
        <v>80340361</v>
      </c>
      <c r="F2808" s="9" t="s">
        <v>7655</v>
      </c>
      <c r="G2808" s="9" t="s">
        <v>7656</v>
      </c>
      <c r="H2808" s="9" t="s">
        <v>7657</v>
      </c>
      <c r="I2808" s="10">
        <v>45517</v>
      </c>
    </row>
    <row r="2809" spans="1:9" x14ac:dyDescent="0.15">
      <c r="A2809" s="9">
        <v>2808</v>
      </c>
      <c r="B2809" s="9" t="s">
        <v>9</v>
      </c>
      <c r="C2809" s="9">
        <v>1910</v>
      </c>
      <c r="D2809" s="10">
        <v>45602</v>
      </c>
      <c r="E2809" s="13" t="str">
        <f>+HYPERLINK("http://trademark.i-assist.jp/data/china/image_1910th/80340615.pdf","80340615")</f>
        <v>80340615</v>
      </c>
      <c r="F2809" s="9" t="s">
        <v>7658</v>
      </c>
      <c r="G2809" s="9" t="s">
        <v>7659</v>
      </c>
      <c r="H2809" s="9" t="s">
        <v>7660</v>
      </c>
      <c r="I2809" s="10">
        <v>45517</v>
      </c>
    </row>
    <row r="2810" spans="1:9" x14ac:dyDescent="0.15">
      <c r="A2810" s="9">
        <v>2809</v>
      </c>
      <c r="B2810" s="9" t="s">
        <v>9</v>
      </c>
      <c r="C2810" s="9">
        <v>1910</v>
      </c>
      <c r="D2810" s="10">
        <v>45602</v>
      </c>
      <c r="E2810" s="13" t="str">
        <f>+HYPERLINK("http://trademark.i-assist.jp/data/china/image_1910th/80340618.pdf","80340618")</f>
        <v>80340618</v>
      </c>
      <c r="F2810" s="9" t="s">
        <v>7661</v>
      </c>
      <c r="G2810" s="9" t="s">
        <v>7662</v>
      </c>
      <c r="H2810" s="9" t="s">
        <v>7663</v>
      </c>
      <c r="I2810" s="10">
        <v>45517</v>
      </c>
    </row>
    <row r="2811" spans="1:9" x14ac:dyDescent="0.15">
      <c r="A2811" s="9">
        <v>2810</v>
      </c>
      <c r="B2811" s="9" t="s">
        <v>9</v>
      </c>
      <c r="C2811" s="9">
        <v>1910</v>
      </c>
      <c r="D2811" s="10">
        <v>45602</v>
      </c>
      <c r="E2811" s="13" t="str">
        <f>+HYPERLINK("http://trademark.i-assist.jp/data/china/image_1910th/80340827.pdf","80340827")</f>
        <v>80340827</v>
      </c>
      <c r="F2811" s="9" t="s">
        <v>7664</v>
      </c>
      <c r="G2811" s="9" t="s">
        <v>7665</v>
      </c>
      <c r="H2811" s="9" t="s">
        <v>7666</v>
      </c>
      <c r="I2811" s="10">
        <v>45517</v>
      </c>
    </row>
    <row r="2812" spans="1:9" x14ac:dyDescent="0.15">
      <c r="A2812" s="9">
        <v>2811</v>
      </c>
      <c r="B2812" s="9" t="s">
        <v>9</v>
      </c>
      <c r="C2812" s="9">
        <v>1910</v>
      </c>
      <c r="D2812" s="10">
        <v>45602</v>
      </c>
      <c r="E2812" s="13" t="str">
        <f>+HYPERLINK("http://trademark.i-assist.jp/data/china/image_1910th/80341068.pdf","80341068")</f>
        <v>80341068</v>
      </c>
      <c r="F2812" s="9" t="s">
        <v>7667</v>
      </c>
      <c r="G2812" s="9" t="s">
        <v>7309</v>
      </c>
      <c r="H2812" s="9" t="s">
        <v>7668</v>
      </c>
      <c r="I2812" s="10">
        <v>45517</v>
      </c>
    </row>
    <row r="2813" spans="1:9" x14ac:dyDescent="0.15">
      <c r="A2813" s="9">
        <v>2812</v>
      </c>
      <c r="B2813" s="9" t="s">
        <v>9</v>
      </c>
      <c r="C2813" s="9">
        <v>1910</v>
      </c>
      <c r="D2813" s="10">
        <v>45602</v>
      </c>
      <c r="E2813" s="13" t="str">
        <f>+HYPERLINK("http://trademark.i-assist.jp/data/china/image_1910th/80341077.pdf","80341077")</f>
        <v>80341077</v>
      </c>
      <c r="F2813" s="9" t="s">
        <v>7669</v>
      </c>
      <c r="G2813" s="9" t="s">
        <v>7309</v>
      </c>
      <c r="H2813" s="9" t="s">
        <v>7670</v>
      </c>
      <c r="I2813" s="10">
        <v>45517</v>
      </c>
    </row>
    <row r="2814" spans="1:9" x14ac:dyDescent="0.15">
      <c r="A2814" s="9">
        <v>2813</v>
      </c>
      <c r="B2814" s="9" t="s">
        <v>9</v>
      </c>
      <c r="C2814" s="9">
        <v>1910</v>
      </c>
      <c r="D2814" s="10">
        <v>45602</v>
      </c>
      <c r="E2814" s="13" t="str">
        <f>+HYPERLINK("http://trademark.i-assist.jp/data/china/image_1910th/80341243.pdf","80341243")</f>
        <v>80341243</v>
      </c>
      <c r="F2814" s="9" t="s">
        <v>7671</v>
      </c>
      <c r="G2814" s="9" t="s">
        <v>7634</v>
      </c>
      <c r="H2814" s="9" t="s">
        <v>7672</v>
      </c>
      <c r="I2814" s="10">
        <v>45517</v>
      </c>
    </row>
    <row r="2815" spans="1:9" x14ac:dyDescent="0.15">
      <c r="A2815" s="9">
        <v>2814</v>
      </c>
      <c r="B2815" s="9" t="s">
        <v>9</v>
      </c>
      <c r="C2815" s="9">
        <v>1910</v>
      </c>
      <c r="D2815" s="10">
        <v>45602</v>
      </c>
      <c r="E2815" s="13" t="str">
        <f>+HYPERLINK("http://trademark.i-assist.jp/data/china/image_1910th/80341470.pdf","80341470")</f>
        <v>80341470</v>
      </c>
      <c r="F2815" s="9" t="s">
        <v>7673</v>
      </c>
      <c r="G2815" s="9" t="s">
        <v>7674</v>
      </c>
      <c r="H2815" s="9" t="s">
        <v>7675</v>
      </c>
      <c r="I2815" s="10">
        <v>45517</v>
      </c>
    </row>
    <row r="2816" spans="1:9" x14ac:dyDescent="0.15">
      <c r="A2816" s="9">
        <v>2815</v>
      </c>
      <c r="B2816" s="9" t="s">
        <v>9</v>
      </c>
      <c r="C2816" s="9">
        <v>1910</v>
      </c>
      <c r="D2816" s="10">
        <v>45602</v>
      </c>
      <c r="E2816" s="13" t="str">
        <f>+HYPERLINK("http://trademark.i-assist.jp/data/china/image_1910th/80341578.pdf","80341578")</f>
        <v>80341578</v>
      </c>
      <c r="F2816" s="9" t="s">
        <v>7676</v>
      </c>
      <c r="G2816" s="9" t="s">
        <v>7677</v>
      </c>
      <c r="H2816" s="9" t="s">
        <v>7678</v>
      </c>
      <c r="I2816" s="10">
        <v>45517</v>
      </c>
    </row>
    <row r="2817" spans="1:9" x14ac:dyDescent="0.15">
      <c r="A2817" s="9">
        <v>2816</v>
      </c>
      <c r="B2817" s="9" t="s">
        <v>9</v>
      </c>
      <c r="C2817" s="9">
        <v>1910</v>
      </c>
      <c r="D2817" s="10">
        <v>45602</v>
      </c>
      <c r="E2817" s="13" t="str">
        <f>+HYPERLINK("http://trademark.i-assist.jp/data/china/image_1910th/80341581.pdf","80341581")</f>
        <v>80341581</v>
      </c>
      <c r="F2817" s="11" t="s">
        <v>7679</v>
      </c>
      <c r="G2817" s="9" t="s">
        <v>4488</v>
      </c>
      <c r="H2817" s="9" t="s">
        <v>7680</v>
      </c>
      <c r="I2817" s="10">
        <v>45517</v>
      </c>
    </row>
    <row r="2818" spans="1:9" x14ac:dyDescent="0.15">
      <c r="A2818" s="9">
        <v>2817</v>
      </c>
      <c r="B2818" s="9" t="s">
        <v>9</v>
      </c>
      <c r="C2818" s="9">
        <v>1910</v>
      </c>
      <c r="D2818" s="10">
        <v>45602</v>
      </c>
      <c r="E2818" s="13" t="str">
        <f>+HYPERLINK("http://trademark.i-assist.jp/data/china/image_1910th/80341587.pdf","80341587")</f>
        <v>80341587</v>
      </c>
      <c r="F2818" s="9" t="s">
        <v>7681</v>
      </c>
      <c r="G2818" s="9" t="s">
        <v>7682</v>
      </c>
      <c r="H2818" s="9" t="s">
        <v>7683</v>
      </c>
      <c r="I2818" s="10">
        <v>45517</v>
      </c>
    </row>
    <row r="2819" spans="1:9" x14ac:dyDescent="0.15">
      <c r="A2819" s="9">
        <v>2818</v>
      </c>
      <c r="B2819" s="9" t="s">
        <v>9</v>
      </c>
      <c r="C2819" s="9">
        <v>1910</v>
      </c>
      <c r="D2819" s="10">
        <v>45602</v>
      </c>
      <c r="E2819" s="13" t="str">
        <f>+HYPERLINK("http://trademark.i-assist.jp/data/china/image_1910th/80341677.pdf","80341677")</f>
        <v>80341677</v>
      </c>
      <c r="F2819" s="9" t="s">
        <v>7684</v>
      </c>
      <c r="G2819" s="11" t="s">
        <v>7685</v>
      </c>
      <c r="H2819" s="9" t="s">
        <v>7686</v>
      </c>
      <c r="I2819" s="10">
        <v>45517</v>
      </c>
    </row>
    <row r="2820" spans="1:9" x14ac:dyDescent="0.15">
      <c r="A2820" s="9">
        <v>2819</v>
      </c>
      <c r="B2820" s="9" t="s">
        <v>9</v>
      </c>
      <c r="C2820" s="9">
        <v>1910</v>
      </c>
      <c r="D2820" s="10">
        <v>45602</v>
      </c>
      <c r="E2820" s="13" t="str">
        <f>+HYPERLINK("http://trademark.i-assist.jp/data/china/image_1910th/80341919.pdf","80341919")</f>
        <v>80341919</v>
      </c>
      <c r="F2820" s="11" t="s">
        <v>19</v>
      </c>
      <c r="G2820" s="9" t="s">
        <v>7687</v>
      </c>
      <c r="H2820" s="9" t="s">
        <v>7688</v>
      </c>
      <c r="I2820" s="10">
        <v>45517</v>
      </c>
    </row>
    <row r="2821" spans="1:9" x14ac:dyDescent="0.15">
      <c r="A2821" s="9">
        <v>2820</v>
      </c>
      <c r="B2821" s="9" t="s">
        <v>9</v>
      </c>
      <c r="C2821" s="9">
        <v>1910</v>
      </c>
      <c r="D2821" s="10">
        <v>45602</v>
      </c>
      <c r="E2821" s="13" t="str">
        <f>+HYPERLINK("http://trademark.i-assist.jp/data/china/image_1910th/80342411.pdf","80342411")</f>
        <v>80342411</v>
      </c>
      <c r="F2821" s="9" t="s">
        <v>7689</v>
      </c>
      <c r="G2821" s="11" t="s">
        <v>7690</v>
      </c>
      <c r="H2821" s="9" t="s">
        <v>7691</v>
      </c>
      <c r="I2821" s="10">
        <v>45517</v>
      </c>
    </row>
    <row r="2822" spans="1:9" x14ac:dyDescent="0.15">
      <c r="A2822" s="9">
        <v>2821</v>
      </c>
      <c r="B2822" s="9" t="s">
        <v>9</v>
      </c>
      <c r="C2822" s="9">
        <v>1910</v>
      </c>
      <c r="D2822" s="10">
        <v>45602</v>
      </c>
      <c r="E2822" s="13" t="str">
        <f>+HYPERLINK("http://trademark.i-assist.jp/data/china/image_1910th/80342489.pdf","80342489")</f>
        <v>80342489</v>
      </c>
      <c r="F2822" s="9" t="s">
        <v>7692</v>
      </c>
      <c r="G2822" s="9" t="s">
        <v>7693</v>
      </c>
      <c r="H2822" s="9" t="s">
        <v>7694</v>
      </c>
      <c r="I2822" s="10">
        <v>45517</v>
      </c>
    </row>
    <row r="2823" spans="1:9" x14ac:dyDescent="0.15">
      <c r="A2823" s="9">
        <v>2822</v>
      </c>
      <c r="B2823" s="9" t="s">
        <v>9</v>
      </c>
      <c r="C2823" s="9">
        <v>1910</v>
      </c>
      <c r="D2823" s="10">
        <v>45602</v>
      </c>
      <c r="E2823" s="13" t="str">
        <f>+HYPERLINK("http://trademark.i-assist.jp/data/china/image_1910th/80342696.pdf","80342696")</f>
        <v>80342696</v>
      </c>
      <c r="F2823" s="9" t="s">
        <v>7695</v>
      </c>
      <c r="G2823" s="9" t="s">
        <v>7696</v>
      </c>
      <c r="H2823" s="9" t="s">
        <v>7697</v>
      </c>
      <c r="I2823" s="10">
        <v>45517</v>
      </c>
    </row>
    <row r="2824" spans="1:9" x14ac:dyDescent="0.15">
      <c r="A2824" s="9">
        <v>2823</v>
      </c>
      <c r="B2824" s="9" t="s">
        <v>9</v>
      </c>
      <c r="C2824" s="9">
        <v>1910</v>
      </c>
      <c r="D2824" s="10">
        <v>45602</v>
      </c>
      <c r="E2824" s="13" t="str">
        <f>+HYPERLINK("http://trademark.i-assist.jp/data/china/image_1910th/80342714.pdf","80342714")</f>
        <v>80342714</v>
      </c>
      <c r="F2824" s="11" t="s">
        <v>19</v>
      </c>
      <c r="G2824" s="9" t="s">
        <v>7698</v>
      </c>
      <c r="H2824" s="11" t="s">
        <v>7699</v>
      </c>
      <c r="I2824" s="10">
        <v>45517</v>
      </c>
    </row>
    <row r="2825" spans="1:9" x14ac:dyDescent="0.15">
      <c r="A2825" s="9">
        <v>2824</v>
      </c>
      <c r="B2825" s="9" t="s">
        <v>9</v>
      </c>
      <c r="C2825" s="9">
        <v>1910</v>
      </c>
      <c r="D2825" s="10">
        <v>45602</v>
      </c>
      <c r="E2825" s="13" t="str">
        <f>+HYPERLINK("http://trademark.i-assist.jp/data/china/image_1910th/80342811.pdf","80342811")</f>
        <v>80342811</v>
      </c>
      <c r="F2825" s="9" t="s">
        <v>7700</v>
      </c>
      <c r="G2825" s="11" t="s">
        <v>7701</v>
      </c>
      <c r="H2825" s="9" t="s">
        <v>7702</v>
      </c>
      <c r="I2825" s="10">
        <v>45517</v>
      </c>
    </row>
    <row r="2826" spans="1:9" x14ac:dyDescent="0.15">
      <c r="A2826" s="9">
        <v>2825</v>
      </c>
      <c r="B2826" s="9" t="s">
        <v>9</v>
      </c>
      <c r="C2826" s="9">
        <v>1910</v>
      </c>
      <c r="D2826" s="10">
        <v>45602</v>
      </c>
      <c r="E2826" s="13" t="str">
        <f>+HYPERLINK("http://trademark.i-assist.jp/data/china/image_1910th/80342879.pdf","80342879")</f>
        <v>80342879</v>
      </c>
      <c r="F2826" s="9" t="s">
        <v>7339</v>
      </c>
      <c r="G2826" s="9" t="s">
        <v>3101</v>
      </c>
      <c r="H2826" s="9" t="s">
        <v>7703</v>
      </c>
      <c r="I2826" s="10">
        <v>45517</v>
      </c>
    </row>
    <row r="2827" spans="1:9" x14ac:dyDescent="0.15">
      <c r="A2827" s="9">
        <v>2826</v>
      </c>
      <c r="B2827" s="9" t="s">
        <v>9</v>
      </c>
      <c r="C2827" s="9">
        <v>1910</v>
      </c>
      <c r="D2827" s="10">
        <v>45602</v>
      </c>
      <c r="E2827" s="13" t="str">
        <f>+HYPERLINK("http://trademark.i-assist.jp/data/china/image_1910th/80342911.pdf","80342911")</f>
        <v>80342911</v>
      </c>
      <c r="F2827" s="9" t="s">
        <v>7704</v>
      </c>
      <c r="G2827" s="9" t="s">
        <v>7705</v>
      </c>
      <c r="H2827" s="9" t="s">
        <v>7706</v>
      </c>
      <c r="I2827" s="10">
        <v>45517</v>
      </c>
    </row>
    <row r="2828" spans="1:9" x14ac:dyDescent="0.15">
      <c r="A2828" s="9">
        <v>2827</v>
      </c>
      <c r="B2828" s="9" t="s">
        <v>9</v>
      </c>
      <c r="C2828" s="9">
        <v>1910</v>
      </c>
      <c r="D2828" s="10">
        <v>45602</v>
      </c>
      <c r="E2828" s="13" t="str">
        <f>+HYPERLINK("http://trademark.i-assist.jp/data/china/image_1910th/80343085.pdf","80343085")</f>
        <v>80343085</v>
      </c>
      <c r="F2828" s="9" t="s">
        <v>7707</v>
      </c>
      <c r="G2828" s="9" t="s">
        <v>7708</v>
      </c>
      <c r="H2828" s="9" t="s">
        <v>7709</v>
      </c>
      <c r="I2828" s="10">
        <v>45517</v>
      </c>
    </row>
    <row r="2829" spans="1:9" x14ac:dyDescent="0.15">
      <c r="A2829" s="9">
        <v>2828</v>
      </c>
      <c r="B2829" s="9" t="s">
        <v>9</v>
      </c>
      <c r="C2829" s="9">
        <v>1910</v>
      </c>
      <c r="D2829" s="10">
        <v>45602</v>
      </c>
      <c r="E2829" s="13" t="str">
        <f>+HYPERLINK("http://trademark.i-assist.jp/data/china/image_1910th/80343383.pdf","80343383")</f>
        <v>80343383</v>
      </c>
      <c r="F2829" s="9" t="s">
        <v>7710</v>
      </c>
      <c r="G2829" s="9" t="s">
        <v>7711</v>
      </c>
      <c r="H2829" s="9" t="s">
        <v>7712</v>
      </c>
      <c r="I2829" s="10">
        <v>45517</v>
      </c>
    </row>
    <row r="2830" spans="1:9" x14ac:dyDescent="0.15">
      <c r="A2830" s="9">
        <v>2829</v>
      </c>
      <c r="B2830" s="9" t="s">
        <v>9</v>
      </c>
      <c r="C2830" s="9">
        <v>1910</v>
      </c>
      <c r="D2830" s="10">
        <v>45602</v>
      </c>
      <c r="E2830" s="13" t="str">
        <f>+HYPERLINK("http://trademark.i-assist.jp/data/china/image_1910th/80343446.pdf","80343446")</f>
        <v>80343446</v>
      </c>
      <c r="F2830" s="11" t="s">
        <v>7713</v>
      </c>
      <c r="G2830" s="9" t="s">
        <v>4488</v>
      </c>
      <c r="H2830" s="9" t="s">
        <v>7714</v>
      </c>
      <c r="I2830" s="10">
        <v>45517</v>
      </c>
    </row>
    <row r="2831" spans="1:9" x14ac:dyDescent="0.15">
      <c r="A2831" s="9">
        <v>2830</v>
      </c>
      <c r="B2831" s="9" t="s">
        <v>9</v>
      </c>
      <c r="C2831" s="9">
        <v>1910</v>
      </c>
      <c r="D2831" s="10">
        <v>45602</v>
      </c>
      <c r="E2831" s="13" t="str">
        <f>+HYPERLINK("http://trademark.i-assist.jp/data/china/image_1910th/80343685.pdf","80343685")</f>
        <v>80343685</v>
      </c>
      <c r="F2831" s="9" t="s">
        <v>7715</v>
      </c>
      <c r="G2831" s="11" t="s">
        <v>4432</v>
      </c>
      <c r="H2831" s="9" t="s">
        <v>7716</v>
      </c>
      <c r="I2831" s="10">
        <v>45517</v>
      </c>
    </row>
    <row r="2832" spans="1:9" x14ac:dyDescent="0.15">
      <c r="A2832" s="9">
        <v>2831</v>
      </c>
      <c r="B2832" s="9" t="s">
        <v>9</v>
      </c>
      <c r="C2832" s="9">
        <v>1910</v>
      </c>
      <c r="D2832" s="10">
        <v>45602</v>
      </c>
      <c r="E2832" s="13" t="str">
        <f>+HYPERLINK("http://trademark.i-assist.jp/data/china/image_1910th/80344386.pdf","80344386")</f>
        <v>80344386</v>
      </c>
      <c r="F2832" s="9" t="s">
        <v>7717</v>
      </c>
      <c r="G2832" s="9" t="s">
        <v>7342</v>
      </c>
      <c r="H2832" s="9" t="s">
        <v>7718</v>
      </c>
      <c r="I2832" s="10">
        <v>45517</v>
      </c>
    </row>
    <row r="2833" spans="1:9" x14ac:dyDescent="0.15">
      <c r="A2833" s="9">
        <v>2832</v>
      </c>
      <c r="B2833" s="9" t="s">
        <v>9</v>
      </c>
      <c r="C2833" s="9">
        <v>1910</v>
      </c>
      <c r="D2833" s="10">
        <v>45602</v>
      </c>
      <c r="E2833" s="13" t="str">
        <f>+HYPERLINK("http://trademark.i-assist.jp/data/china/image_1910th/80344397.pdf","80344397")</f>
        <v>80344397</v>
      </c>
      <c r="F2833" s="9" t="s">
        <v>7719</v>
      </c>
      <c r="G2833" s="9" t="s">
        <v>7720</v>
      </c>
      <c r="H2833" s="9" t="s">
        <v>7721</v>
      </c>
      <c r="I2833" s="10">
        <v>45517</v>
      </c>
    </row>
    <row r="2834" spans="1:9" x14ac:dyDescent="0.15">
      <c r="A2834" s="9">
        <v>2833</v>
      </c>
      <c r="B2834" s="9" t="s">
        <v>9</v>
      </c>
      <c r="C2834" s="9">
        <v>1910</v>
      </c>
      <c r="D2834" s="10">
        <v>45602</v>
      </c>
      <c r="E2834" s="13" t="str">
        <f>+HYPERLINK("http://trademark.i-assist.jp/data/china/image_1910th/80344701.pdf","80344701")</f>
        <v>80344701</v>
      </c>
      <c r="F2834" s="9" t="s">
        <v>7722</v>
      </c>
      <c r="G2834" s="11" t="s">
        <v>7723</v>
      </c>
      <c r="H2834" s="9" t="s">
        <v>7724</v>
      </c>
      <c r="I2834" s="10">
        <v>45517</v>
      </c>
    </row>
    <row r="2835" spans="1:9" x14ac:dyDescent="0.15">
      <c r="A2835" s="9">
        <v>2834</v>
      </c>
      <c r="B2835" s="9" t="s">
        <v>9</v>
      </c>
      <c r="C2835" s="9">
        <v>1910</v>
      </c>
      <c r="D2835" s="10">
        <v>45602</v>
      </c>
      <c r="E2835" s="13" t="str">
        <f>+HYPERLINK("http://trademark.i-assist.jp/data/china/image_1910th/80344774.pdf","80344774")</f>
        <v>80344774</v>
      </c>
      <c r="F2835" s="12" t="s">
        <v>7725</v>
      </c>
      <c r="G2835" s="11" t="s">
        <v>7386</v>
      </c>
      <c r="H2835" s="9" t="s">
        <v>7726</v>
      </c>
      <c r="I2835" s="10">
        <v>45517</v>
      </c>
    </row>
    <row r="2836" spans="1:9" x14ac:dyDescent="0.15">
      <c r="A2836" s="9">
        <v>2835</v>
      </c>
      <c r="B2836" s="9" t="s">
        <v>9</v>
      </c>
      <c r="C2836" s="9">
        <v>1910</v>
      </c>
      <c r="D2836" s="10">
        <v>45602</v>
      </c>
      <c r="E2836" s="13" t="str">
        <f>+HYPERLINK("http://trademark.i-assist.jp/data/china/image_1910th/80344979.pdf","80344979")</f>
        <v>80344979</v>
      </c>
      <c r="F2836" s="9" t="s">
        <v>7727</v>
      </c>
      <c r="G2836" s="11" t="s">
        <v>7404</v>
      </c>
      <c r="H2836" s="9" t="s">
        <v>7728</v>
      </c>
      <c r="I2836" s="10">
        <v>45517</v>
      </c>
    </row>
    <row r="2837" spans="1:9" x14ac:dyDescent="0.15">
      <c r="A2837" s="9">
        <v>2836</v>
      </c>
      <c r="B2837" s="9" t="s">
        <v>9</v>
      </c>
      <c r="C2837" s="9">
        <v>1910</v>
      </c>
      <c r="D2837" s="10">
        <v>45602</v>
      </c>
      <c r="E2837" s="13" t="str">
        <f>+HYPERLINK("http://trademark.i-assist.jp/data/china/image_1910th/80345421.pdf","80345421")</f>
        <v>80345421</v>
      </c>
      <c r="F2837" s="11" t="s">
        <v>7729</v>
      </c>
      <c r="G2837" s="11" t="s">
        <v>7730</v>
      </c>
      <c r="H2837" s="9" t="s">
        <v>7731</v>
      </c>
      <c r="I2837" s="10">
        <v>45517</v>
      </c>
    </row>
    <row r="2838" spans="1:9" x14ac:dyDescent="0.15">
      <c r="A2838" s="9">
        <v>2837</v>
      </c>
      <c r="B2838" s="9" t="s">
        <v>9</v>
      </c>
      <c r="C2838" s="9">
        <v>1910</v>
      </c>
      <c r="D2838" s="10">
        <v>45602</v>
      </c>
      <c r="E2838" s="13" t="str">
        <f>+HYPERLINK("http://trademark.i-assist.jp/data/china/image_1910th/80345446.pdf","80345446")</f>
        <v>80345446</v>
      </c>
      <c r="F2838" s="11" t="s">
        <v>7732</v>
      </c>
      <c r="G2838" s="9" t="s">
        <v>7342</v>
      </c>
      <c r="H2838" s="9" t="s">
        <v>7733</v>
      </c>
      <c r="I2838" s="10">
        <v>45517</v>
      </c>
    </row>
    <row r="2839" spans="1:9" x14ac:dyDescent="0.15">
      <c r="A2839" s="9">
        <v>2838</v>
      </c>
      <c r="B2839" s="9" t="s">
        <v>9</v>
      </c>
      <c r="C2839" s="9">
        <v>1910</v>
      </c>
      <c r="D2839" s="10">
        <v>45602</v>
      </c>
      <c r="E2839" s="13" t="str">
        <f>+HYPERLINK("http://trademark.i-assist.jp/data/china/image_1910th/80345479.pdf","80345479")</f>
        <v>80345479</v>
      </c>
      <c r="F2839" s="9" t="s">
        <v>7734</v>
      </c>
      <c r="G2839" s="9" t="s">
        <v>7342</v>
      </c>
      <c r="H2839" s="11" t="s">
        <v>7735</v>
      </c>
      <c r="I2839" s="10">
        <v>45517</v>
      </c>
    </row>
    <row r="2840" spans="1:9" x14ac:dyDescent="0.15">
      <c r="A2840" s="9">
        <v>2839</v>
      </c>
      <c r="B2840" s="9" t="s">
        <v>9</v>
      </c>
      <c r="C2840" s="9">
        <v>1910</v>
      </c>
      <c r="D2840" s="10">
        <v>45602</v>
      </c>
      <c r="E2840" s="13" t="str">
        <f>+HYPERLINK("http://trademark.i-assist.jp/data/china/image_1910th/80345644.pdf","80345644")</f>
        <v>80345644</v>
      </c>
      <c r="F2840" s="11" t="s">
        <v>7736</v>
      </c>
      <c r="G2840" s="9" t="s">
        <v>7491</v>
      </c>
      <c r="H2840" s="9" t="s">
        <v>7737</v>
      </c>
      <c r="I2840" s="10">
        <v>45517</v>
      </c>
    </row>
    <row r="2841" spans="1:9" x14ac:dyDescent="0.15">
      <c r="A2841" s="9">
        <v>2840</v>
      </c>
      <c r="B2841" s="9" t="s">
        <v>9</v>
      </c>
      <c r="C2841" s="9">
        <v>1910</v>
      </c>
      <c r="D2841" s="10">
        <v>45602</v>
      </c>
      <c r="E2841" s="13" t="str">
        <f>+HYPERLINK("http://trademark.i-assist.jp/data/china/image_1910th/80345860.pdf","80345860")</f>
        <v>80345860</v>
      </c>
      <c r="F2841" s="11" t="s">
        <v>7738</v>
      </c>
      <c r="G2841" s="9" t="s">
        <v>85</v>
      </c>
      <c r="H2841" s="9" t="s">
        <v>7739</v>
      </c>
      <c r="I2841" s="10">
        <v>45517</v>
      </c>
    </row>
    <row r="2842" spans="1:9" x14ac:dyDescent="0.15">
      <c r="A2842" s="9">
        <v>2841</v>
      </c>
      <c r="B2842" s="9" t="s">
        <v>9</v>
      </c>
      <c r="C2842" s="9">
        <v>1910</v>
      </c>
      <c r="D2842" s="10">
        <v>45602</v>
      </c>
      <c r="E2842" s="13" t="str">
        <f>+HYPERLINK("http://trademark.i-assist.jp/data/china/image_1910th/80345935.pdf","80345935")</f>
        <v>80345935</v>
      </c>
      <c r="F2842" s="9" t="s">
        <v>7740</v>
      </c>
      <c r="G2842" s="9" t="s">
        <v>5634</v>
      </c>
      <c r="H2842" s="9" t="s">
        <v>7741</v>
      </c>
      <c r="I2842" s="10">
        <v>45517</v>
      </c>
    </row>
    <row r="2843" spans="1:9" x14ac:dyDescent="0.15">
      <c r="A2843" s="9">
        <v>2842</v>
      </c>
      <c r="B2843" s="9" t="s">
        <v>9</v>
      </c>
      <c r="C2843" s="9">
        <v>1910</v>
      </c>
      <c r="D2843" s="10">
        <v>45602</v>
      </c>
      <c r="E2843" s="13" t="str">
        <f>+HYPERLINK("http://trademark.i-assist.jp/data/china/image_1910th/80345940.pdf","80345940")</f>
        <v>80345940</v>
      </c>
      <c r="F2843" s="11" t="s">
        <v>7742</v>
      </c>
      <c r="G2843" s="11" t="s">
        <v>7743</v>
      </c>
      <c r="H2843" s="9" t="s">
        <v>7744</v>
      </c>
      <c r="I2843" s="10">
        <v>45517</v>
      </c>
    </row>
    <row r="2844" spans="1:9" x14ac:dyDescent="0.15">
      <c r="A2844" s="9">
        <v>2843</v>
      </c>
      <c r="B2844" s="9" t="s">
        <v>9</v>
      </c>
      <c r="C2844" s="9">
        <v>1910</v>
      </c>
      <c r="D2844" s="10">
        <v>45602</v>
      </c>
      <c r="E2844" s="13" t="str">
        <f>+HYPERLINK("http://trademark.i-assist.jp/data/china/image_1910th/80346019.pdf","80346019")</f>
        <v>80346019</v>
      </c>
      <c r="F2844" s="9" t="s">
        <v>7745</v>
      </c>
      <c r="G2844" s="9" t="s">
        <v>7746</v>
      </c>
      <c r="H2844" s="9" t="s">
        <v>7747</v>
      </c>
      <c r="I2844" s="10">
        <v>45517</v>
      </c>
    </row>
    <row r="2845" spans="1:9" x14ac:dyDescent="0.15">
      <c r="A2845" s="9">
        <v>2844</v>
      </c>
      <c r="B2845" s="9" t="s">
        <v>9</v>
      </c>
      <c r="C2845" s="9">
        <v>1910</v>
      </c>
      <c r="D2845" s="10">
        <v>45602</v>
      </c>
      <c r="E2845" s="13" t="str">
        <f>+HYPERLINK("http://trademark.i-assist.jp/data/china/image_1910th/80346069.pdf","80346069")</f>
        <v>80346069</v>
      </c>
      <c r="F2845" s="9" t="s">
        <v>7748</v>
      </c>
      <c r="G2845" s="9" t="s">
        <v>7749</v>
      </c>
      <c r="H2845" s="9" t="s">
        <v>7750</v>
      </c>
      <c r="I2845" s="10">
        <v>45517</v>
      </c>
    </row>
    <row r="2846" spans="1:9" x14ac:dyDescent="0.15">
      <c r="A2846" s="9">
        <v>2845</v>
      </c>
      <c r="B2846" s="9" t="s">
        <v>9</v>
      </c>
      <c r="C2846" s="9">
        <v>1910</v>
      </c>
      <c r="D2846" s="10">
        <v>45602</v>
      </c>
      <c r="E2846" s="13" t="str">
        <f>+HYPERLINK("http://trademark.i-assist.jp/data/china/image_1910th/80346384.pdf","80346384")</f>
        <v>80346384</v>
      </c>
      <c r="F2846" s="11" t="s">
        <v>7751</v>
      </c>
      <c r="G2846" s="11" t="s">
        <v>7418</v>
      </c>
      <c r="H2846" s="9" t="s">
        <v>7752</v>
      </c>
      <c r="I2846" s="10">
        <v>45517</v>
      </c>
    </row>
    <row r="2847" spans="1:9" x14ac:dyDescent="0.15">
      <c r="A2847" s="9">
        <v>2846</v>
      </c>
      <c r="B2847" s="9" t="s">
        <v>9</v>
      </c>
      <c r="C2847" s="9">
        <v>1910</v>
      </c>
      <c r="D2847" s="10">
        <v>45602</v>
      </c>
      <c r="E2847" s="13" t="str">
        <f>+HYPERLINK("http://trademark.i-assist.jp/data/china/image_1910th/80346416.pdf","80346416")</f>
        <v>80346416</v>
      </c>
      <c r="F2847" s="9" t="s">
        <v>7753</v>
      </c>
      <c r="G2847" s="9" t="s">
        <v>7754</v>
      </c>
      <c r="H2847" s="9" t="s">
        <v>7755</v>
      </c>
      <c r="I2847" s="10">
        <v>45517</v>
      </c>
    </row>
    <row r="2848" spans="1:9" x14ac:dyDescent="0.15">
      <c r="A2848" s="9">
        <v>2847</v>
      </c>
      <c r="B2848" s="9" t="s">
        <v>9</v>
      </c>
      <c r="C2848" s="9">
        <v>1910</v>
      </c>
      <c r="D2848" s="10">
        <v>45602</v>
      </c>
      <c r="E2848" s="13" t="str">
        <f>+HYPERLINK("http://trademark.i-assist.jp/data/china/image_1910th/80346465.pdf","80346465")</f>
        <v>80346465</v>
      </c>
      <c r="F2848" s="11" t="s">
        <v>7756</v>
      </c>
      <c r="G2848" s="9" t="s">
        <v>7757</v>
      </c>
      <c r="H2848" s="9" t="s">
        <v>7758</v>
      </c>
      <c r="I2848" s="10">
        <v>45517</v>
      </c>
    </row>
    <row r="2849" spans="1:9" x14ac:dyDescent="0.15">
      <c r="A2849" s="9">
        <v>2848</v>
      </c>
      <c r="B2849" s="9" t="s">
        <v>9</v>
      </c>
      <c r="C2849" s="9">
        <v>1910</v>
      </c>
      <c r="D2849" s="10">
        <v>45602</v>
      </c>
      <c r="E2849" s="13" t="str">
        <f>+HYPERLINK("http://trademark.i-assist.jp/data/china/image_1910th/80346617.pdf","80346617")</f>
        <v>80346617</v>
      </c>
      <c r="F2849" s="9" t="s">
        <v>7759</v>
      </c>
      <c r="G2849" s="9" t="s">
        <v>7760</v>
      </c>
      <c r="H2849" s="9" t="s">
        <v>7761</v>
      </c>
      <c r="I2849" s="10">
        <v>45517</v>
      </c>
    </row>
    <row r="2850" spans="1:9" x14ac:dyDescent="0.15">
      <c r="A2850" s="9">
        <v>2849</v>
      </c>
      <c r="B2850" s="9" t="s">
        <v>9</v>
      </c>
      <c r="C2850" s="9">
        <v>1910</v>
      </c>
      <c r="D2850" s="10">
        <v>45602</v>
      </c>
      <c r="E2850" s="13" t="str">
        <f>+HYPERLINK("http://trademark.i-assist.jp/data/china/image_1910th/80346828.pdf","80346828")</f>
        <v>80346828</v>
      </c>
      <c r="F2850" s="9" t="s">
        <v>7762</v>
      </c>
      <c r="G2850" s="9" t="s">
        <v>7763</v>
      </c>
      <c r="H2850" s="9" t="s">
        <v>7764</v>
      </c>
      <c r="I2850" s="10">
        <v>45517</v>
      </c>
    </row>
    <row r="2851" spans="1:9" x14ac:dyDescent="0.15">
      <c r="A2851" s="9">
        <v>2850</v>
      </c>
      <c r="B2851" s="9" t="s">
        <v>9</v>
      </c>
      <c r="C2851" s="9">
        <v>1910</v>
      </c>
      <c r="D2851" s="10">
        <v>45602</v>
      </c>
      <c r="E2851" s="13" t="str">
        <f>+HYPERLINK("http://trademark.i-assist.jp/data/china/image_1910th/80346848.pdf","80346848")</f>
        <v>80346848</v>
      </c>
      <c r="F2851" s="9" t="s">
        <v>7765</v>
      </c>
      <c r="G2851" s="11" t="s">
        <v>7766</v>
      </c>
      <c r="H2851" s="9" t="s">
        <v>7767</v>
      </c>
      <c r="I2851" s="10">
        <v>45517</v>
      </c>
    </row>
    <row r="2852" spans="1:9" x14ac:dyDescent="0.15">
      <c r="A2852" s="9">
        <v>2851</v>
      </c>
      <c r="B2852" s="9" t="s">
        <v>9</v>
      </c>
      <c r="C2852" s="9">
        <v>1910</v>
      </c>
      <c r="D2852" s="10">
        <v>45602</v>
      </c>
      <c r="E2852" s="13" t="str">
        <f>+HYPERLINK("http://trademark.i-assist.jp/data/china/image_1910th/80346891.pdf","80346891")</f>
        <v>80346891</v>
      </c>
      <c r="F2852" s="11" t="s">
        <v>7768</v>
      </c>
      <c r="G2852" s="9" t="s">
        <v>7769</v>
      </c>
      <c r="H2852" s="9" t="s">
        <v>7770</v>
      </c>
      <c r="I2852" s="10">
        <v>45517</v>
      </c>
    </row>
    <row r="2853" spans="1:9" x14ac:dyDescent="0.15">
      <c r="A2853" s="9">
        <v>2852</v>
      </c>
      <c r="B2853" s="9" t="s">
        <v>9</v>
      </c>
      <c r="C2853" s="9">
        <v>1910</v>
      </c>
      <c r="D2853" s="10">
        <v>45602</v>
      </c>
      <c r="E2853" s="13" t="str">
        <f>+HYPERLINK("http://trademark.i-assist.jp/data/china/image_1910th/80347266.pdf","80347266")</f>
        <v>80347266</v>
      </c>
      <c r="F2853" s="11" t="s">
        <v>19</v>
      </c>
      <c r="G2853" s="9" t="s">
        <v>7771</v>
      </c>
      <c r="H2853" s="9" t="s">
        <v>7772</v>
      </c>
      <c r="I2853" s="10">
        <v>45518</v>
      </c>
    </row>
    <row r="2854" spans="1:9" x14ac:dyDescent="0.15">
      <c r="A2854" s="9">
        <v>2853</v>
      </c>
      <c r="B2854" s="9" t="s">
        <v>9</v>
      </c>
      <c r="C2854" s="9">
        <v>1910</v>
      </c>
      <c r="D2854" s="10">
        <v>45602</v>
      </c>
      <c r="E2854" s="13" t="str">
        <f>+HYPERLINK("http://trademark.i-assist.jp/data/china/image_1910th/80347443.pdf","80347443")</f>
        <v>80347443</v>
      </c>
      <c r="F2854" s="9" t="s">
        <v>7773</v>
      </c>
      <c r="G2854" s="9" t="s">
        <v>7774</v>
      </c>
      <c r="H2854" s="9" t="s">
        <v>7775</v>
      </c>
      <c r="I2854" s="10">
        <v>45518</v>
      </c>
    </row>
    <row r="2855" spans="1:9" x14ac:dyDescent="0.15">
      <c r="A2855" s="9">
        <v>2854</v>
      </c>
      <c r="B2855" s="9" t="s">
        <v>9</v>
      </c>
      <c r="C2855" s="9">
        <v>1910</v>
      </c>
      <c r="D2855" s="10">
        <v>45602</v>
      </c>
      <c r="E2855" s="13" t="str">
        <f>+HYPERLINK("http://trademark.i-assist.jp/data/china/image_1910th/80347635.pdf","80347635")</f>
        <v>80347635</v>
      </c>
      <c r="F2855" s="11" t="s">
        <v>19</v>
      </c>
      <c r="G2855" s="11" t="s">
        <v>7776</v>
      </c>
      <c r="H2855" s="9" t="s">
        <v>7777</v>
      </c>
      <c r="I2855" s="10">
        <v>45518</v>
      </c>
    </row>
    <row r="2856" spans="1:9" x14ac:dyDescent="0.15">
      <c r="A2856" s="9">
        <v>2855</v>
      </c>
      <c r="B2856" s="9" t="s">
        <v>9</v>
      </c>
      <c r="C2856" s="9">
        <v>1910</v>
      </c>
      <c r="D2856" s="10">
        <v>45602</v>
      </c>
      <c r="E2856" s="13" t="str">
        <f>+HYPERLINK("http://trademark.i-assist.jp/data/china/image_1910th/80347666.pdf","80347666")</f>
        <v>80347666</v>
      </c>
      <c r="F2856" s="9" t="s">
        <v>7778</v>
      </c>
      <c r="G2856" s="9" t="s">
        <v>7779</v>
      </c>
      <c r="H2856" s="9" t="s">
        <v>7780</v>
      </c>
      <c r="I2856" s="10">
        <v>45518</v>
      </c>
    </row>
    <row r="2857" spans="1:9" x14ac:dyDescent="0.15">
      <c r="A2857" s="9">
        <v>2856</v>
      </c>
      <c r="B2857" s="9" t="s">
        <v>9</v>
      </c>
      <c r="C2857" s="9">
        <v>1910</v>
      </c>
      <c r="D2857" s="10">
        <v>45602</v>
      </c>
      <c r="E2857" s="13" t="str">
        <f>+HYPERLINK("http://trademark.i-assist.jp/data/china/image_1910th/80347715.pdf","80347715")</f>
        <v>80347715</v>
      </c>
      <c r="F2857" s="11" t="s">
        <v>7781</v>
      </c>
      <c r="G2857" s="9" t="s">
        <v>7782</v>
      </c>
      <c r="H2857" s="9" t="s">
        <v>7783</v>
      </c>
      <c r="I2857" s="10">
        <v>45518</v>
      </c>
    </row>
    <row r="2858" spans="1:9" x14ac:dyDescent="0.15">
      <c r="A2858" s="9">
        <v>2857</v>
      </c>
      <c r="B2858" s="9" t="s">
        <v>9</v>
      </c>
      <c r="C2858" s="9">
        <v>1910</v>
      </c>
      <c r="D2858" s="10">
        <v>45602</v>
      </c>
      <c r="E2858" s="13" t="str">
        <f>+HYPERLINK("http://trademark.i-assist.jp/data/china/image_1910th/80347862.pdf","80347862")</f>
        <v>80347862</v>
      </c>
      <c r="F2858" s="9" t="s">
        <v>7784</v>
      </c>
      <c r="G2858" s="9" t="s">
        <v>7785</v>
      </c>
      <c r="H2858" s="9" t="s">
        <v>7786</v>
      </c>
      <c r="I2858" s="10">
        <v>45518</v>
      </c>
    </row>
    <row r="2859" spans="1:9" x14ac:dyDescent="0.15">
      <c r="A2859" s="9">
        <v>2858</v>
      </c>
      <c r="B2859" s="9" t="s">
        <v>9</v>
      </c>
      <c r="C2859" s="9">
        <v>1910</v>
      </c>
      <c r="D2859" s="10">
        <v>45602</v>
      </c>
      <c r="E2859" s="13" t="str">
        <f>+HYPERLINK("http://trademark.i-assist.jp/data/china/image_1910th/80348010.pdf","80348010")</f>
        <v>80348010</v>
      </c>
      <c r="F2859" s="11" t="s">
        <v>7787</v>
      </c>
      <c r="G2859" s="11" t="s">
        <v>7788</v>
      </c>
      <c r="H2859" s="9" t="s">
        <v>7789</v>
      </c>
      <c r="I2859" s="10">
        <v>45518</v>
      </c>
    </row>
    <row r="2860" spans="1:9" x14ac:dyDescent="0.15">
      <c r="A2860" s="9">
        <v>2859</v>
      </c>
      <c r="B2860" s="9" t="s">
        <v>9</v>
      </c>
      <c r="C2860" s="9">
        <v>1910</v>
      </c>
      <c r="D2860" s="10">
        <v>45602</v>
      </c>
      <c r="E2860" s="13" t="str">
        <f>+HYPERLINK("http://trademark.i-assist.jp/data/china/image_1910th/80348155.pdf","80348155")</f>
        <v>80348155</v>
      </c>
      <c r="F2860" s="11" t="s">
        <v>7790</v>
      </c>
      <c r="G2860" s="9" t="s">
        <v>7791</v>
      </c>
      <c r="H2860" s="11" t="s">
        <v>7792</v>
      </c>
      <c r="I2860" s="10">
        <v>45518</v>
      </c>
    </row>
    <row r="2861" spans="1:9" x14ac:dyDescent="0.15">
      <c r="A2861" s="9">
        <v>2860</v>
      </c>
      <c r="B2861" s="9" t="s">
        <v>9</v>
      </c>
      <c r="C2861" s="9">
        <v>1910</v>
      </c>
      <c r="D2861" s="10">
        <v>45602</v>
      </c>
      <c r="E2861" s="13" t="str">
        <f>+HYPERLINK("http://trademark.i-assist.jp/data/china/image_1910th/80348206.pdf","80348206")</f>
        <v>80348206</v>
      </c>
      <c r="F2861" s="11" t="s">
        <v>7793</v>
      </c>
      <c r="G2861" s="11" t="s">
        <v>7794</v>
      </c>
      <c r="H2861" s="9" t="s">
        <v>7795</v>
      </c>
      <c r="I2861" s="10">
        <v>45518</v>
      </c>
    </row>
    <row r="2862" spans="1:9" x14ac:dyDescent="0.15">
      <c r="A2862" s="9">
        <v>2861</v>
      </c>
      <c r="B2862" s="9" t="s">
        <v>9</v>
      </c>
      <c r="C2862" s="9">
        <v>1910</v>
      </c>
      <c r="D2862" s="10">
        <v>45602</v>
      </c>
      <c r="E2862" s="13" t="str">
        <f>+HYPERLINK("http://trademark.i-assist.jp/data/china/image_1910th/80348317.pdf","80348317")</f>
        <v>80348317</v>
      </c>
      <c r="F2862" s="11" t="s">
        <v>7796</v>
      </c>
      <c r="G2862" s="9" t="s">
        <v>7797</v>
      </c>
      <c r="H2862" s="9" t="s">
        <v>7798</v>
      </c>
      <c r="I2862" s="10">
        <v>45518</v>
      </c>
    </row>
    <row r="2863" spans="1:9" x14ac:dyDescent="0.15">
      <c r="A2863" s="9">
        <v>2862</v>
      </c>
      <c r="B2863" s="9" t="s">
        <v>9</v>
      </c>
      <c r="C2863" s="9">
        <v>1910</v>
      </c>
      <c r="D2863" s="10">
        <v>45602</v>
      </c>
      <c r="E2863" s="13" t="str">
        <f>+HYPERLINK("http://trademark.i-assist.jp/data/china/image_1910th/80348380.pdf","80348380")</f>
        <v>80348380</v>
      </c>
      <c r="F2863" s="11" t="s">
        <v>7799</v>
      </c>
      <c r="G2863" s="9" t="s">
        <v>7800</v>
      </c>
      <c r="H2863" s="9" t="s">
        <v>7801</v>
      </c>
      <c r="I2863" s="10">
        <v>45518</v>
      </c>
    </row>
    <row r="2864" spans="1:9" x14ac:dyDescent="0.15">
      <c r="A2864" s="9">
        <v>2863</v>
      </c>
      <c r="B2864" s="9" t="s">
        <v>9</v>
      </c>
      <c r="C2864" s="9">
        <v>1910</v>
      </c>
      <c r="D2864" s="10">
        <v>45602</v>
      </c>
      <c r="E2864" s="13" t="str">
        <f>+HYPERLINK("http://trademark.i-assist.jp/data/china/image_1910th/80348580.pdf","80348580")</f>
        <v>80348580</v>
      </c>
      <c r="F2864" s="9" t="s">
        <v>7802</v>
      </c>
      <c r="G2864" s="9" t="s">
        <v>7803</v>
      </c>
      <c r="H2864" s="9" t="s">
        <v>7804</v>
      </c>
      <c r="I2864" s="10">
        <v>45518</v>
      </c>
    </row>
    <row r="2865" spans="1:9" x14ac:dyDescent="0.15">
      <c r="A2865" s="9">
        <v>2864</v>
      </c>
      <c r="B2865" s="9" t="s">
        <v>9</v>
      </c>
      <c r="C2865" s="9">
        <v>1910</v>
      </c>
      <c r="D2865" s="10">
        <v>45602</v>
      </c>
      <c r="E2865" s="13" t="str">
        <f>+HYPERLINK("http://trademark.i-assist.jp/data/china/image_1910th/80348616.pdf","80348616")</f>
        <v>80348616</v>
      </c>
      <c r="F2865" s="9" t="s">
        <v>7805</v>
      </c>
      <c r="G2865" s="9" t="s">
        <v>7806</v>
      </c>
      <c r="H2865" s="9" t="s">
        <v>7807</v>
      </c>
      <c r="I2865" s="10">
        <v>45518</v>
      </c>
    </row>
    <row r="2866" spans="1:9" x14ac:dyDescent="0.15">
      <c r="A2866" s="9">
        <v>2865</v>
      </c>
      <c r="B2866" s="9" t="s">
        <v>9</v>
      </c>
      <c r="C2866" s="9">
        <v>1910</v>
      </c>
      <c r="D2866" s="10">
        <v>45602</v>
      </c>
      <c r="E2866" s="13" t="str">
        <f>+HYPERLINK("http://trademark.i-assist.jp/data/china/image_1910th/80348732.pdf","80348732")</f>
        <v>80348732</v>
      </c>
      <c r="F2866" s="9" t="s">
        <v>7808</v>
      </c>
      <c r="G2866" s="11" t="s">
        <v>7809</v>
      </c>
      <c r="H2866" s="9" t="s">
        <v>7810</v>
      </c>
      <c r="I2866" s="10">
        <v>45518</v>
      </c>
    </row>
    <row r="2867" spans="1:9" x14ac:dyDescent="0.15">
      <c r="A2867" s="9">
        <v>2866</v>
      </c>
      <c r="B2867" s="9" t="s">
        <v>9</v>
      </c>
      <c r="C2867" s="9">
        <v>1910</v>
      </c>
      <c r="D2867" s="10">
        <v>45602</v>
      </c>
      <c r="E2867" s="13" t="str">
        <f>+HYPERLINK("http://trademark.i-assist.jp/data/china/image_1910th/80348738.pdf","80348738")</f>
        <v>80348738</v>
      </c>
      <c r="F2867" s="9" t="s">
        <v>7811</v>
      </c>
      <c r="G2867" s="9" t="s">
        <v>52</v>
      </c>
      <c r="H2867" s="9" t="s">
        <v>7812</v>
      </c>
      <c r="I2867" s="10">
        <v>45518</v>
      </c>
    </row>
    <row r="2868" spans="1:9" x14ac:dyDescent="0.15">
      <c r="A2868" s="9">
        <v>2867</v>
      </c>
      <c r="B2868" s="9" t="s">
        <v>9</v>
      </c>
      <c r="C2868" s="9">
        <v>1910</v>
      </c>
      <c r="D2868" s="10">
        <v>45602</v>
      </c>
      <c r="E2868" s="13" t="str">
        <f>+HYPERLINK("http://trademark.i-assist.jp/data/china/image_1910th/80348758.pdf","80348758")</f>
        <v>80348758</v>
      </c>
      <c r="F2868" s="9" t="s">
        <v>7813</v>
      </c>
      <c r="G2868" s="9" t="s">
        <v>7814</v>
      </c>
      <c r="H2868" s="9" t="s">
        <v>7815</v>
      </c>
      <c r="I2868" s="10">
        <v>45518</v>
      </c>
    </row>
    <row r="2869" spans="1:9" x14ac:dyDescent="0.15">
      <c r="A2869" s="9">
        <v>2868</v>
      </c>
      <c r="B2869" s="9" t="s">
        <v>9</v>
      </c>
      <c r="C2869" s="9">
        <v>1910</v>
      </c>
      <c r="D2869" s="10">
        <v>45602</v>
      </c>
      <c r="E2869" s="13" t="str">
        <f>+HYPERLINK("http://trademark.i-assist.jp/data/china/image_1910th/80348973.pdf","80348973")</f>
        <v>80348973</v>
      </c>
      <c r="F2869" s="11" t="s">
        <v>7816</v>
      </c>
      <c r="G2869" s="9" t="s">
        <v>7817</v>
      </c>
      <c r="H2869" s="9" t="s">
        <v>7818</v>
      </c>
      <c r="I2869" s="10">
        <v>45518</v>
      </c>
    </row>
    <row r="2870" spans="1:9" x14ac:dyDescent="0.15">
      <c r="A2870" s="9">
        <v>2869</v>
      </c>
      <c r="B2870" s="9" t="s">
        <v>9</v>
      </c>
      <c r="C2870" s="9">
        <v>1910</v>
      </c>
      <c r="D2870" s="10">
        <v>45602</v>
      </c>
      <c r="E2870" s="13" t="str">
        <f>+HYPERLINK("http://trademark.i-assist.jp/data/china/image_1910th/80349155.pdf","80349155")</f>
        <v>80349155</v>
      </c>
      <c r="F2870" s="9" t="s">
        <v>7819</v>
      </c>
      <c r="G2870" s="9" t="s">
        <v>7820</v>
      </c>
      <c r="H2870" s="9" t="s">
        <v>7821</v>
      </c>
      <c r="I2870" s="10">
        <v>45518</v>
      </c>
    </row>
    <row r="2871" spans="1:9" x14ac:dyDescent="0.15">
      <c r="A2871" s="9">
        <v>2870</v>
      </c>
      <c r="B2871" s="9" t="s">
        <v>9</v>
      </c>
      <c r="C2871" s="9">
        <v>1910</v>
      </c>
      <c r="D2871" s="10">
        <v>45602</v>
      </c>
      <c r="E2871" s="13" t="str">
        <f>+HYPERLINK("http://trademark.i-assist.jp/data/china/image_1910th/80349269.pdf","80349269")</f>
        <v>80349269</v>
      </c>
      <c r="F2871" s="9" t="s">
        <v>7822</v>
      </c>
      <c r="G2871" s="9" t="s">
        <v>7782</v>
      </c>
      <c r="H2871" s="9" t="s">
        <v>7823</v>
      </c>
      <c r="I2871" s="10">
        <v>45518</v>
      </c>
    </row>
    <row r="2872" spans="1:9" x14ac:dyDescent="0.15">
      <c r="A2872" s="9">
        <v>2871</v>
      </c>
      <c r="B2872" s="9" t="s">
        <v>9</v>
      </c>
      <c r="C2872" s="9">
        <v>1910</v>
      </c>
      <c r="D2872" s="10">
        <v>45602</v>
      </c>
      <c r="E2872" s="13" t="str">
        <f>+HYPERLINK("http://trademark.i-assist.jp/data/china/image_1910th/80349299.pdf","80349299")</f>
        <v>80349299</v>
      </c>
      <c r="F2872" s="9" t="s">
        <v>7824</v>
      </c>
      <c r="G2872" s="9" t="s">
        <v>7825</v>
      </c>
      <c r="H2872" s="9" t="s">
        <v>7826</v>
      </c>
      <c r="I2872" s="10">
        <v>45518</v>
      </c>
    </row>
    <row r="2873" spans="1:9" x14ac:dyDescent="0.15">
      <c r="A2873" s="9">
        <v>2872</v>
      </c>
      <c r="B2873" s="9" t="s">
        <v>9</v>
      </c>
      <c r="C2873" s="9">
        <v>1910</v>
      </c>
      <c r="D2873" s="10">
        <v>45602</v>
      </c>
      <c r="E2873" s="13" t="str">
        <f>+HYPERLINK("http://trademark.i-assist.jp/data/china/image_1910th/80349387.pdf","80349387")</f>
        <v>80349387</v>
      </c>
      <c r="F2873" s="11" t="s">
        <v>7827</v>
      </c>
      <c r="G2873" s="9" t="s">
        <v>7828</v>
      </c>
      <c r="H2873" s="9" t="s">
        <v>7829</v>
      </c>
      <c r="I2873" s="10">
        <v>45518</v>
      </c>
    </row>
    <row r="2874" spans="1:9" x14ac:dyDescent="0.15">
      <c r="A2874" s="9">
        <v>2873</v>
      </c>
      <c r="B2874" s="9" t="s">
        <v>9</v>
      </c>
      <c r="C2874" s="9">
        <v>1910</v>
      </c>
      <c r="D2874" s="10">
        <v>45602</v>
      </c>
      <c r="E2874" s="13" t="str">
        <f>+HYPERLINK("http://trademark.i-assist.jp/data/china/image_1910th/80349457.pdf","80349457")</f>
        <v>80349457</v>
      </c>
      <c r="F2874" s="11" t="s">
        <v>7830</v>
      </c>
      <c r="G2874" s="9" t="s">
        <v>7831</v>
      </c>
      <c r="H2874" s="9" t="s">
        <v>7832</v>
      </c>
      <c r="I2874" s="10">
        <v>45518</v>
      </c>
    </row>
    <row r="2875" spans="1:9" x14ac:dyDescent="0.15">
      <c r="A2875" s="9">
        <v>2874</v>
      </c>
      <c r="B2875" s="9" t="s">
        <v>9</v>
      </c>
      <c r="C2875" s="9">
        <v>1910</v>
      </c>
      <c r="D2875" s="10">
        <v>45602</v>
      </c>
      <c r="E2875" s="13" t="str">
        <f>+HYPERLINK("http://trademark.i-assist.jp/data/china/image_1910th/80349574.pdf","80349574")</f>
        <v>80349574</v>
      </c>
      <c r="F2875" s="9" t="s">
        <v>7833</v>
      </c>
      <c r="G2875" s="9" t="s">
        <v>7771</v>
      </c>
      <c r="H2875" s="9" t="s">
        <v>7834</v>
      </c>
      <c r="I2875" s="10">
        <v>45518</v>
      </c>
    </row>
    <row r="2876" spans="1:9" x14ac:dyDescent="0.15">
      <c r="A2876" s="9">
        <v>2875</v>
      </c>
      <c r="B2876" s="9" t="s">
        <v>9</v>
      </c>
      <c r="C2876" s="9">
        <v>1910</v>
      </c>
      <c r="D2876" s="10">
        <v>45602</v>
      </c>
      <c r="E2876" s="13" t="str">
        <f>+HYPERLINK("http://trademark.i-assist.jp/data/china/image_1910th/80349690.pdf","80349690")</f>
        <v>80349690</v>
      </c>
      <c r="F2876" s="9" t="s">
        <v>7835</v>
      </c>
      <c r="G2876" s="9" t="s">
        <v>7836</v>
      </c>
      <c r="H2876" s="9" t="s">
        <v>7837</v>
      </c>
      <c r="I2876" s="10">
        <v>45518</v>
      </c>
    </row>
    <row r="2877" spans="1:9" x14ac:dyDescent="0.15">
      <c r="A2877" s="9">
        <v>2876</v>
      </c>
      <c r="B2877" s="9" t="s">
        <v>9</v>
      </c>
      <c r="C2877" s="9">
        <v>1910</v>
      </c>
      <c r="D2877" s="10">
        <v>45602</v>
      </c>
      <c r="E2877" s="13" t="str">
        <f>+HYPERLINK("http://trademark.i-assist.jp/data/china/image_1910th/80349958.pdf","80349958")</f>
        <v>80349958</v>
      </c>
      <c r="F2877" s="9" t="s">
        <v>7838</v>
      </c>
      <c r="G2877" s="11" t="s">
        <v>7839</v>
      </c>
      <c r="H2877" s="9" t="s">
        <v>7840</v>
      </c>
      <c r="I2877" s="10">
        <v>45518</v>
      </c>
    </row>
    <row r="2878" spans="1:9" x14ac:dyDescent="0.15">
      <c r="A2878" s="9">
        <v>2877</v>
      </c>
      <c r="B2878" s="9" t="s">
        <v>9</v>
      </c>
      <c r="C2878" s="9">
        <v>1910</v>
      </c>
      <c r="D2878" s="10">
        <v>45602</v>
      </c>
      <c r="E2878" s="13" t="str">
        <f>+HYPERLINK("http://trademark.i-assist.jp/data/china/image_1910th/80350348.pdf","80350348")</f>
        <v>80350348</v>
      </c>
      <c r="F2878" s="9" t="s">
        <v>7841</v>
      </c>
      <c r="G2878" s="9" t="s">
        <v>7842</v>
      </c>
      <c r="H2878" s="9" t="s">
        <v>7843</v>
      </c>
      <c r="I2878" s="10">
        <v>45518</v>
      </c>
    </row>
    <row r="2879" spans="1:9" x14ac:dyDescent="0.15">
      <c r="A2879" s="9">
        <v>2878</v>
      </c>
      <c r="B2879" s="9" t="s">
        <v>9</v>
      </c>
      <c r="C2879" s="9">
        <v>1910</v>
      </c>
      <c r="D2879" s="10">
        <v>45602</v>
      </c>
      <c r="E2879" s="13" t="str">
        <f>+HYPERLINK("http://trademark.i-assist.jp/data/china/image_1910th/80350639.pdf","80350639")</f>
        <v>80350639</v>
      </c>
      <c r="F2879" s="9" t="s">
        <v>7844</v>
      </c>
      <c r="G2879" s="9" t="s">
        <v>7845</v>
      </c>
      <c r="H2879" s="11" t="s">
        <v>7846</v>
      </c>
      <c r="I2879" s="10">
        <v>45518</v>
      </c>
    </row>
    <row r="2880" spans="1:9" x14ac:dyDescent="0.15">
      <c r="A2880" s="9">
        <v>2879</v>
      </c>
      <c r="B2880" s="9" t="s">
        <v>9</v>
      </c>
      <c r="C2880" s="9">
        <v>1910</v>
      </c>
      <c r="D2880" s="10">
        <v>45602</v>
      </c>
      <c r="E2880" s="13" t="str">
        <f>+HYPERLINK("http://trademark.i-assist.jp/data/china/image_1910th/80350768.pdf","80350768")</f>
        <v>80350768</v>
      </c>
      <c r="F2880" s="9" t="s">
        <v>7847</v>
      </c>
      <c r="G2880" s="9" t="s">
        <v>42</v>
      </c>
      <c r="H2880" s="9" t="s">
        <v>7848</v>
      </c>
      <c r="I2880" s="10">
        <v>45518</v>
      </c>
    </row>
    <row r="2881" spans="1:9" x14ac:dyDescent="0.15">
      <c r="A2881" s="9">
        <v>2880</v>
      </c>
      <c r="B2881" s="9" t="s">
        <v>9</v>
      </c>
      <c r="C2881" s="9">
        <v>1910</v>
      </c>
      <c r="D2881" s="10">
        <v>45602</v>
      </c>
      <c r="E2881" s="13" t="str">
        <f>+HYPERLINK("http://trademark.i-assist.jp/data/china/image_1910th/80350779.pdf","80350779")</f>
        <v>80350779</v>
      </c>
      <c r="F2881" s="9" t="s">
        <v>7849</v>
      </c>
      <c r="G2881" s="9" t="s">
        <v>7850</v>
      </c>
      <c r="H2881" s="9" t="s">
        <v>7851</v>
      </c>
      <c r="I2881" s="10">
        <v>45518</v>
      </c>
    </row>
    <row r="2882" spans="1:9" x14ac:dyDescent="0.15">
      <c r="A2882" s="9">
        <v>2881</v>
      </c>
      <c r="B2882" s="9" t="s">
        <v>9</v>
      </c>
      <c r="C2882" s="9">
        <v>1910</v>
      </c>
      <c r="D2882" s="10">
        <v>45602</v>
      </c>
      <c r="E2882" s="13" t="str">
        <f>+HYPERLINK("http://trademark.i-assist.jp/data/china/image_1910th/80350789.pdf","80350789")</f>
        <v>80350789</v>
      </c>
      <c r="F2882" s="9" t="s">
        <v>7852</v>
      </c>
      <c r="G2882" s="9" t="s">
        <v>7850</v>
      </c>
      <c r="H2882" s="9" t="s">
        <v>7853</v>
      </c>
      <c r="I2882" s="10">
        <v>45518</v>
      </c>
    </row>
    <row r="2883" spans="1:9" x14ac:dyDescent="0.15">
      <c r="A2883" s="9">
        <v>2882</v>
      </c>
      <c r="B2883" s="9" t="s">
        <v>9</v>
      </c>
      <c r="C2883" s="9">
        <v>1910</v>
      </c>
      <c r="D2883" s="10">
        <v>45602</v>
      </c>
      <c r="E2883" s="13" t="str">
        <f>+HYPERLINK("http://trademark.i-assist.jp/data/china/image_1910th/80350792.pdf","80350792")</f>
        <v>80350792</v>
      </c>
      <c r="F2883" s="9" t="s">
        <v>7854</v>
      </c>
      <c r="G2883" s="9" t="s">
        <v>7850</v>
      </c>
      <c r="H2883" s="9" t="s">
        <v>7855</v>
      </c>
      <c r="I2883" s="10">
        <v>45518</v>
      </c>
    </row>
    <row r="2884" spans="1:9" x14ac:dyDescent="0.15">
      <c r="A2884" s="9">
        <v>2883</v>
      </c>
      <c r="B2884" s="9" t="s">
        <v>9</v>
      </c>
      <c r="C2884" s="9">
        <v>1910</v>
      </c>
      <c r="D2884" s="10">
        <v>45602</v>
      </c>
      <c r="E2884" s="13" t="str">
        <f>+HYPERLINK("http://trademark.i-assist.jp/data/china/image_1910th/80350926.pdf","80350926")</f>
        <v>80350926</v>
      </c>
      <c r="F2884" s="11" t="s">
        <v>7856</v>
      </c>
      <c r="G2884" s="11" t="s">
        <v>7857</v>
      </c>
      <c r="H2884" s="9" t="s">
        <v>7858</v>
      </c>
      <c r="I2884" s="10">
        <v>45518</v>
      </c>
    </row>
    <row r="2885" spans="1:9" x14ac:dyDescent="0.15">
      <c r="A2885" s="9">
        <v>2884</v>
      </c>
      <c r="B2885" s="9" t="s">
        <v>9</v>
      </c>
      <c r="C2885" s="9">
        <v>1910</v>
      </c>
      <c r="D2885" s="10">
        <v>45602</v>
      </c>
      <c r="E2885" s="13" t="str">
        <f>+HYPERLINK("http://trademark.i-assist.jp/data/china/image_1910th/80351139.pdf","80351139")</f>
        <v>80351139</v>
      </c>
      <c r="F2885" s="9" t="s">
        <v>5216</v>
      </c>
      <c r="G2885" s="11" t="s">
        <v>5217</v>
      </c>
      <c r="H2885" s="9" t="s">
        <v>7859</v>
      </c>
      <c r="I2885" s="10">
        <v>45518</v>
      </c>
    </row>
    <row r="2886" spans="1:9" x14ac:dyDescent="0.15">
      <c r="A2886" s="9">
        <v>2885</v>
      </c>
      <c r="B2886" s="9" t="s">
        <v>9</v>
      </c>
      <c r="C2886" s="9">
        <v>1910</v>
      </c>
      <c r="D2886" s="10">
        <v>45602</v>
      </c>
      <c r="E2886" s="13" t="str">
        <f>+HYPERLINK("http://trademark.i-assist.jp/data/china/image_1910th/80351145.pdf","80351145")</f>
        <v>80351145</v>
      </c>
      <c r="F2886" s="9" t="s">
        <v>7860</v>
      </c>
      <c r="G2886" s="9" t="s">
        <v>7861</v>
      </c>
      <c r="H2886" s="9" t="s">
        <v>7862</v>
      </c>
      <c r="I2886" s="10">
        <v>45518</v>
      </c>
    </row>
    <row r="2887" spans="1:9" x14ac:dyDescent="0.15">
      <c r="A2887" s="9">
        <v>2886</v>
      </c>
      <c r="B2887" s="9" t="s">
        <v>9</v>
      </c>
      <c r="C2887" s="9">
        <v>1910</v>
      </c>
      <c r="D2887" s="10">
        <v>45602</v>
      </c>
      <c r="E2887" s="13" t="str">
        <f>+HYPERLINK("http://trademark.i-assist.jp/data/china/image_1910th/80351250.pdf","80351250")</f>
        <v>80351250</v>
      </c>
      <c r="F2887" s="9" t="s">
        <v>7863</v>
      </c>
      <c r="G2887" s="9" t="s">
        <v>15</v>
      </c>
      <c r="H2887" s="9" t="s">
        <v>7864</v>
      </c>
      <c r="I2887" s="10">
        <v>45518</v>
      </c>
    </row>
    <row r="2888" spans="1:9" x14ac:dyDescent="0.15">
      <c r="A2888" s="9">
        <v>2887</v>
      </c>
      <c r="B2888" s="9" t="s">
        <v>9</v>
      </c>
      <c r="C2888" s="9">
        <v>1910</v>
      </c>
      <c r="D2888" s="10">
        <v>45602</v>
      </c>
      <c r="E2888" s="13" t="str">
        <f>+HYPERLINK("http://trademark.i-assist.jp/data/china/image_1910th/80351457.pdf","80351457")</f>
        <v>80351457</v>
      </c>
      <c r="F2888" s="9" t="s">
        <v>7865</v>
      </c>
      <c r="G2888" s="9" t="s">
        <v>7866</v>
      </c>
      <c r="H2888" s="11" t="s">
        <v>7867</v>
      </c>
      <c r="I2888" s="10">
        <v>45518</v>
      </c>
    </row>
    <row r="2889" spans="1:9" x14ac:dyDescent="0.15">
      <c r="A2889" s="9">
        <v>2888</v>
      </c>
      <c r="B2889" s="9" t="s">
        <v>9</v>
      </c>
      <c r="C2889" s="9">
        <v>1910</v>
      </c>
      <c r="D2889" s="10">
        <v>45602</v>
      </c>
      <c r="E2889" s="13" t="str">
        <f>+HYPERLINK("http://trademark.i-assist.jp/data/china/image_1910th/80351592.pdf","80351592")</f>
        <v>80351592</v>
      </c>
      <c r="F2889" s="9" t="s">
        <v>7868</v>
      </c>
      <c r="G2889" s="9" t="s">
        <v>7869</v>
      </c>
      <c r="H2889" s="11" t="s">
        <v>7870</v>
      </c>
      <c r="I2889" s="10">
        <v>45518</v>
      </c>
    </row>
    <row r="2890" spans="1:9" x14ac:dyDescent="0.15">
      <c r="A2890" s="9">
        <v>2889</v>
      </c>
      <c r="B2890" s="9" t="s">
        <v>9</v>
      </c>
      <c r="C2890" s="9">
        <v>1910</v>
      </c>
      <c r="D2890" s="10">
        <v>45602</v>
      </c>
      <c r="E2890" s="13" t="str">
        <f>+HYPERLINK("http://trademark.i-assist.jp/data/china/image_1910th/80351710.pdf","80351710")</f>
        <v>80351710</v>
      </c>
      <c r="F2890" s="11" t="s">
        <v>7871</v>
      </c>
      <c r="G2890" s="9" t="s">
        <v>7872</v>
      </c>
      <c r="H2890" s="9" t="s">
        <v>7873</v>
      </c>
      <c r="I2890" s="10">
        <v>45518</v>
      </c>
    </row>
    <row r="2891" spans="1:9" x14ac:dyDescent="0.15">
      <c r="A2891" s="9">
        <v>2890</v>
      </c>
      <c r="B2891" s="9" t="s">
        <v>9</v>
      </c>
      <c r="C2891" s="9">
        <v>1910</v>
      </c>
      <c r="D2891" s="10">
        <v>45602</v>
      </c>
      <c r="E2891" s="13" t="str">
        <f>+HYPERLINK("http://trademark.i-assist.jp/data/china/image_1910th/80351782.pdf","80351782")</f>
        <v>80351782</v>
      </c>
      <c r="F2891" s="9" t="s">
        <v>7874</v>
      </c>
      <c r="G2891" s="9" t="s">
        <v>7875</v>
      </c>
      <c r="H2891" s="9" t="s">
        <v>7876</v>
      </c>
      <c r="I2891" s="10">
        <v>45518</v>
      </c>
    </row>
    <row r="2892" spans="1:9" x14ac:dyDescent="0.15">
      <c r="A2892" s="9">
        <v>2891</v>
      </c>
      <c r="B2892" s="9" t="s">
        <v>9</v>
      </c>
      <c r="C2892" s="9">
        <v>1910</v>
      </c>
      <c r="D2892" s="10">
        <v>45602</v>
      </c>
      <c r="E2892" s="13" t="str">
        <f>+HYPERLINK("http://trademark.i-assist.jp/data/china/image_1910th/80351970.pdf","80351970")</f>
        <v>80351970</v>
      </c>
      <c r="F2892" s="9" t="s">
        <v>7877</v>
      </c>
      <c r="G2892" s="11" t="s">
        <v>7878</v>
      </c>
      <c r="H2892" s="9" t="s">
        <v>7879</v>
      </c>
      <c r="I2892" s="10">
        <v>45518</v>
      </c>
    </row>
    <row r="2893" spans="1:9" x14ac:dyDescent="0.15">
      <c r="A2893" s="9">
        <v>2892</v>
      </c>
      <c r="B2893" s="9" t="s">
        <v>9</v>
      </c>
      <c r="C2893" s="9">
        <v>1910</v>
      </c>
      <c r="D2893" s="10">
        <v>45602</v>
      </c>
      <c r="E2893" s="13" t="str">
        <f>+HYPERLINK("http://trademark.i-assist.jp/data/china/image_1910th/80352082.pdf","80352082")</f>
        <v>80352082</v>
      </c>
      <c r="F2893" s="9" t="s">
        <v>7880</v>
      </c>
      <c r="G2893" s="9" t="s">
        <v>7881</v>
      </c>
      <c r="H2893" s="11" t="s">
        <v>7882</v>
      </c>
      <c r="I2893" s="10">
        <v>45518</v>
      </c>
    </row>
    <row r="2894" spans="1:9" x14ac:dyDescent="0.15">
      <c r="A2894" s="9">
        <v>2893</v>
      </c>
      <c r="B2894" s="9" t="s">
        <v>9</v>
      </c>
      <c r="C2894" s="9">
        <v>1910</v>
      </c>
      <c r="D2894" s="10">
        <v>45602</v>
      </c>
      <c r="E2894" s="13" t="str">
        <f>+HYPERLINK("http://trademark.i-assist.jp/data/china/image_1910th/80352106.pdf","80352106")</f>
        <v>80352106</v>
      </c>
      <c r="F2894" s="11" t="s">
        <v>19</v>
      </c>
      <c r="G2894" s="9" t="s">
        <v>7883</v>
      </c>
      <c r="H2894" s="9" t="s">
        <v>7884</v>
      </c>
      <c r="I2894" s="10">
        <v>45518</v>
      </c>
    </row>
    <row r="2895" spans="1:9" x14ac:dyDescent="0.15">
      <c r="A2895" s="9">
        <v>2894</v>
      </c>
      <c r="B2895" s="9" t="s">
        <v>9</v>
      </c>
      <c r="C2895" s="9">
        <v>1910</v>
      </c>
      <c r="D2895" s="10">
        <v>45602</v>
      </c>
      <c r="E2895" s="13" t="str">
        <f>+HYPERLINK("http://trademark.i-assist.jp/data/china/image_1910th/80352194.pdf","80352194")</f>
        <v>80352194</v>
      </c>
      <c r="F2895" s="9" t="s">
        <v>7885</v>
      </c>
      <c r="G2895" s="11" t="s">
        <v>7886</v>
      </c>
      <c r="H2895" s="9" t="s">
        <v>7887</v>
      </c>
      <c r="I2895" s="10">
        <v>45518</v>
      </c>
    </row>
    <row r="2896" spans="1:9" x14ac:dyDescent="0.15">
      <c r="A2896" s="9">
        <v>2895</v>
      </c>
      <c r="B2896" s="9" t="s">
        <v>9</v>
      </c>
      <c r="C2896" s="9">
        <v>1910</v>
      </c>
      <c r="D2896" s="10">
        <v>45602</v>
      </c>
      <c r="E2896" s="13" t="str">
        <f>+HYPERLINK("http://trademark.i-assist.jp/data/china/image_1910th/80352275.pdf","80352275")</f>
        <v>80352275</v>
      </c>
      <c r="F2896" s="11" t="s">
        <v>7888</v>
      </c>
      <c r="G2896" s="9" t="s">
        <v>7889</v>
      </c>
      <c r="H2896" s="9" t="s">
        <v>7890</v>
      </c>
      <c r="I2896" s="10">
        <v>45518</v>
      </c>
    </row>
    <row r="2897" spans="1:9" x14ac:dyDescent="0.15">
      <c r="A2897" s="9">
        <v>2896</v>
      </c>
      <c r="B2897" s="9" t="s">
        <v>9</v>
      </c>
      <c r="C2897" s="9">
        <v>1910</v>
      </c>
      <c r="D2897" s="10">
        <v>45602</v>
      </c>
      <c r="E2897" s="13" t="str">
        <f>+HYPERLINK("http://trademark.i-assist.jp/data/china/image_1910th/80352390.pdf","80352390")</f>
        <v>80352390</v>
      </c>
      <c r="F2897" s="11" t="s">
        <v>19</v>
      </c>
      <c r="G2897" s="9" t="s">
        <v>7891</v>
      </c>
      <c r="H2897" s="9" t="s">
        <v>7892</v>
      </c>
      <c r="I2897" s="10">
        <v>45518</v>
      </c>
    </row>
    <row r="2898" spans="1:9" x14ac:dyDescent="0.15">
      <c r="A2898" s="9">
        <v>2897</v>
      </c>
      <c r="B2898" s="9" t="s">
        <v>9</v>
      </c>
      <c r="C2898" s="9">
        <v>1910</v>
      </c>
      <c r="D2898" s="10">
        <v>45602</v>
      </c>
      <c r="E2898" s="13" t="str">
        <f>+HYPERLINK("http://trademark.i-assist.jp/data/china/image_1910th/80352403.pdf","80352403")</f>
        <v>80352403</v>
      </c>
      <c r="F2898" s="9" t="s">
        <v>7893</v>
      </c>
      <c r="G2898" s="9" t="s">
        <v>7894</v>
      </c>
      <c r="H2898" s="9" t="s">
        <v>7895</v>
      </c>
      <c r="I2898" s="10">
        <v>45518</v>
      </c>
    </row>
    <row r="2899" spans="1:9" x14ac:dyDescent="0.15">
      <c r="A2899" s="9">
        <v>2898</v>
      </c>
      <c r="B2899" s="9" t="s">
        <v>9</v>
      </c>
      <c r="C2899" s="9">
        <v>1910</v>
      </c>
      <c r="D2899" s="10">
        <v>45602</v>
      </c>
      <c r="E2899" s="13" t="str">
        <f>+HYPERLINK("http://trademark.i-assist.jp/data/china/image_1910th/80352408.pdf","80352408")</f>
        <v>80352408</v>
      </c>
      <c r="F2899" s="11" t="s">
        <v>7896</v>
      </c>
      <c r="G2899" s="11" t="s">
        <v>7897</v>
      </c>
      <c r="H2899" s="9" t="s">
        <v>7898</v>
      </c>
      <c r="I2899" s="10">
        <v>45518</v>
      </c>
    </row>
    <row r="2900" spans="1:9" x14ac:dyDescent="0.15">
      <c r="A2900" s="9">
        <v>2899</v>
      </c>
      <c r="B2900" s="9" t="s">
        <v>9</v>
      </c>
      <c r="C2900" s="9">
        <v>1910</v>
      </c>
      <c r="D2900" s="10">
        <v>45602</v>
      </c>
      <c r="E2900" s="13" t="str">
        <f>+HYPERLINK("http://trademark.i-assist.jp/data/china/image_1910th/80352564.pdf","80352564")</f>
        <v>80352564</v>
      </c>
      <c r="F2900" s="9" t="s">
        <v>7899</v>
      </c>
      <c r="G2900" s="9" t="s">
        <v>7900</v>
      </c>
      <c r="H2900" s="9" t="s">
        <v>7901</v>
      </c>
      <c r="I2900" s="10">
        <v>45518</v>
      </c>
    </row>
    <row r="2901" spans="1:9" x14ac:dyDescent="0.15">
      <c r="A2901" s="9">
        <v>2900</v>
      </c>
      <c r="B2901" s="9" t="s">
        <v>9</v>
      </c>
      <c r="C2901" s="9">
        <v>1910</v>
      </c>
      <c r="D2901" s="10">
        <v>45602</v>
      </c>
      <c r="E2901" s="13" t="str">
        <f>+HYPERLINK("http://trademark.i-assist.jp/data/china/image_1910th/80352688.pdf","80352688")</f>
        <v>80352688</v>
      </c>
      <c r="F2901" s="9" t="s">
        <v>7902</v>
      </c>
      <c r="G2901" s="9" t="s">
        <v>7903</v>
      </c>
      <c r="H2901" s="11" t="s">
        <v>7904</v>
      </c>
      <c r="I2901" s="10">
        <v>45518</v>
      </c>
    </row>
    <row r="2902" spans="1:9" x14ac:dyDescent="0.15">
      <c r="A2902" s="9">
        <v>2901</v>
      </c>
      <c r="B2902" s="9" t="s">
        <v>9</v>
      </c>
      <c r="C2902" s="9">
        <v>1910</v>
      </c>
      <c r="D2902" s="10">
        <v>45602</v>
      </c>
      <c r="E2902" s="13" t="str">
        <f>+HYPERLINK("http://trademark.i-assist.jp/data/china/image_1910th/80352879.pdf","80352879")</f>
        <v>80352879</v>
      </c>
      <c r="F2902" s="11" t="s">
        <v>7905</v>
      </c>
      <c r="G2902" s="9" t="s">
        <v>7906</v>
      </c>
      <c r="H2902" s="9" t="s">
        <v>7907</v>
      </c>
      <c r="I2902" s="10">
        <v>45518</v>
      </c>
    </row>
    <row r="2903" spans="1:9" x14ac:dyDescent="0.15">
      <c r="A2903" s="9">
        <v>2902</v>
      </c>
      <c r="B2903" s="9" t="s">
        <v>9</v>
      </c>
      <c r="C2903" s="9">
        <v>1910</v>
      </c>
      <c r="D2903" s="10">
        <v>45602</v>
      </c>
      <c r="E2903" s="13" t="str">
        <f>+HYPERLINK("http://trademark.i-assist.jp/data/china/image_1910th/80352907.pdf","80352907")</f>
        <v>80352907</v>
      </c>
      <c r="F2903" s="12" t="s">
        <v>7908</v>
      </c>
      <c r="G2903" s="11" t="s">
        <v>7909</v>
      </c>
      <c r="H2903" s="9" t="s">
        <v>7910</v>
      </c>
      <c r="I2903" s="10">
        <v>45518</v>
      </c>
    </row>
    <row r="2904" spans="1:9" x14ac:dyDescent="0.15">
      <c r="A2904" s="9">
        <v>2903</v>
      </c>
      <c r="B2904" s="9" t="s">
        <v>9</v>
      </c>
      <c r="C2904" s="9">
        <v>1910</v>
      </c>
      <c r="D2904" s="10">
        <v>45602</v>
      </c>
      <c r="E2904" s="13" t="str">
        <f>+HYPERLINK("http://trademark.i-assist.jp/data/china/image_1910th/80353082.pdf","80353082")</f>
        <v>80353082</v>
      </c>
      <c r="F2904" s="9" t="s">
        <v>7911</v>
      </c>
      <c r="G2904" s="9" t="s">
        <v>7912</v>
      </c>
      <c r="H2904" s="9" t="s">
        <v>7913</v>
      </c>
      <c r="I2904" s="10">
        <v>45518</v>
      </c>
    </row>
    <row r="2905" spans="1:9" x14ac:dyDescent="0.15">
      <c r="A2905" s="9">
        <v>2904</v>
      </c>
      <c r="B2905" s="9" t="s">
        <v>9</v>
      </c>
      <c r="C2905" s="9">
        <v>1910</v>
      </c>
      <c r="D2905" s="10">
        <v>45602</v>
      </c>
      <c r="E2905" s="13" t="str">
        <f>+HYPERLINK("http://trademark.i-assist.jp/data/china/image_1910th/80353101.pdf","80353101")</f>
        <v>80353101</v>
      </c>
      <c r="F2905" s="9" t="s">
        <v>7914</v>
      </c>
      <c r="G2905" s="11" t="s">
        <v>7915</v>
      </c>
      <c r="H2905" s="9" t="s">
        <v>7916</v>
      </c>
      <c r="I2905" s="10">
        <v>45518</v>
      </c>
    </row>
    <row r="2906" spans="1:9" x14ac:dyDescent="0.15">
      <c r="A2906" s="9">
        <v>2905</v>
      </c>
      <c r="B2906" s="9" t="s">
        <v>9</v>
      </c>
      <c r="C2906" s="9">
        <v>1910</v>
      </c>
      <c r="D2906" s="10">
        <v>45602</v>
      </c>
      <c r="E2906" s="13" t="str">
        <f>+HYPERLINK("http://trademark.i-assist.jp/data/china/image_1910th/80353472.pdf","80353472")</f>
        <v>80353472</v>
      </c>
      <c r="F2906" s="11" t="s">
        <v>7917</v>
      </c>
      <c r="G2906" s="9" t="s">
        <v>42</v>
      </c>
      <c r="H2906" s="9" t="s">
        <v>7918</v>
      </c>
      <c r="I2906" s="10">
        <v>45518</v>
      </c>
    </row>
    <row r="2907" spans="1:9" x14ac:dyDescent="0.15">
      <c r="A2907" s="9">
        <v>2906</v>
      </c>
      <c r="B2907" s="9" t="s">
        <v>9</v>
      </c>
      <c r="C2907" s="9">
        <v>1910</v>
      </c>
      <c r="D2907" s="10">
        <v>45602</v>
      </c>
      <c r="E2907" s="13" t="str">
        <f>+HYPERLINK("http://trademark.i-assist.jp/data/china/image_1910th/80353476.pdf","80353476")</f>
        <v>80353476</v>
      </c>
      <c r="F2907" s="9" t="s">
        <v>7919</v>
      </c>
      <c r="G2907" s="9" t="s">
        <v>42</v>
      </c>
      <c r="H2907" s="9" t="s">
        <v>7920</v>
      </c>
      <c r="I2907" s="10">
        <v>45518</v>
      </c>
    </row>
    <row r="2908" spans="1:9" x14ac:dyDescent="0.15">
      <c r="A2908" s="9">
        <v>2907</v>
      </c>
      <c r="B2908" s="9" t="s">
        <v>9</v>
      </c>
      <c r="C2908" s="9">
        <v>1910</v>
      </c>
      <c r="D2908" s="10">
        <v>45602</v>
      </c>
      <c r="E2908" s="13" t="str">
        <f>+HYPERLINK("http://trademark.i-assist.jp/data/china/image_1910th/80353560.pdf","80353560")</f>
        <v>80353560</v>
      </c>
      <c r="F2908" s="9" t="s">
        <v>7921</v>
      </c>
      <c r="G2908" s="9" t="s">
        <v>7782</v>
      </c>
      <c r="H2908" s="9" t="s">
        <v>7922</v>
      </c>
      <c r="I2908" s="10">
        <v>45518</v>
      </c>
    </row>
    <row r="2909" spans="1:9" x14ac:dyDescent="0.15">
      <c r="A2909" s="9">
        <v>2908</v>
      </c>
      <c r="B2909" s="9" t="s">
        <v>9</v>
      </c>
      <c r="C2909" s="9">
        <v>1910</v>
      </c>
      <c r="D2909" s="10">
        <v>45602</v>
      </c>
      <c r="E2909" s="13" t="str">
        <f>+HYPERLINK("http://trademark.i-assist.jp/data/china/image_1910th/80353670.pdf","80353670")</f>
        <v>80353670</v>
      </c>
      <c r="F2909" s="9" t="s">
        <v>7923</v>
      </c>
      <c r="G2909" s="9" t="s">
        <v>7924</v>
      </c>
      <c r="H2909" s="9" t="s">
        <v>7925</v>
      </c>
      <c r="I2909" s="10">
        <v>45518</v>
      </c>
    </row>
    <row r="2910" spans="1:9" x14ac:dyDescent="0.15">
      <c r="A2910" s="9">
        <v>2909</v>
      </c>
      <c r="B2910" s="9" t="s">
        <v>9</v>
      </c>
      <c r="C2910" s="9">
        <v>1910</v>
      </c>
      <c r="D2910" s="10">
        <v>45602</v>
      </c>
      <c r="E2910" s="13" t="str">
        <f>+HYPERLINK("http://trademark.i-assist.jp/data/china/image_1910th/80353937.pdf","80353937")</f>
        <v>80353937</v>
      </c>
      <c r="F2910" s="9" t="s">
        <v>7926</v>
      </c>
      <c r="G2910" s="11" t="s">
        <v>7927</v>
      </c>
      <c r="H2910" s="9" t="s">
        <v>7928</v>
      </c>
      <c r="I2910" s="10">
        <v>45518</v>
      </c>
    </row>
    <row r="2911" spans="1:9" x14ac:dyDescent="0.15">
      <c r="A2911" s="9">
        <v>2910</v>
      </c>
      <c r="B2911" s="9" t="s">
        <v>9</v>
      </c>
      <c r="C2911" s="9">
        <v>1910</v>
      </c>
      <c r="D2911" s="10">
        <v>45602</v>
      </c>
      <c r="E2911" s="13" t="str">
        <f>+HYPERLINK("http://trademark.i-assist.jp/data/china/image_1910th/80354061.pdf","80354061")</f>
        <v>80354061</v>
      </c>
      <c r="F2911" s="9" t="s">
        <v>7929</v>
      </c>
      <c r="G2911" s="9" t="s">
        <v>7930</v>
      </c>
      <c r="H2911" s="11" t="s">
        <v>7931</v>
      </c>
      <c r="I2911" s="10">
        <v>45518</v>
      </c>
    </row>
    <row r="2912" spans="1:9" x14ac:dyDescent="0.15">
      <c r="A2912" s="9">
        <v>2911</v>
      </c>
      <c r="B2912" s="9" t="s">
        <v>9</v>
      </c>
      <c r="C2912" s="9">
        <v>1910</v>
      </c>
      <c r="D2912" s="10">
        <v>45602</v>
      </c>
      <c r="E2912" s="13" t="str">
        <f>+HYPERLINK("http://trademark.i-assist.jp/data/china/image_1910th/80354161.pdf","80354161")</f>
        <v>80354161</v>
      </c>
      <c r="F2912" s="9" t="s">
        <v>7932</v>
      </c>
      <c r="G2912" s="9" t="s">
        <v>7933</v>
      </c>
      <c r="H2912" s="9" t="s">
        <v>7934</v>
      </c>
      <c r="I2912" s="10">
        <v>45518</v>
      </c>
    </row>
    <row r="2913" spans="1:9" x14ac:dyDescent="0.15">
      <c r="A2913" s="9">
        <v>2912</v>
      </c>
      <c r="B2913" s="9" t="s">
        <v>9</v>
      </c>
      <c r="C2913" s="9">
        <v>1910</v>
      </c>
      <c r="D2913" s="10">
        <v>45602</v>
      </c>
      <c r="E2913" s="13" t="str">
        <f>+HYPERLINK("http://trademark.i-assist.jp/data/china/image_1910th/80354171.pdf","80354171")</f>
        <v>80354171</v>
      </c>
      <c r="F2913" s="11" t="s">
        <v>7935</v>
      </c>
      <c r="G2913" s="9" t="s">
        <v>7936</v>
      </c>
      <c r="H2913" s="9" t="s">
        <v>7937</v>
      </c>
      <c r="I2913" s="10">
        <v>45518</v>
      </c>
    </row>
    <row r="2914" spans="1:9" x14ac:dyDescent="0.15">
      <c r="A2914" s="9">
        <v>2913</v>
      </c>
      <c r="B2914" s="9" t="s">
        <v>9</v>
      </c>
      <c r="C2914" s="9">
        <v>1910</v>
      </c>
      <c r="D2914" s="10">
        <v>45602</v>
      </c>
      <c r="E2914" s="13" t="str">
        <f>+HYPERLINK("http://trademark.i-assist.jp/data/china/image_1910th/80354217.pdf","80354217")</f>
        <v>80354217</v>
      </c>
      <c r="F2914" s="9" t="s">
        <v>7938</v>
      </c>
      <c r="G2914" s="9" t="s">
        <v>7894</v>
      </c>
      <c r="H2914" s="9" t="s">
        <v>7939</v>
      </c>
      <c r="I2914" s="10">
        <v>45518</v>
      </c>
    </row>
    <row r="2915" spans="1:9" x14ac:dyDescent="0.15">
      <c r="A2915" s="9">
        <v>2914</v>
      </c>
      <c r="B2915" s="9" t="s">
        <v>9</v>
      </c>
      <c r="C2915" s="9">
        <v>1910</v>
      </c>
      <c r="D2915" s="10">
        <v>45602</v>
      </c>
      <c r="E2915" s="13" t="str">
        <f>+HYPERLINK("http://trademark.i-assist.jp/data/china/image_1910th/80354659.pdf","80354659")</f>
        <v>80354659</v>
      </c>
      <c r="F2915" s="9" t="s">
        <v>7940</v>
      </c>
      <c r="G2915" s="9" t="s">
        <v>7941</v>
      </c>
      <c r="H2915" s="9" t="s">
        <v>7942</v>
      </c>
      <c r="I2915" s="10">
        <v>45518</v>
      </c>
    </row>
    <row r="2916" spans="1:9" x14ac:dyDescent="0.15">
      <c r="A2916" s="9">
        <v>2915</v>
      </c>
      <c r="B2916" s="9" t="s">
        <v>9</v>
      </c>
      <c r="C2916" s="9">
        <v>1910</v>
      </c>
      <c r="D2916" s="10">
        <v>45602</v>
      </c>
      <c r="E2916" s="13" t="str">
        <f>+HYPERLINK("http://trademark.i-assist.jp/data/china/image_1910th/80354881.pdf","80354881")</f>
        <v>80354881</v>
      </c>
      <c r="F2916" s="9" t="s">
        <v>7943</v>
      </c>
      <c r="G2916" s="9" t="s">
        <v>7944</v>
      </c>
      <c r="H2916" s="11" t="s">
        <v>7945</v>
      </c>
      <c r="I2916" s="10">
        <v>45518</v>
      </c>
    </row>
    <row r="2917" spans="1:9" x14ac:dyDescent="0.15">
      <c r="A2917" s="9">
        <v>2916</v>
      </c>
      <c r="B2917" s="9" t="s">
        <v>9</v>
      </c>
      <c r="C2917" s="9">
        <v>1910</v>
      </c>
      <c r="D2917" s="10">
        <v>45602</v>
      </c>
      <c r="E2917" s="13" t="str">
        <f>+HYPERLINK("http://trademark.i-assist.jp/data/china/image_1910th/80354900.pdf","80354900")</f>
        <v>80354900</v>
      </c>
      <c r="F2917" s="11" t="s">
        <v>7946</v>
      </c>
      <c r="G2917" s="9" t="s">
        <v>7797</v>
      </c>
      <c r="H2917" s="9" t="s">
        <v>7947</v>
      </c>
      <c r="I2917" s="10">
        <v>45518</v>
      </c>
    </row>
    <row r="2918" spans="1:9" x14ac:dyDescent="0.15">
      <c r="A2918" s="9">
        <v>2917</v>
      </c>
      <c r="B2918" s="9" t="s">
        <v>9</v>
      </c>
      <c r="C2918" s="9">
        <v>1910</v>
      </c>
      <c r="D2918" s="10">
        <v>45602</v>
      </c>
      <c r="E2918" s="13" t="str">
        <f>+HYPERLINK("http://trademark.i-assist.jp/data/china/image_1910th/80355188.pdf","80355188")</f>
        <v>80355188</v>
      </c>
      <c r="F2918" s="11" t="s">
        <v>7948</v>
      </c>
      <c r="G2918" s="9" t="s">
        <v>7949</v>
      </c>
      <c r="H2918" s="9" t="s">
        <v>7950</v>
      </c>
      <c r="I2918" s="10">
        <v>45518</v>
      </c>
    </row>
    <row r="2919" spans="1:9" x14ac:dyDescent="0.15">
      <c r="A2919" s="9">
        <v>2918</v>
      </c>
      <c r="B2919" s="9" t="s">
        <v>9</v>
      </c>
      <c r="C2919" s="9">
        <v>1910</v>
      </c>
      <c r="D2919" s="10">
        <v>45602</v>
      </c>
      <c r="E2919" s="13" t="str">
        <f>+HYPERLINK("http://trademark.i-assist.jp/data/china/image_1910th/80355251.pdf","80355251")</f>
        <v>80355251</v>
      </c>
      <c r="F2919" s="9" t="s">
        <v>7951</v>
      </c>
      <c r="G2919" s="9" t="s">
        <v>7952</v>
      </c>
      <c r="H2919" s="11" t="s">
        <v>7953</v>
      </c>
      <c r="I2919" s="10">
        <v>45518</v>
      </c>
    </row>
    <row r="2920" spans="1:9" x14ac:dyDescent="0.15">
      <c r="A2920" s="9">
        <v>2919</v>
      </c>
      <c r="B2920" s="9" t="s">
        <v>9</v>
      </c>
      <c r="C2920" s="9">
        <v>1910</v>
      </c>
      <c r="D2920" s="10">
        <v>45602</v>
      </c>
      <c r="E2920" s="13" t="str">
        <f>+HYPERLINK("http://trademark.i-assist.jp/data/china/image_1910th/80355323.pdf","80355323")</f>
        <v>80355323</v>
      </c>
      <c r="F2920" s="11" t="s">
        <v>7954</v>
      </c>
      <c r="G2920" s="9" t="s">
        <v>7955</v>
      </c>
      <c r="H2920" s="9" t="s">
        <v>7956</v>
      </c>
      <c r="I2920" s="10">
        <v>45518</v>
      </c>
    </row>
    <row r="2921" spans="1:9" x14ac:dyDescent="0.15">
      <c r="A2921" s="9">
        <v>2920</v>
      </c>
      <c r="B2921" s="9" t="s">
        <v>9</v>
      </c>
      <c r="C2921" s="9">
        <v>1910</v>
      </c>
      <c r="D2921" s="10">
        <v>45602</v>
      </c>
      <c r="E2921" s="13" t="str">
        <f>+HYPERLINK("http://trademark.i-assist.jp/data/china/image_1910th/80355480.pdf","80355480")</f>
        <v>80355480</v>
      </c>
      <c r="F2921" s="9" t="s">
        <v>7957</v>
      </c>
      <c r="G2921" s="9" t="s">
        <v>7958</v>
      </c>
      <c r="H2921" s="9" t="s">
        <v>7959</v>
      </c>
      <c r="I2921" s="10">
        <v>45518</v>
      </c>
    </row>
    <row r="2922" spans="1:9" x14ac:dyDescent="0.15">
      <c r="A2922" s="9">
        <v>2921</v>
      </c>
      <c r="B2922" s="9" t="s">
        <v>9</v>
      </c>
      <c r="C2922" s="9">
        <v>1910</v>
      </c>
      <c r="D2922" s="10">
        <v>45602</v>
      </c>
      <c r="E2922" s="13" t="str">
        <f>+HYPERLINK("http://trademark.i-assist.jp/data/china/image_1910th/80355755.pdf","80355755")</f>
        <v>80355755</v>
      </c>
      <c r="F2922" s="9" t="s">
        <v>7960</v>
      </c>
      <c r="G2922" s="9" t="s">
        <v>7842</v>
      </c>
      <c r="H2922" s="9" t="s">
        <v>7961</v>
      </c>
      <c r="I2922" s="10">
        <v>45518</v>
      </c>
    </row>
    <row r="2923" spans="1:9" x14ac:dyDescent="0.15">
      <c r="A2923" s="9">
        <v>2922</v>
      </c>
      <c r="B2923" s="9" t="s">
        <v>9</v>
      </c>
      <c r="C2923" s="9">
        <v>1910</v>
      </c>
      <c r="D2923" s="10">
        <v>45602</v>
      </c>
      <c r="E2923" s="13" t="str">
        <f>+HYPERLINK("http://trademark.i-assist.jp/data/china/image_1910th/80355924.pdf","80355924")</f>
        <v>80355924</v>
      </c>
      <c r="F2923" s="9" t="s">
        <v>7962</v>
      </c>
      <c r="G2923" s="9" t="s">
        <v>7963</v>
      </c>
      <c r="H2923" s="9" t="s">
        <v>7964</v>
      </c>
      <c r="I2923" s="10">
        <v>45518</v>
      </c>
    </row>
    <row r="2924" spans="1:9" x14ac:dyDescent="0.15">
      <c r="A2924" s="9">
        <v>2923</v>
      </c>
      <c r="B2924" s="9" t="s">
        <v>9</v>
      </c>
      <c r="C2924" s="9">
        <v>1910</v>
      </c>
      <c r="D2924" s="10">
        <v>45602</v>
      </c>
      <c r="E2924" s="13" t="str">
        <f>+HYPERLINK("http://trademark.i-assist.jp/data/china/image_1910th/80356137.pdf","80356137")</f>
        <v>80356137</v>
      </c>
      <c r="F2924" s="11" t="s">
        <v>19</v>
      </c>
      <c r="G2924" s="9" t="s">
        <v>7891</v>
      </c>
      <c r="H2924" s="9" t="s">
        <v>7965</v>
      </c>
      <c r="I2924" s="10">
        <v>45518</v>
      </c>
    </row>
    <row r="2925" spans="1:9" x14ac:dyDescent="0.15">
      <c r="A2925" s="9">
        <v>2924</v>
      </c>
      <c r="B2925" s="9" t="s">
        <v>9</v>
      </c>
      <c r="C2925" s="9">
        <v>1910</v>
      </c>
      <c r="D2925" s="10">
        <v>45602</v>
      </c>
      <c r="E2925" s="13" t="str">
        <f>+HYPERLINK("http://trademark.i-assist.jp/data/china/image_1910th/80356296.pdf","80356296")</f>
        <v>80356296</v>
      </c>
      <c r="F2925" s="9" t="s">
        <v>7966</v>
      </c>
      <c r="G2925" s="9" t="s">
        <v>7967</v>
      </c>
      <c r="H2925" s="9" t="s">
        <v>7968</v>
      </c>
      <c r="I2925" s="10">
        <v>45518</v>
      </c>
    </row>
    <row r="2926" spans="1:9" x14ac:dyDescent="0.15">
      <c r="A2926" s="9">
        <v>2925</v>
      </c>
      <c r="B2926" s="9" t="s">
        <v>9</v>
      </c>
      <c r="C2926" s="9">
        <v>1910</v>
      </c>
      <c r="D2926" s="10">
        <v>45602</v>
      </c>
      <c r="E2926" s="13" t="str">
        <f>+HYPERLINK("http://trademark.i-assist.jp/data/china/image_1910th/80356297.pdf","80356297")</f>
        <v>80356297</v>
      </c>
      <c r="F2926" s="9" t="s">
        <v>7969</v>
      </c>
      <c r="G2926" s="9" t="s">
        <v>7967</v>
      </c>
      <c r="H2926" s="9" t="s">
        <v>7970</v>
      </c>
      <c r="I2926" s="10">
        <v>45518</v>
      </c>
    </row>
    <row r="2927" spans="1:9" x14ac:dyDescent="0.15">
      <c r="A2927" s="9">
        <v>2926</v>
      </c>
      <c r="B2927" s="9" t="s">
        <v>9</v>
      </c>
      <c r="C2927" s="9">
        <v>1910</v>
      </c>
      <c r="D2927" s="10">
        <v>45602</v>
      </c>
      <c r="E2927" s="13" t="str">
        <f>+HYPERLINK("http://trademark.i-assist.jp/data/china/image_1910th/80356372.pdf","80356372")</f>
        <v>80356372</v>
      </c>
      <c r="F2927" s="9" t="s">
        <v>7971</v>
      </c>
      <c r="G2927" s="11" t="s">
        <v>7972</v>
      </c>
      <c r="H2927" s="9" t="s">
        <v>7973</v>
      </c>
      <c r="I2927" s="10">
        <v>45518</v>
      </c>
    </row>
    <row r="2928" spans="1:9" x14ac:dyDescent="0.15">
      <c r="A2928" s="9">
        <v>2927</v>
      </c>
      <c r="B2928" s="9" t="s">
        <v>9</v>
      </c>
      <c r="C2928" s="9">
        <v>1910</v>
      </c>
      <c r="D2928" s="10">
        <v>45602</v>
      </c>
      <c r="E2928" s="13" t="str">
        <f>+HYPERLINK("http://trademark.i-assist.jp/data/china/image_1910th/80356906.pdf","80356906")</f>
        <v>80356906</v>
      </c>
      <c r="F2928" s="9" t="s">
        <v>7974</v>
      </c>
      <c r="G2928" s="9" t="s">
        <v>7975</v>
      </c>
      <c r="H2928" s="9" t="s">
        <v>7976</v>
      </c>
      <c r="I2928" s="10">
        <v>45518</v>
      </c>
    </row>
    <row r="2929" spans="1:9" x14ac:dyDescent="0.15">
      <c r="A2929" s="9">
        <v>2928</v>
      </c>
      <c r="B2929" s="9" t="s">
        <v>9</v>
      </c>
      <c r="C2929" s="9">
        <v>1910</v>
      </c>
      <c r="D2929" s="10">
        <v>45602</v>
      </c>
      <c r="E2929" s="13" t="str">
        <f>+HYPERLINK("http://trademark.i-assist.jp/data/china/image_1910th/80356926.pdf","80356926")</f>
        <v>80356926</v>
      </c>
      <c r="F2929" s="9" t="s">
        <v>7977</v>
      </c>
      <c r="G2929" s="9" t="s">
        <v>7782</v>
      </c>
      <c r="H2929" s="9" t="s">
        <v>7978</v>
      </c>
      <c r="I2929" s="10">
        <v>45518</v>
      </c>
    </row>
    <row r="2930" spans="1:9" x14ac:dyDescent="0.15">
      <c r="A2930" s="9">
        <v>2929</v>
      </c>
      <c r="B2930" s="9" t="s">
        <v>9</v>
      </c>
      <c r="C2930" s="9">
        <v>1910</v>
      </c>
      <c r="D2930" s="10">
        <v>45602</v>
      </c>
      <c r="E2930" s="13" t="str">
        <f>+HYPERLINK("http://trademark.i-assist.jp/data/china/image_1910th/80356947.pdf","80356947")</f>
        <v>80356947</v>
      </c>
      <c r="F2930" s="9" t="s">
        <v>7979</v>
      </c>
      <c r="G2930" s="9" t="s">
        <v>7980</v>
      </c>
      <c r="H2930" s="9" t="s">
        <v>7981</v>
      </c>
      <c r="I2930" s="10">
        <v>45518</v>
      </c>
    </row>
    <row r="2931" spans="1:9" x14ac:dyDescent="0.15">
      <c r="A2931" s="9">
        <v>2930</v>
      </c>
      <c r="B2931" s="9" t="s">
        <v>9</v>
      </c>
      <c r="C2931" s="9">
        <v>1910</v>
      </c>
      <c r="D2931" s="10">
        <v>45602</v>
      </c>
      <c r="E2931" s="13" t="str">
        <f>+HYPERLINK("http://trademark.i-assist.jp/data/china/image_1910th/80357011.pdf","80357011")</f>
        <v>80357011</v>
      </c>
      <c r="F2931" s="11" t="s">
        <v>7982</v>
      </c>
      <c r="G2931" s="9" t="s">
        <v>7828</v>
      </c>
      <c r="H2931" s="9" t="s">
        <v>7983</v>
      </c>
      <c r="I2931" s="10">
        <v>45518</v>
      </c>
    </row>
    <row r="2932" spans="1:9" x14ac:dyDescent="0.15">
      <c r="A2932" s="9">
        <v>2931</v>
      </c>
      <c r="B2932" s="9" t="s">
        <v>9</v>
      </c>
      <c r="C2932" s="9">
        <v>1910</v>
      </c>
      <c r="D2932" s="10">
        <v>45602</v>
      </c>
      <c r="E2932" s="13" t="str">
        <f>+HYPERLINK("http://trademark.i-assist.jp/data/china/image_1910th/80357254.pdf","80357254")</f>
        <v>80357254</v>
      </c>
      <c r="F2932" s="11" t="s">
        <v>7984</v>
      </c>
      <c r="G2932" s="9" t="s">
        <v>7872</v>
      </c>
      <c r="H2932" s="9" t="s">
        <v>7985</v>
      </c>
      <c r="I2932" s="10">
        <v>45518</v>
      </c>
    </row>
    <row r="2933" spans="1:9" x14ac:dyDescent="0.15">
      <c r="A2933" s="9">
        <v>2932</v>
      </c>
      <c r="B2933" s="9" t="s">
        <v>9</v>
      </c>
      <c r="C2933" s="9">
        <v>1910</v>
      </c>
      <c r="D2933" s="10">
        <v>45602</v>
      </c>
      <c r="E2933" s="13" t="str">
        <f>+HYPERLINK("http://trademark.i-assist.jp/data/china/image_1910th/80357406.pdf","80357406")</f>
        <v>80357406</v>
      </c>
      <c r="F2933" s="9" t="s">
        <v>7986</v>
      </c>
      <c r="G2933" s="9" t="s">
        <v>7987</v>
      </c>
      <c r="H2933" s="9" t="s">
        <v>7988</v>
      </c>
      <c r="I2933" s="10">
        <v>45518</v>
      </c>
    </row>
    <row r="2934" spans="1:9" x14ac:dyDescent="0.15">
      <c r="A2934" s="9">
        <v>2933</v>
      </c>
      <c r="B2934" s="9" t="s">
        <v>9</v>
      </c>
      <c r="C2934" s="9">
        <v>1910</v>
      </c>
      <c r="D2934" s="10">
        <v>45602</v>
      </c>
      <c r="E2934" s="13" t="str">
        <f>+HYPERLINK("http://trademark.i-assist.jp/data/china/image_1910th/80357411.pdf","80357411")</f>
        <v>80357411</v>
      </c>
      <c r="F2934" s="9" t="s">
        <v>7989</v>
      </c>
      <c r="G2934" s="9" t="s">
        <v>7990</v>
      </c>
      <c r="H2934" s="9" t="s">
        <v>7991</v>
      </c>
      <c r="I2934" s="10">
        <v>45518</v>
      </c>
    </row>
    <row r="2935" spans="1:9" x14ac:dyDescent="0.15">
      <c r="A2935" s="9">
        <v>2934</v>
      </c>
      <c r="B2935" s="9" t="s">
        <v>9</v>
      </c>
      <c r="C2935" s="9">
        <v>1910</v>
      </c>
      <c r="D2935" s="10">
        <v>45602</v>
      </c>
      <c r="E2935" s="13" t="str">
        <f>+HYPERLINK("http://trademark.i-assist.jp/data/china/image_1910th/80357528.pdf","80357528")</f>
        <v>80357528</v>
      </c>
      <c r="F2935" s="9" t="s">
        <v>7992</v>
      </c>
      <c r="G2935" s="9" t="s">
        <v>7993</v>
      </c>
      <c r="H2935" s="9" t="s">
        <v>7994</v>
      </c>
      <c r="I2935" s="10">
        <v>45518</v>
      </c>
    </row>
    <row r="2936" spans="1:9" x14ac:dyDescent="0.15">
      <c r="A2936" s="9">
        <v>2935</v>
      </c>
      <c r="B2936" s="9" t="s">
        <v>9</v>
      </c>
      <c r="C2936" s="9">
        <v>1910</v>
      </c>
      <c r="D2936" s="10">
        <v>45602</v>
      </c>
      <c r="E2936" s="13" t="str">
        <f>+HYPERLINK("http://trademark.i-assist.jp/data/china/image_1910th/80357748.pdf","80357748")</f>
        <v>80357748</v>
      </c>
      <c r="F2936" s="9" t="s">
        <v>7995</v>
      </c>
      <c r="G2936" s="9" t="s">
        <v>7996</v>
      </c>
      <c r="H2936" s="9" t="s">
        <v>7997</v>
      </c>
      <c r="I2936" s="10">
        <v>45518</v>
      </c>
    </row>
    <row r="2937" spans="1:9" x14ac:dyDescent="0.15">
      <c r="A2937" s="9">
        <v>2936</v>
      </c>
      <c r="B2937" s="9" t="s">
        <v>9</v>
      </c>
      <c r="C2937" s="9">
        <v>1910</v>
      </c>
      <c r="D2937" s="10">
        <v>45602</v>
      </c>
      <c r="E2937" s="13" t="str">
        <f>+HYPERLINK("http://trademark.i-assist.jp/data/china/image_1910th/80357845.pdf","80357845")</f>
        <v>80357845</v>
      </c>
      <c r="F2937" s="11" t="s">
        <v>7998</v>
      </c>
      <c r="G2937" s="9" t="s">
        <v>7999</v>
      </c>
      <c r="H2937" s="9" t="s">
        <v>8000</v>
      </c>
      <c r="I2937" s="10">
        <v>45518</v>
      </c>
    </row>
    <row r="2938" spans="1:9" x14ac:dyDescent="0.15">
      <c r="A2938" s="9">
        <v>2937</v>
      </c>
      <c r="B2938" s="9" t="s">
        <v>9</v>
      </c>
      <c r="C2938" s="9">
        <v>1910</v>
      </c>
      <c r="D2938" s="10">
        <v>45602</v>
      </c>
      <c r="E2938" s="13" t="str">
        <f>+HYPERLINK("http://trademark.i-assist.jp/data/china/image_1910th/80357920.pdf","80357920")</f>
        <v>80357920</v>
      </c>
      <c r="F2938" s="11" t="s">
        <v>19</v>
      </c>
      <c r="G2938" s="11" t="s">
        <v>8001</v>
      </c>
      <c r="H2938" s="9" t="s">
        <v>8002</v>
      </c>
      <c r="I2938" s="10">
        <v>45518</v>
      </c>
    </row>
    <row r="2939" spans="1:9" x14ac:dyDescent="0.15">
      <c r="A2939" s="9">
        <v>2938</v>
      </c>
      <c r="B2939" s="9" t="s">
        <v>9</v>
      </c>
      <c r="C2939" s="9">
        <v>1910</v>
      </c>
      <c r="D2939" s="10">
        <v>45602</v>
      </c>
      <c r="E2939" s="13" t="str">
        <f>+HYPERLINK("http://trademark.i-assist.jp/data/china/image_1910th/80357954.pdf","80357954")</f>
        <v>80357954</v>
      </c>
      <c r="F2939" s="11" t="s">
        <v>19</v>
      </c>
      <c r="G2939" s="9" t="s">
        <v>8003</v>
      </c>
      <c r="H2939" s="9" t="s">
        <v>8004</v>
      </c>
      <c r="I2939" s="10">
        <v>45518</v>
      </c>
    </row>
    <row r="2940" spans="1:9" x14ac:dyDescent="0.15">
      <c r="A2940" s="9">
        <v>2939</v>
      </c>
      <c r="B2940" s="9" t="s">
        <v>9</v>
      </c>
      <c r="C2940" s="9">
        <v>1910</v>
      </c>
      <c r="D2940" s="10">
        <v>45602</v>
      </c>
      <c r="E2940" s="13" t="str">
        <f>+HYPERLINK("http://trademark.i-assist.jp/data/china/image_1910th/80358045.pdf","80358045")</f>
        <v>80358045</v>
      </c>
      <c r="F2940" s="9" t="s">
        <v>8005</v>
      </c>
      <c r="G2940" s="9" t="s">
        <v>7782</v>
      </c>
      <c r="H2940" s="9" t="s">
        <v>8006</v>
      </c>
      <c r="I2940" s="10">
        <v>45518</v>
      </c>
    </row>
    <row r="2941" spans="1:9" x14ac:dyDescent="0.15">
      <c r="A2941" s="9">
        <v>2940</v>
      </c>
      <c r="B2941" s="9" t="s">
        <v>9</v>
      </c>
      <c r="C2941" s="9">
        <v>1910</v>
      </c>
      <c r="D2941" s="10">
        <v>45602</v>
      </c>
      <c r="E2941" s="13" t="str">
        <f>+HYPERLINK("http://trademark.i-assist.jp/data/china/image_1910th/80358092.pdf","80358092")</f>
        <v>80358092</v>
      </c>
      <c r="F2941" s="9" t="s">
        <v>8007</v>
      </c>
      <c r="G2941" s="9" t="s">
        <v>8008</v>
      </c>
      <c r="H2941" s="9" t="s">
        <v>8009</v>
      </c>
      <c r="I2941" s="10">
        <v>45518</v>
      </c>
    </row>
    <row r="2942" spans="1:9" x14ac:dyDescent="0.15">
      <c r="A2942" s="9">
        <v>2941</v>
      </c>
      <c r="B2942" s="9" t="s">
        <v>9</v>
      </c>
      <c r="C2942" s="9">
        <v>1910</v>
      </c>
      <c r="D2942" s="10">
        <v>45602</v>
      </c>
      <c r="E2942" s="13" t="str">
        <f>+HYPERLINK("http://trademark.i-assist.jp/data/china/image_1910th/80358449.pdf","80358449")</f>
        <v>80358449</v>
      </c>
      <c r="F2942" s="11" t="s">
        <v>8010</v>
      </c>
      <c r="G2942" s="9" t="s">
        <v>7791</v>
      </c>
      <c r="H2942" s="9" t="s">
        <v>8011</v>
      </c>
      <c r="I2942" s="10">
        <v>45518</v>
      </c>
    </row>
    <row r="2943" spans="1:9" x14ac:dyDescent="0.15">
      <c r="A2943" s="9">
        <v>2942</v>
      </c>
      <c r="B2943" s="9" t="s">
        <v>9</v>
      </c>
      <c r="C2943" s="9">
        <v>1910</v>
      </c>
      <c r="D2943" s="10">
        <v>45602</v>
      </c>
      <c r="E2943" s="13" t="str">
        <f>+HYPERLINK("http://trademark.i-assist.jp/data/china/image_1910th/80358623.pdf","80358623")</f>
        <v>80358623</v>
      </c>
      <c r="F2943" s="9" t="s">
        <v>8012</v>
      </c>
      <c r="G2943" s="9" t="s">
        <v>8013</v>
      </c>
      <c r="H2943" s="9" t="s">
        <v>8014</v>
      </c>
      <c r="I2943" s="10">
        <v>45518</v>
      </c>
    </row>
    <row r="2944" spans="1:9" x14ac:dyDescent="0.15">
      <c r="A2944" s="9">
        <v>2943</v>
      </c>
      <c r="B2944" s="9" t="s">
        <v>9</v>
      </c>
      <c r="C2944" s="9">
        <v>1910</v>
      </c>
      <c r="D2944" s="10">
        <v>45602</v>
      </c>
      <c r="E2944" s="13" t="str">
        <f>+HYPERLINK("http://trademark.i-assist.jp/data/china/image_1910th/80359045.pdf","80359045")</f>
        <v>80359045</v>
      </c>
      <c r="F2944" s="9" t="s">
        <v>8015</v>
      </c>
      <c r="G2944" s="9" t="s">
        <v>7493</v>
      </c>
      <c r="H2944" s="9" t="s">
        <v>8016</v>
      </c>
      <c r="I2944" s="10">
        <v>45518</v>
      </c>
    </row>
    <row r="2945" spans="1:9" x14ac:dyDescent="0.15">
      <c r="A2945" s="9">
        <v>2944</v>
      </c>
      <c r="B2945" s="9" t="s">
        <v>9</v>
      </c>
      <c r="C2945" s="9">
        <v>1910</v>
      </c>
      <c r="D2945" s="10">
        <v>45602</v>
      </c>
      <c r="E2945" s="13" t="str">
        <f>+HYPERLINK("http://trademark.i-assist.jp/data/china/image_1910th/80359535.pdf","80359535")</f>
        <v>80359535</v>
      </c>
      <c r="F2945" s="9" t="s">
        <v>8017</v>
      </c>
      <c r="G2945" s="9" t="s">
        <v>8018</v>
      </c>
      <c r="H2945" s="9" t="s">
        <v>8019</v>
      </c>
      <c r="I2945" s="10">
        <v>45518</v>
      </c>
    </row>
    <row r="2946" spans="1:9" x14ac:dyDescent="0.15">
      <c r="A2946" s="9">
        <v>2945</v>
      </c>
      <c r="B2946" s="9" t="s">
        <v>9</v>
      </c>
      <c r="C2946" s="9">
        <v>1910</v>
      </c>
      <c r="D2946" s="10">
        <v>45602</v>
      </c>
      <c r="E2946" s="13" t="str">
        <f>+HYPERLINK("http://trademark.i-assist.jp/data/china/image_1910th/80359606.pdf","80359606")</f>
        <v>80359606</v>
      </c>
      <c r="F2946" s="11" t="s">
        <v>8020</v>
      </c>
      <c r="G2946" s="9" t="s">
        <v>7861</v>
      </c>
      <c r="H2946" s="9" t="s">
        <v>8021</v>
      </c>
      <c r="I2946" s="10">
        <v>45518</v>
      </c>
    </row>
    <row r="2947" spans="1:9" x14ac:dyDescent="0.15">
      <c r="A2947" s="9">
        <v>2946</v>
      </c>
      <c r="B2947" s="9" t="s">
        <v>9</v>
      </c>
      <c r="C2947" s="9">
        <v>1910</v>
      </c>
      <c r="D2947" s="10">
        <v>45602</v>
      </c>
      <c r="E2947" s="13" t="str">
        <f>+HYPERLINK("http://trademark.i-assist.jp/data/china/image_1910th/80359767.pdf","80359767")</f>
        <v>80359767</v>
      </c>
      <c r="F2947" s="11" t="s">
        <v>8022</v>
      </c>
      <c r="G2947" s="9" t="s">
        <v>8023</v>
      </c>
      <c r="H2947" s="9" t="s">
        <v>8024</v>
      </c>
      <c r="I2947" s="10">
        <v>45518</v>
      </c>
    </row>
    <row r="2948" spans="1:9" x14ac:dyDescent="0.15">
      <c r="A2948" s="9">
        <v>2947</v>
      </c>
      <c r="B2948" s="9" t="s">
        <v>9</v>
      </c>
      <c r="C2948" s="9">
        <v>1910</v>
      </c>
      <c r="D2948" s="10">
        <v>45602</v>
      </c>
      <c r="E2948" s="13" t="str">
        <f>+HYPERLINK("http://trademark.i-assist.jp/data/china/image_1910th/80359917.pdf","80359917")</f>
        <v>80359917</v>
      </c>
      <c r="F2948" s="9" t="s">
        <v>132</v>
      </c>
      <c r="G2948" s="9" t="s">
        <v>8025</v>
      </c>
      <c r="H2948" s="9" t="s">
        <v>8026</v>
      </c>
      <c r="I2948" s="10">
        <v>45518</v>
      </c>
    </row>
    <row r="2949" spans="1:9" x14ac:dyDescent="0.15">
      <c r="A2949" s="9">
        <v>2948</v>
      </c>
      <c r="B2949" s="9" t="s">
        <v>9</v>
      </c>
      <c r="C2949" s="9">
        <v>1910</v>
      </c>
      <c r="D2949" s="10">
        <v>45602</v>
      </c>
      <c r="E2949" s="13" t="str">
        <f>+HYPERLINK("http://trademark.i-assist.jp/data/china/image_1910th/80359945.pdf","80359945")</f>
        <v>80359945</v>
      </c>
      <c r="F2949" s="9" t="s">
        <v>8027</v>
      </c>
      <c r="G2949" s="9" t="s">
        <v>8028</v>
      </c>
      <c r="H2949" s="9" t="s">
        <v>8029</v>
      </c>
      <c r="I2949" s="10">
        <v>45518</v>
      </c>
    </row>
    <row r="2950" spans="1:9" x14ac:dyDescent="0.15">
      <c r="A2950" s="9">
        <v>2949</v>
      </c>
      <c r="B2950" s="9" t="s">
        <v>9</v>
      </c>
      <c r="C2950" s="9">
        <v>1910</v>
      </c>
      <c r="D2950" s="10">
        <v>45602</v>
      </c>
      <c r="E2950" s="13" t="str">
        <f>+HYPERLINK("http://trademark.i-assist.jp/data/china/image_1910th/80360053.pdf","80360053")</f>
        <v>80360053</v>
      </c>
      <c r="F2950" s="11" t="s">
        <v>8030</v>
      </c>
      <c r="G2950" s="9" t="s">
        <v>8031</v>
      </c>
      <c r="H2950" s="9" t="s">
        <v>8032</v>
      </c>
      <c r="I2950" s="10">
        <v>45518</v>
      </c>
    </row>
    <row r="2951" spans="1:9" x14ac:dyDescent="0.15">
      <c r="A2951" s="9">
        <v>2950</v>
      </c>
      <c r="B2951" s="9" t="s">
        <v>9</v>
      </c>
      <c r="C2951" s="9">
        <v>1910</v>
      </c>
      <c r="D2951" s="10">
        <v>45602</v>
      </c>
      <c r="E2951" s="13" t="str">
        <f>+HYPERLINK("http://trademark.i-assist.jp/data/china/image_1910th/80360059.pdf","80360059")</f>
        <v>80360059</v>
      </c>
      <c r="F2951" s="11" t="s">
        <v>19</v>
      </c>
      <c r="G2951" s="9" t="s">
        <v>8033</v>
      </c>
      <c r="H2951" s="9" t="s">
        <v>8034</v>
      </c>
      <c r="I2951" s="10">
        <v>45518</v>
      </c>
    </row>
    <row r="2952" spans="1:9" x14ac:dyDescent="0.15">
      <c r="A2952" s="9">
        <v>2951</v>
      </c>
      <c r="B2952" s="9" t="s">
        <v>9</v>
      </c>
      <c r="C2952" s="9">
        <v>1910</v>
      </c>
      <c r="D2952" s="10">
        <v>45602</v>
      </c>
      <c r="E2952" s="13" t="str">
        <f>+HYPERLINK("http://trademark.i-assist.jp/data/china/image_1910th/80360239.pdf","80360239")</f>
        <v>80360239</v>
      </c>
      <c r="F2952" s="9" t="s">
        <v>8035</v>
      </c>
      <c r="G2952" s="9" t="s">
        <v>8036</v>
      </c>
      <c r="H2952" s="9" t="s">
        <v>8037</v>
      </c>
      <c r="I2952" s="10">
        <v>45518</v>
      </c>
    </row>
    <row r="2953" spans="1:9" x14ac:dyDescent="0.15">
      <c r="A2953" s="9">
        <v>2952</v>
      </c>
      <c r="B2953" s="9" t="s">
        <v>9</v>
      </c>
      <c r="C2953" s="9">
        <v>1910</v>
      </c>
      <c r="D2953" s="10">
        <v>45602</v>
      </c>
      <c r="E2953" s="13" t="str">
        <f>+HYPERLINK("http://trademark.i-assist.jp/data/china/image_1910th/80360327.pdf","80360327")</f>
        <v>80360327</v>
      </c>
      <c r="F2953" s="11" t="s">
        <v>8038</v>
      </c>
      <c r="G2953" s="9" t="s">
        <v>7782</v>
      </c>
      <c r="H2953" s="9" t="s">
        <v>8039</v>
      </c>
      <c r="I2953" s="10">
        <v>45518</v>
      </c>
    </row>
    <row r="2954" spans="1:9" x14ac:dyDescent="0.15">
      <c r="A2954" s="9">
        <v>2953</v>
      </c>
      <c r="B2954" s="9" t="s">
        <v>9</v>
      </c>
      <c r="C2954" s="9">
        <v>1910</v>
      </c>
      <c r="D2954" s="10">
        <v>45602</v>
      </c>
      <c r="E2954" s="13" t="str">
        <f>+HYPERLINK("http://trademark.i-assist.jp/data/china/image_1910th/80360458.pdf","80360458")</f>
        <v>80360458</v>
      </c>
      <c r="F2954" s="9" t="s">
        <v>8040</v>
      </c>
      <c r="G2954" s="9" t="s">
        <v>8041</v>
      </c>
      <c r="H2954" s="9" t="s">
        <v>8042</v>
      </c>
      <c r="I2954" s="10">
        <v>45518</v>
      </c>
    </row>
    <row r="2955" spans="1:9" x14ac:dyDescent="0.15">
      <c r="A2955" s="9">
        <v>2954</v>
      </c>
      <c r="B2955" s="9" t="s">
        <v>9</v>
      </c>
      <c r="C2955" s="9">
        <v>1910</v>
      </c>
      <c r="D2955" s="10">
        <v>45602</v>
      </c>
      <c r="E2955" s="13" t="str">
        <f>+HYPERLINK("http://trademark.i-assist.jp/data/china/image_1910th/80360652.pdf","80360652")</f>
        <v>80360652</v>
      </c>
      <c r="F2955" s="9" t="s">
        <v>8043</v>
      </c>
      <c r="G2955" s="9" t="s">
        <v>8044</v>
      </c>
      <c r="H2955" s="9" t="s">
        <v>8045</v>
      </c>
      <c r="I2955" s="10">
        <v>45518</v>
      </c>
    </row>
    <row r="2956" spans="1:9" x14ac:dyDescent="0.15">
      <c r="A2956" s="9">
        <v>2955</v>
      </c>
      <c r="B2956" s="9" t="s">
        <v>9</v>
      </c>
      <c r="C2956" s="9">
        <v>1910</v>
      </c>
      <c r="D2956" s="10">
        <v>45602</v>
      </c>
      <c r="E2956" s="13" t="str">
        <f>+HYPERLINK("http://trademark.i-assist.jp/data/china/image_1910th/80360741.pdf","80360741")</f>
        <v>80360741</v>
      </c>
      <c r="F2956" s="9" t="s">
        <v>8046</v>
      </c>
      <c r="G2956" s="9" t="s">
        <v>8047</v>
      </c>
      <c r="H2956" s="9" t="s">
        <v>8048</v>
      </c>
      <c r="I2956" s="10">
        <v>45518</v>
      </c>
    </row>
    <row r="2957" spans="1:9" x14ac:dyDescent="0.15">
      <c r="A2957" s="9">
        <v>2956</v>
      </c>
      <c r="B2957" s="9" t="s">
        <v>9</v>
      </c>
      <c r="C2957" s="9">
        <v>1910</v>
      </c>
      <c r="D2957" s="10">
        <v>45602</v>
      </c>
      <c r="E2957" s="13" t="str">
        <f>+HYPERLINK("http://trademark.i-assist.jp/data/china/image_1910th/80360854.pdf","80360854")</f>
        <v>80360854</v>
      </c>
      <c r="F2957" s="9" t="s">
        <v>8049</v>
      </c>
      <c r="G2957" s="11" t="s">
        <v>7878</v>
      </c>
      <c r="H2957" s="9" t="s">
        <v>8050</v>
      </c>
      <c r="I2957" s="10">
        <v>45518</v>
      </c>
    </row>
    <row r="2958" spans="1:9" x14ac:dyDescent="0.15">
      <c r="A2958" s="9">
        <v>2957</v>
      </c>
      <c r="B2958" s="9" t="s">
        <v>9</v>
      </c>
      <c r="C2958" s="9">
        <v>1910</v>
      </c>
      <c r="D2958" s="10">
        <v>45602</v>
      </c>
      <c r="E2958" s="13" t="str">
        <f>+HYPERLINK("http://trademark.i-assist.jp/data/china/image_1910th/80360873.pdf","80360873")</f>
        <v>80360873</v>
      </c>
      <c r="F2958" s="9" t="s">
        <v>8051</v>
      </c>
      <c r="G2958" s="9" t="s">
        <v>7872</v>
      </c>
      <c r="H2958" s="9" t="s">
        <v>8052</v>
      </c>
      <c r="I2958" s="10">
        <v>45518</v>
      </c>
    </row>
    <row r="2959" spans="1:9" x14ac:dyDescent="0.15">
      <c r="A2959" s="9">
        <v>2958</v>
      </c>
      <c r="B2959" s="9" t="s">
        <v>9</v>
      </c>
      <c r="C2959" s="9">
        <v>1910</v>
      </c>
      <c r="D2959" s="10">
        <v>45602</v>
      </c>
      <c r="E2959" s="13" t="str">
        <f>+HYPERLINK("http://trademark.i-assist.jp/data/china/image_1910th/80360895.pdf","80360895")</f>
        <v>80360895</v>
      </c>
      <c r="F2959" s="9" t="s">
        <v>8053</v>
      </c>
      <c r="G2959" s="9" t="s">
        <v>8054</v>
      </c>
      <c r="H2959" s="9" t="s">
        <v>8055</v>
      </c>
      <c r="I2959" s="10">
        <v>45518</v>
      </c>
    </row>
    <row r="2960" spans="1:9" x14ac:dyDescent="0.15">
      <c r="A2960" s="9">
        <v>2959</v>
      </c>
      <c r="B2960" s="9" t="s">
        <v>9</v>
      </c>
      <c r="C2960" s="9">
        <v>1910</v>
      </c>
      <c r="D2960" s="10">
        <v>45602</v>
      </c>
      <c r="E2960" s="13" t="str">
        <f>+HYPERLINK("http://trademark.i-assist.jp/data/china/image_1910th/80361197.pdf","80361197")</f>
        <v>80361197</v>
      </c>
      <c r="F2960" s="11" t="s">
        <v>8056</v>
      </c>
      <c r="G2960" s="9" t="s">
        <v>7828</v>
      </c>
      <c r="H2960" s="9" t="s">
        <v>8057</v>
      </c>
      <c r="I2960" s="10">
        <v>45518</v>
      </c>
    </row>
    <row r="2961" spans="1:9" x14ac:dyDescent="0.15">
      <c r="A2961" s="9">
        <v>2960</v>
      </c>
      <c r="B2961" s="9" t="s">
        <v>9</v>
      </c>
      <c r="C2961" s="9">
        <v>1910</v>
      </c>
      <c r="D2961" s="10">
        <v>45602</v>
      </c>
      <c r="E2961" s="13" t="str">
        <f>+HYPERLINK("http://trademark.i-assist.jp/data/china/image_1910th/80361547.pdf","80361547")</f>
        <v>80361547</v>
      </c>
      <c r="F2961" s="11" t="s">
        <v>19</v>
      </c>
      <c r="G2961" s="9" t="s">
        <v>8058</v>
      </c>
      <c r="H2961" s="9" t="s">
        <v>8059</v>
      </c>
      <c r="I2961" s="10">
        <v>45518</v>
      </c>
    </row>
    <row r="2962" spans="1:9" x14ac:dyDescent="0.15">
      <c r="A2962" s="9">
        <v>2961</v>
      </c>
      <c r="B2962" s="9" t="s">
        <v>9</v>
      </c>
      <c r="C2962" s="9">
        <v>1910</v>
      </c>
      <c r="D2962" s="10">
        <v>45602</v>
      </c>
      <c r="E2962" s="13" t="str">
        <f>+HYPERLINK("http://trademark.i-assist.jp/data/china/image_1910th/80361903.pdf","80361903")</f>
        <v>80361903</v>
      </c>
      <c r="F2962" s="9" t="s">
        <v>8060</v>
      </c>
      <c r="G2962" s="9" t="s">
        <v>8061</v>
      </c>
      <c r="H2962" s="9" t="s">
        <v>8062</v>
      </c>
      <c r="I2962" s="10">
        <v>45518</v>
      </c>
    </row>
    <row r="2963" spans="1:9" x14ac:dyDescent="0.15">
      <c r="A2963" s="9">
        <v>2962</v>
      </c>
      <c r="B2963" s="9" t="s">
        <v>9</v>
      </c>
      <c r="C2963" s="9">
        <v>1910</v>
      </c>
      <c r="D2963" s="10">
        <v>45602</v>
      </c>
      <c r="E2963" s="13" t="str">
        <f>+HYPERLINK("http://trademark.i-assist.jp/data/china/image_1910th/80362022.pdf","80362022")</f>
        <v>80362022</v>
      </c>
      <c r="F2963" s="9" t="s">
        <v>8063</v>
      </c>
      <c r="G2963" s="11" t="s">
        <v>8064</v>
      </c>
      <c r="H2963" s="9" t="s">
        <v>8065</v>
      </c>
      <c r="I2963" s="10">
        <v>45518</v>
      </c>
    </row>
    <row r="2964" spans="1:9" x14ac:dyDescent="0.15">
      <c r="A2964" s="9">
        <v>2963</v>
      </c>
      <c r="B2964" s="9" t="s">
        <v>9</v>
      </c>
      <c r="C2964" s="9">
        <v>1910</v>
      </c>
      <c r="D2964" s="10">
        <v>45602</v>
      </c>
      <c r="E2964" s="13" t="str">
        <f>+HYPERLINK("http://trademark.i-assist.jp/data/china/image_1910th/80362237.pdf","80362237")</f>
        <v>80362237</v>
      </c>
      <c r="F2964" s="11" t="s">
        <v>19</v>
      </c>
      <c r="G2964" s="9" t="s">
        <v>8066</v>
      </c>
      <c r="H2964" s="9" t="s">
        <v>8067</v>
      </c>
      <c r="I2964" s="10">
        <v>45518</v>
      </c>
    </row>
    <row r="2965" spans="1:9" x14ac:dyDescent="0.15">
      <c r="A2965" s="9">
        <v>2964</v>
      </c>
      <c r="B2965" s="9" t="s">
        <v>9</v>
      </c>
      <c r="C2965" s="9">
        <v>1910</v>
      </c>
      <c r="D2965" s="10">
        <v>45602</v>
      </c>
      <c r="E2965" s="13" t="str">
        <f>+HYPERLINK("http://trademark.i-assist.jp/data/china/image_1910th/80362382.pdf","80362382")</f>
        <v>80362382</v>
      </c>
      <c r="F2965" s="9" t="s">
        <v>8068</v>
      </c>
      <c r="G2965" s="9" t="s">
        <v>8069</v>
      </c>
      <c r="H2965" s="9" t="s">
        <v>8070</v>
      </c>
      <c r="I2965" s="10">
        <v>45518</v>
      </c>
    </row>
    <row r="2966" spans="1:9" x14ac:dyDescent="0.15">
      <c r="A2966" s="9">
        <v>2965</v>
      </c>
      <c r="B2966" s="9" t="s">
        <v>9</v>
      </c>
      <c r="C2966" s="9">
        <v>1910</v>
      </c>
      <c r="D2966" s="10">
        <v>45602</v>
      </c>
      <c r="E2966" s="13" t="str">
        <f>+HYPERLINK("http://trademark.i-assist.jp/data/china/image_1910th/80362459.pdf","80362459")</f>
        <v>80362459</v>
      </c>
      <c r="F2966" s="9" t="s">
        <v>8071</v>
      </c>
      <c r="G2966" s="9" t="s">
        <v>8072</v>
      </c>
      <c r="H2966" s="9" t="s">
        <v>8073</v>
      </c>
      <c r="I2966" s="10">
        <v>45518</v>
      </c>
    </row>
    <row r="2967" spans="1:9" x14ac:dyDescent="0.15">
      <c r="A2967" s="9">
        <v>2966</v>
      </c>
      <c r="B2967" s="9" t="s">
        <v>9</v>
      </c>
      <c r="C2967" s="9">
        <v>1910</v>
      </c>
      <c r="D2967" s="10">
        <v>45602</v>
      </c>
      <c r="E2967" s="13" t="str">
        <f>+HYPERLINK("http://trademark.i-assist.jp/data/china/image_1910th/80362537.pdf","80362537")</f>
        <v>80362537</v>
      </c>
      <c r="F2967" s="9" t="s">
        <v>8074</v>
      </c>
      <c r="G2967" s="9" t="s">
        <v>8075</v>
      </c>
      <c r="H2967" s="11" t="s">
        <v>8076</v>
      </c>
      <c r="I2967" s="10">
        <v>45518</v>
      </c>
    </row>
    <row r="2968" spans="1:9" x14ac:dyDescent="0.15">
      <c r="A2968" s="9">
        <v>2967</v>
      </c>
      <c r="B2968" s="9" t="s">
        <v>9</v>
      </c>
      <c r="C2968" s="9">
        <v>1910</v>
      </c>
      <c r="D2968" s="10">
        <v>45602</v>
      </c>
      <c r="E2968" s="13" t="str">
        <f>+HYPERLINK("http://trademark.i-assist.jp/data/china/image_1910th/80362877.pdf","80362877")</f>
        <v>80362877</v>
      </c>
      <c r="F2968" s="9" t="s">
        <v>8077</v>
      </c>
      <c r="G2968" s="9" t="s">
        <v>8078</v>
      </c>
      <c r="H2968" s="9" t="s">
        <v>8079</v>
      </c>
      <c r="I2968" s="10">
        <v>45518</v>
      </c>
    </row>
    <row r="2969" spans="1:9" x14ac:dyDescent="0.15">
      <c r="A2969" s="9">
        <v>2968</v>
      </c>
      <c r="B2969" s="9" t="s">
        <v>9</v>
      </c>
      <c r="C2969" s="9">
        <v>1910</v>
      </c>
      <c r="D2969" s="10">
        <v>45602</v>
      </c>
      <c r="E2969" s="13" t="str">
        <f>+HYPERLINK("http://trademark.i-assist.jp/data/china/image_1910th/80362941.pdf","80362941")</f>
        <v>80362941</v>
      </c>
      <c r="F2969" s="9" t="s">
        <v>8080</v>
      </c>
      <c r="G2969" s="11" t="s">
        <v>8081</v>
      </c>
      <c r="H2969" s="11" t="s">
        <v>8082</v>
      </c>
      <c r="I2969" s="10">
        <v>45518</v>
      </c>
    </row>
    <row r="2970" spans="1:9" x14ac:dyDescent="0.15">
      <c r="A2970" s="9">
        <v>2969</v>
      </c>
      <c r="B2970" s="9" t="s">
        <v>9</v>
      </c>
      <c r="C2970" s="9">
        <v>1910</v>
      </c>
      <c r="D2970" s="10">
        <v>45602</v>
      </c>
      <c r="E2970" s="13" t="str">
        <f>+HYPERLINK("http://trademark.i-assist.jp/data/china/image_1910th/80363278.pdf","80363278")</f>
        <v>80363278</v>
      </c>
      <c r="F2970" s="9" t="s">
        <v>8083</v>
      </c>
      <c r="G2970" s="9" t="s">
        <v>8084</v>
      </c>
      <c r="H2970" s="9" t="s">
        <v>8085</v>
      </c>
      <c r="I2970" s="10">
        <v>45518</v>
      </c>
    </row>
    <row r="2971" spans="1:9" x14ac:dyDescent="0.15">
      <c r="A2971" s="9">
        <v>2970</v>
      </c>
      <c r="B2971" s="9" t="s">
        <v>9</v>
      </c>
      <c r="C2971" s="9">
        <v>1910</v>
      </c>
      <c r="D2971" s="10">
        <v>45602</v>
      </c>
      <c r="E2971" s="13" t="str">
        <f>+HYPERLINK("http://trademark.i-assist.jp/data/china/image_1910th/80363283.pdf","80363283")</f>
        <v>80363283</v>
      </c>
      <c r="F2971" s="9" t="s">
        <v>8086</v>
      </c>
      <c r="G2971" s="9" t="s">
        <v>8084</v>
      </c>
      <c r="H2971" s="9" t="s">
        <v>8087</v>
      </c>
      <c r="I2971" s="10">
        <v>45518</v>
      </c>
    </row>
    <row r="2972" spans="1:9" x14ac:dyDescent="0.15">
      <c r="A2972" s="9">
        <v>2971</v>
      </c>
      <c r="B2972" s="9" t="s">
        <v>9</v>
      </c>
      <c r="C2972" s="9">
        <v>1910</v>
      </c>
      <c r="D2972" s="10">
        <v>45602</v>
      </c>
      <c r="E2972" s="13" t="str">
        <f>+HYPERLINK("http://trademark.i-assist.jp/data/china/image_1910th/80363488.pdf","80363488")</f>
        <v>80363488</v>
      </c>
      <c r="F2972" s="9" t="s">
        <v>8088</v>
      </c>
      <c r="G2972" s="9" t="s">
        <v>8089</v>
      </c>
      <c r="H2972" s="9" t="s">
        <v>8090</v>
      </c>
      <c r="I2972" s="10">
        <v>45518</v>
      </c>
    </row>
    <row r="2973" spans="1:9" x14ac:dyDescent="0.15">
      <c r="A2973" s="9">
        <v>2972</v>
      </c>
      <c r="B2973" s="9" t="s">
        <v>9</v>
      </c>
      <c r="C2973" s="9">
        <v>1910</v>
      </c>
      <c r="D2973" s="10">
        <v>45602</v>
      </c>
      <c r="E2973" s="13" t="str">
        <f>+HYPERLINK("http://trademark.i-assist.jp/data/china/image_1910th/80363618.pdf","80363618")</f>
        <v>80363618</v>
      </c>
      <c r="F2973" s="9" t="s">
        <v>8091</v>
      </c>
      <c r="G2973" s="9" t="s">
        <v>7842</v>
      </c>
      <c r="H2973" s="9" t="s">
        <v>8092</v>
      </c>
      <c r="I2973" s="10">
        <v>45518</v>
      </c>
    </row>
    <row r="2974" spans="1:9" x14ac:dyDescent="0.15">
      <c r="A2974" s="9">
        <v>2973</v>
      </c>
      <c r="B2974" s="9" t="s">
        <v>9</v>
      </c>
      <c r="C2974" s="9">
        <v>1910</v>
      </c>
      <c r="D2974" s="10">
        <v>45602</v>
      </c>
      <c r="E2974" s="13" t="str">
        <f>+HYPERLINK("http://trademark.i-assist.jp/data/china/image_1910th/80363983.pdf","80363983")</f>
        <v>80363983</v>
      </c>
      <c r="F2974" s="11" t="s">
        <v>8093</v>
      </c>
      <c r="G2974" s="9" t="s">
        <v>42</v>
      </c>
      <c r="H2974" s="9" t="s">
        <v>8094</v>
      </c>
      <c r="I2974" s="10">
        <v>45518</v>
      </c>
    </row>
    <row r="2975" spans="1:9" x14ac:dyDescent="0.15">
      <c r="A2975" s="9">
        <v>2974</v>
      </c>
      <c r="B2975" s="9" t="s">
        <v>9</v>
      </c>
      <c r="C2975" s="9">
        <v>1910</v>
      </c>
      <c r="D2975" s="10">
        <v>45602</v>
      </c>
      <c r="E2975" s="13" t="str">
        <f>+HYPERLINK("http://trademark.i-assist.jp/data/china/image_1910th/80364246.pdf","80364246")</f>
        <v>80364246</v>
      </c>
      <c r="F2975" s="9" t="s">
        <v>8095</v>
      </c>
      <c r="G2975" s="9" t="s">
        <v>6216</v>
      </c>
      <c r="H2975" s="9" t="s">
        <v>8096</v>
      </c>
      <c r="I2975" s="10">
        <v>45518</v>
      </c>
    </row>
    <row r="2976" spans="1:9" x14ac:dyDescent="0.15">
      <c r="A2976" s="9">
        <v>2975</v>
      </c>
      <c r="B2976" s="9" t="s">
        <v>9</v>
      </c>
      <c r="C2976" s="9">
        <v>1910</v>
      </c>
      <c r="D2976" s="10">
        <v>45602</v>
      </c>
      <c r="E2976" s="13" t="str">
        <f>+HYPERLINK("http://trademark.i-assist.jp/data/china/image_1910th/80364533.pdf","80364533")</f>
        <v>80364533</v>
      </c>
      <c r="F2976" s="9" t="s">
        <v>8097</v>
      </c>
      <c r="G2976" s="9" t="s">
        <v>8098</v>
      </c>
      <c r="H2976" s="9" t="s">
        <v>8099</v>
      </c>
      <c r="I2976" s="10">
        <v>45518</v>
      </c>
    </row>
    <row r="2977" spans="1:9" x14ac:dyDescent="0.15">
      <c r="A2977" s="9">
        <v>2976</v>
      </c>
      <c r="B2977" s="9" t="s">
        <v>9</v>
      </c>
      <c r="C2977" s="9">
        <v>1910</v>
      </c>
      <c r="D2977" s="10">
        <v>45602</v>
      </c>
      <c r="E2977" s="13" t="str">
        <f>+HYPERLINK("http://trademark.i-assist.jp/data/china/image_1910th/80364553.pdf","80364553")</f>
        <v>80364553</v>
      </c>
      <c r="F2977" s="9" t="s">
        <v>8100</v>
      </c>
      <c r="G2977" s="9" t="s">
        <v>8054</v>
      </c>
      <c r="H2977" s="9" t="s">
        <v>8101</v>
      </c>
      <c r="I2977" s="10">
        <v>45518</v>
      </c>
    </row>
    <row r="2978" spans="1:9" x14ac:dyDescent="0.15">
      <c r="A2978" s="9">
        <v>2977</v>
      </c>
      <c r="B2978" s="9" t="s">
        <v>9</v>
      </c>
      <c r="C2978" s="9">
        <v>1910</v>
      </c>
      <c r="D2978" s="10">
        <v>45602</v>
      </c>
      <c r="E2978" s="13" t="str">
        <f>+HYPERLINK("http://trademark.i-assist.jp/data/china/image_1910th/80364878.pdf","80364878")</f>
        <v>80364878</v>
      </c>
      <c r="F2978" s="9" t="s">
        <v>8102</v>
      </c>
      <c r="G2978" s="9" t="s">
        <v>8103</v>
      </c>
      <c r="H2978" s="9" t="s">
        <v>8104</v>
      </c>
      <c r="I2978" s="10">
        <v>45518</v>
      </c>
    </row>
    <row r="2979" spans="1:9" x14ac:dyDescent="0.15">
      <c r="A2979" s="9">
        <v>2978</v>
      </c>
      <c r="B2979" s="9" t="s">
        <v>9</v>
      </c>
      <c r="C2979" s="9">
        <v>1910</v>
      </c>
      <c r="D2979" s="10">
        <v>45602</v>
      </c>
      <c r="E2979" s="13" t="str">
        <f>+HYPERLINK("http://trademark.i-assist.jp/data/china/image_1910th/80365038.pdf","80365038")</f>
        <v>80365038</v>
      </c>
      <c r="F2979" s="9" t="s">
        <v>8105</v>
      </c>
      <c r="G2979" s="9" t="s">
        <v>8106</v>
      </c>
      <c r="H2979" s="9" t="s">
        <v>8107</v>
      </c>
      <c r="I2979" s="10">
        <v>45518</v>
      </c>
    </row>
    <row r="2980" spans="1:9" x14ac:dyDescent="0.15">
      <c r="A2980" s="9">
        <v>2979</v>
      </c>
      <c r="B2980" s="9" t="s">
        <v>9</v>
      </c>
      <c r="C2980" s="9">
        <v>1910</v>
      </c>
      <c r="D2980" s="10">
        <v>45602</v>
      </c>
      <c r="E2980" s="13" t="str">
        <f>+HYPERLINK("http://trademark.i-assist.jp/data/china/image_1910th/80365063.pdf","80365063")</f>
        <v>80365063</v>
      </c>
      <c r="F2980" s="9" t="s">
        <v>8108</v>
      </c>
      <c r="G2980" s="9" t="s">
        <v>8109</v>
      </c>
      <c r="H2980" s="9" t="s">
        <v>8110</v>
      </c>
      <c r="I2980" s="10">
        <v>45518</v>
      </c>
    </row>
    <row r="2981" spans="1:9" x14ac:dyDescent="0.15">
      <c r="A2981" s="9">
        <v>2980</v>
      </c>
      <c r="B2981" s="9" t="s">
        <v>9</v>
      </c>
      <c r="C2981" s="9">
        <v>1910</v>
      </c>
      <c r="D2981" s="10">
        <v>45602</v>
      </c>
      <c r="E2981" s="13" t="str">
        <f>+HYPERLINK("http://trademark.i-assist.jp/data/china/image_1910th/80365377.pdf","80365377")</f>
        <v>80365377</v>
      </c>
      <c r="F2981" s="11" t="s">
        <v>8111</v>
      </c>
      <c r="G2981" s="9" t="s">
        <v>8112</v>
      </c>
      <c r="H2981" s="9" t="s">
        <v>8113</v>
      </c>
      <c r="I2981" s="10">
        <v>45518</v>
      </c>
    </row>
    <row r="2982" spans="1:9" x14ac:dyDescent="0.15">
      <c r="A2982" s="9">
        <v>2981</v>
      </c>
      <c r="B2982" s="9" t="s">
        <v>9</v>
      </c>
      <c r="C2982" s="9">
        <v>1910</v>
      </c>
      <c r="D2982" s="10">
        <v>45602</v>
      </c>
      <c r="E2982" s="13" t="str">
        <f>+HYPERLINK("http://trademark.i-assist.jp/data/china/image_1910th/80365549.pdf","80365549")</f>
        <v>80365549</v>
      </c>
      <c r="F2982" s="9" t="s">
        <v>8114</v>
      </c>
      <c r="G2982" s="11" t="s">
        <v>8115</v>
      </c>
      <c r="H2982" s="9" t="s">
        <v>8116</v>
      </c>
      <c r="I2982" s="10">
        <v>45518</v>
      </c>
    </row>
    <row r="2983" spans="1:9" x14ac:dyDescent="0.15">
      <c r="A2983" s="9">
        <v>2982</v>
      </c>
      <c r="B2983" s="9" t="s">
        <v>9</v>
      </c>
      <c r="C2983" s="9">
        <v>1910</v>
      </c>
      <c r="D2983" s="10">
        <v>45602</v>
      </c>
      <c r="E2983" s="13" t="str">
        <f>+HYPERLINK("http://trademark.i-assist.jp/data/china/image_1910th/80365611.pdf","80365611")</f>
        <v>80365611</v>
      </c>
      <c r="F2983" s="9" t="s">
        <v>8117</v>
      </c>
      <c r="G2983" s="9" t="s">
        <v>7906</v>
      </c>
      <c r="H2983" s="9" t="s">
        <v>8118</v>
      </c>
      <c r="I2983" s="10">
        <v>45518</v>
      </c>
    </row>
    <row r="2984" spans="1:9" x14ac:dyDescent="0.15">
      <c r="A2984" s="9">
        <v>2983</v>
      </c>
      <c r="B2984" s="9" t="s">
        <v>9</v>
      </c>
      <c r="C2984" s="9">
        <v>1910</v>
      </c>
      <c r="D2984" s="10">
        <v>45602</v>
      </c>
      <c r="E2984" s="13" t="str">
        <f>+HYPERLINK("http://trademark.i-assist.jp/data/china/image_1910th/80365621.pdf","80365621")</f>
        <v>80365621</v>
      </c>
      <c r="F2984" s="9" t="s">
        <v>8119</v>
      </c>
      <c r="G2984" s="9" t="s">
        <v>7836</v>
      </c>
      <c r="H2984" s="9" t="s">
        <v>8120</v>
      </c>
      <c r="I2984" s="10">
        <v>45518</v>
      </c>
    </row>
    <row r="2985" spans="1:9" x14ac:dyDescent="0.15">
      <c r="A2985" s="9">
        <v>2984</v>
      </c>
      <c r="B2985" s="9" t="s">
        <v>9</v>
      </c>
      <c r="C2985" s="9">
        <v>1910</v>
      </c>
      <c r="D2985" s="10">
        <v>45602</v>
      </c>
      <c r="E2985" s="13" t="str">
        <f>+HYPERLINK("http://trademark.i-assist.jp/data/china/image_1910th/80365715.pdf","80365715")</f>
        <v>80365715</v>
      </c>
      <c r="F2985" s="9" t="s">
        <v>8121</v>
      </c>
      <c r="G2985" s="11" t="s">
        <v>8115</v>
      </c>
      <c r="H2985" s="9" t="s">
        <v>8122</v>
      </c>
      <c r="I2985" s="10">
        <v>45518</v>
      </c>
    </row>
    <row r="2986" spans="1:9" x14ac:dyDescent="0.15">
      <c r="A2986" s="9">
        <v>2985</v>
      </c>
      <c r="B2986" s="9" t="s">
        <v>9</v>
      </c>
      <c r="C2986" s="9">
        <v>1910</v>
      </c>
      <c r="D2986" s="10">
        <v>45602</v>
      </c>
      <c r="E2986" s="13" t="str">
        <f>+HYPERLINK("http://trademark.i-assist.jp/data/china/image_1910th/80365804.pdf","80365804")</f>
        <v>80365804</v>
      </c>
      <c r="F2986" s="9" t="s">
        <v>8123</v>
      </c>
      <c r="G2986" s="11" t="s">
        <v>8124</v>
      </c>
      <c r="H2986" s="9" t="s">
        <v>8125</v>
      </c>
      <c r="I2986" s="10">
        <v>45518</v>
      </c>
    </row>
    <row r="2987" spans="1:9" x14ac:dyDescent="0.15">
      <c r="A2987" s="9">
        <v>2986</v>
      </c>
      <c r="B2987" s="9" t="s">
        <v>9</v>
      </c>
      <c r="C2987" s="9">
        <v>1910</v>
      </c>
      <c r="D2987" s="10">
        <v>45602</v>
      </c>
      <c r="E2987" s="13" t="str">
        <f>+HYPERLINK("http://trademark.i-assist.jp/data/china/image_1910th/80365815.pdf","80365815")</f>
        <v>80365815</v>
      </c>
      <c r="F2987" s="11" t="s">
        <v>19</v>
      </c>
      <c r="G2987" s="9" t="s">
        <v>8126</v>
      </c>
      <c r="H2987" s="9" t="s">
        <v>8127</v>
      </c>
      <c r="I2987" s="10">
        <v>45518</v>
      </c>
    </row>
    <row r="2988" spans="1:9" x14ac:dyDescent="0.15">
      <c r="A2988" s="9">
        <v>2987</v>
      </c>
      <c r="B2988" s="9" t="s">
        <v>9</v>
      </c>
      <c r="C2988" s="9">
        <v>1910</v>
      </c>
      <c r="D2988" s="10">
        <v>45602</v>
      </c>
      <c r="E2988" s="13" t="str">
        <f>+HYPERLINK("http://trademark.i-assist.jp/data/china/image_1910th/80365883.pdf","80365883")</f>
        <v>80365883</v>
      </c>
      <c r="F2988" s="9" t="s">
        <v>8128</v>
      </c>
      <c r="G2988" s="11" t="s">
        <v>8129</v>
      </c>
      <c r="H2988" s="9" t="s">
        <v>8130</v>
      </c>
      <c r="I2988" s="10">
        <v>45518</v>
      </c>
    </row>
    <row r="2989" spans="1:9" x14ac:dyDescent="0.15">
      <c r="A2989" s="9">
        <v>2988</v>
      </c>
      <c r="B2989" s="9" t="s">
        <v>9</v>
      </c>
      <c r="C2989" s="9">
        <v>1910</v>
      </c>
      <c r="D2989" s="10">
        <v>45602</v>
      </c>
      <c r="E2989" s="13" t="str">
        <f>+HYPERLINK("http://trademark.i-assist.jp/data/china/image_1910th/80366499.pdf","80366499")</f>
        <v>80366499</v>
      </c>
      <c r="F2989" s="11" t="s">
        <v>8131</v>
      </c>
      <c r="G2989" s="11" t="s">
        <v>8132</v>
      </c>
      <c r="H2989" s="9" t="s">
        <v>8133</v>
      </c>
      <c r="I2989" s="10">
        <v>45518</v>
      </c>
    </row>
    <row r="2990" spans="1:9" x14ac:dyDescent="0.15">
      <c r="A2990" s="9">
        <v>2989</v>
      </c>
      <c r="B2990" s="9" t="s">
        <v>9</v>
      </c>
      <c r="C2990" s="9">
        <v>1910</v>
      </c>
      <c r="D2990" s="10">
        <v>45602</v>
      </c>
      <c r="E2990" s="13" t="str">
        <f>+HYPERLINK("http://trademark.i-assist.jp/data/china/image_1910th/80366666.pdf","80366666")</f>
        <v>80366666</v>
      </c>
      <c r="F2990" s="9" t="s">
        <v>8134</v>
      </c>
      <c r="G2990" s="9" t="s">
        <v>8135</v>
      </c>
      <c r="H2990" s="11" t="s">
        <v>8136</v>
      </c>
      <c r="I2990" s="10">
        <v>45518</v>
      </c>
    </row>
    <row r="2991" spans="1:9" x14ac:dyDescent="0.15">
      <c r="A2991" s="9">
        <v>2990</v>
      </c>
      <c r="B2991" s="9" t="s">
        <v>9</v>
      </c>
      <c r="C2991" s="9">
        <v>1910</v>
      </c>
      <c r="D2991" s="10">
        <v>45602</v>
      </c>
      <c r="E2991" s="13" t="str">
        <f>+HYPERLINK("http://trademark.i-assist.jp/data/china/image_1910th/80366822.pdf","80366822")</f>
        <v>80366822</v>
      </c>
      <c r="F2991" s="11" t="s">
        <v>19</v>
      </c>
      <c r="G2991" s="9" t="s">
        <v>173</v>
      </c>
      <c r="H2991" s="9" t="s">
        <v>8137</v>
      </c>
      <c r="I2991" s="10">
        <v>45518</v>
      </c>
    </row>
    <row r="2992" spans="1:9" x14ac:dyDescent="0.15">
      <c r="A2992" s="9">
        <v>2991</v>
      </c>
      <c r="B2992" s="9" t="s">
        <v>9</v>
      </c>
      <c r="C2992" s="9">
        <v>1910</v>
      </c>
      <c r="D2992" s="10">
        <v>45602</v>
      </c>
      <c r="E2992" s="13" t="str">
        <f>+HYPERLINK("http://trademark.i-assist.jp/data/china/image_1910th/80366876.pdf","80366876")</f>
        <v>80366876</v>
      </c>
      <c r="F2992" s="9" t="s">
        <v>8138</v>
      </c>
      <c r="G2992" s="9" t="s">
        <v>8139</v>
      </c>
      <c r="H2992" s="9" t="s">
        <v>8140</v>
      </c>
      <c r="I2992" s="10">
        <v>45518</v>
      </c>
    </row>
    <row r="2993" spans="1:9" x14ac:dyDescent="0.15">
      <c r="A2993" s="9">
        <v>2992</v>
      </c>
      <c r="B2993" s="9" t="s">
        <v>9</v>
      </c>
      <c r="C2993" s="9">
        <v>1910</v>
      </c>
      <c r="D2993" s="10">
        <v>45602</v>
      </c>
      <c r="E2993" s="13" t="str">
        <f>+HYPERLINK("http://trademark.i-assist.jp/data/china/image_1910th/80367015.pdf","80367015")</f>
        <v>80367015</v>
      </c>
      <c r="F2993" s="9" t="s">
        <v>8141</v>
      </c>
      <c r="G2993" s="9" t="s">
        <v>8142</v>
      </c>
      <c r="H2993" s="9" t="s">
        <v>8143</v>
      </c>
      <c r="I2993" s="10">
        <v>45518</v>
      </c>
    </row>
    <row r="2994" spans="1:9" x14ac:dyDescent="0.15">
      <c r="A2994" s="9">
        <v>2993</v>
      </c>
      <c r="B2994" s="9" t="s">
        <v>9</v>
      </c>
      <c r="C2994" s="9">
        <v>1910</v>
      </c>
      <c r="D2994" s="10">
        <v>45602</v>
      </c>
      <c r="E2994" s="13" t="str">
        <f>+HYPERLINK("http://trademark.i-assist.jp/data/china/image_1910th/80367026.pdf","80367026")</f>
        <v>80367026</v>
      </c>
      <c r="F2994" s="9" t="s">
        <v>8144</v>
      </c>
      <c r="G2994" s="9" t="s">
        <v>8145</v>
      </c>
      <c r="H2994" s="9" t="s">
        <v>8146</v>
      </c>
      <c r="I2994" s="10">
        <v>45518</v>
      </c>
    </row>
    <row r="2995" spans="1:9" x14ac:dyDescent="0.15">
      <c r="A2995" s="9">
        <v>2994</v>
      </c>
      <c r="B2995" s="9" t="s">
        <v>9</v>
      </c>
      <c r="C2995" s="9">
        <v>1910</v>
      </c>
      <c r="D2995" s="10">
        <v>45602</v>
      </c>
      <c r="E2995" s="13" t="str">
        <f>+HYPERLINK("http://trademark.i-assist.jp/data/china/image_1910th/80367663.pdf","80367663")</f>
        <v>80367663</v>
      </c>
      <c r="F2995" s="11" t="s">
        <v>19</v>
      </c>
      <c r="G2995" s="11" t="s">
        <v>8147</v>
      </c>
      <c r="H2995" s="9" t="s">
        <v>8148</v>
      </c>
      <c r="I2995" s="10">
        <v>45518</v>
      </c>
    </row>
    <row r="2996" spans="1:9" x14ac:dyDescent="0.15">
      <c r="A2996" s="9">
        <v>2995</v>
      </c>
      <c r="B2996" s="9" t="s">
        <v>9</v>
      </c>
      <c r="C2996" s="9">
        <v>1910</v>
      </c>
      <c r="D2996" s="10">
        <v>45602</v>
      </c>
      <c r="E2996" s="13" t="str">
        <f>+HYPERLINK("http://trademark.i-assist.jp/data/china/image_1910th/80367879.pdf","80367879")</f>
        <v>80367879</v>
      </c>
      <c r="F2996" s="9" t="s">
        <v>8149</v>
      </c>
      <c r="G2996" s="9" t="s">
        <v>8150</v>
      </c>
      <c r="H2996" s="9" t="s">
        <v>8151</v>
      </c>
      <c r="I2996" s="10">
        <v>45518</v>
      </c>
    </row>
    <row r="2997" spans="1:9" x14ac:dyDescent="0.15">
      <c r="A2997" s="9">
        <v>2996</v>
      </c>
      <c r="B2997" s="9" t="s">
        <v>9</v>
      </c>
      <c r="C2997" s="9">
        <v>1910</v>
      </c>
      <c r="D2997" s="10">
        <v>45602</v>
      </c>
      <c r="E2997" s="13" t="str">
        <f>+HYPERLINK("http://trademark.i-assist.jp/data/china/image_1910th/80367880.pdf","80367880")</f>
        <v>80367880</v>
      </c>
      <c r="F2997" s="9" t="s">
        <v>8152</v>
      </c>
      <c r="G2997" s="11" t="s">
        <v>7886</v>
      </c>
      <c r="H2997" s="9" t="s">
        <v>8153</v>
      </c>
      <c r="I2997" s="10">
        <v>45518</v>
      </c>
    </row>
    <row r="2998" spans="1:9" x14ac:dyDescent="0.15">
      <c r="A2998" s="9">
        <v>2997</v>
      </c>
      <c r="B2998" s="9" t="s">
        <v>9</v>
      </c>
      <c r="C2998" s="9">
        <v>1910</v>
      </c>
      <c r="D2998" s="10">
        <v>45602</v>
      </c>
      <c r="E2998" s="13" t="str">
        <f>+HYPERLINK("http://trademark.i-assist.jp/data/china/image_1910th/80367991.pdf","80367991")</f>
        <v>80367991</v>
      </c>
      <c r="F2998" s="11" t="s">
        <v>8154</v>
      </c>
      <c r="G2998" s="11" t="s">
        <v>7927</v>
      </c>
      <c r="H2998" s="9" t="s">
        <v>8155</v>
      </c>
      <c r="I2998" s="10">
        <v>45518</v>
      </c>
    </row>
    <row r="2999" spans="1:9" x14ac:dyDescent="0.15">
      <c r="A2999" s="9">
        <v>2998</v>
      </c>
      <c r="B2999" s="9" t="s">
        <v>9</v>
      </c>
      <c r="C2999" s="9">
        <v>1910</v>
      </c>
      <c r="D2999" s="10">
        <v>45602</v>
      </c>
      <c r="E2999" s="13" t="str">
        <f>+HYPERLINK("http://trademark.i-assist.jp/data/china/image_1910th/80368019.pdf","80368019")</f>
        <v>80368019</v>
      </c>
      <c r="F2999" s="9" t="s">
        <v>8156</v>
      </c>
      <c r="G2999" s="9" t="s">
        <v>8157</v>
      </c>
      <c r="H2999" s="9" t="s">
        <v>8158</v>
      </c>
      <c r="I2999" s="10">
        <v>45518</v>
      </c>
    </row>
    <row r="3000" spans="1:9" x14ac:dyDescent="0.15">
      <c r="A3000" s="9">
        <v>2999</v>
      </c>
      <c r="B3000" s="9" t="s">
        <v>9</v>
      </c>
      <c r="C3000" s="9">
        <v>1910</v>
      </c>
      <c r="D3000" s="10">
        <v>45602</v>
      </c>
      <c r="E3000" s="13" t="str">
        <f>+HYPERLINK("http://trademark.i-assist.jp/data/china/image_1910th/80368162.pdf","80368162")</f>
        <v>80368162</v>
      </c>
      <c r="F3000" s="9" t="s">
        <v>8159</v>
      </c>
      <c r="G3000" s="9" t="s">
        <v>8160</v>
      </c>
      <c r="H3000" s="9" t="s">
        <v>8161</v>
      </c>
      <c r="I3000" s="10">
        <v>45518</v>
      </c>
    </row>
    <row r="3001" spans="1:9" x14ac:dyDescent="0.15">
      <c r="A3001" s="9">
        <v>3000</v>
      </c>
      <c r="B3001" s="9" t="s">
        <v>9</v>
      </c>
      <c r="C3001" s="9">
        <v>1910</v>
      </c>
      <c r="D3001" s="10">
        <v>45602</v>
      </c>
      <c r="E3001" s="13" t="str">
        <f>+HYPERLINK("http://trademark.i-assist.jp/data/china/image_1910th/80368224.pdf","80368224")</f>
        <v>80368224</v>
      </c>
      <c r="F3001" s="9" t="s">
        <v>8162</v>
      </c>
      <c r="G3001" s="11" t="s">
        <v>8163</v>
      </c>
      <c r="H3001" s="9" t="s">
        <v>8164</v>
      </c>
      <c r="I3001" s="10">
        <v>45518</v>
      </c>
    </row>
    <row r="3002" spans="1:9" x14ac:dyDescent="0.15">
      <c r="A3002" s="9">
        <v>3001</v>
      </c>
      <c r="B3002" s="9" t="s">
        <v>9</v>
      </c>
      <c r="C3002" s="9">
        <v>1910</v>
      </c>
      <c r="D3002" s="10">
        <v>45602</v>
      </c>
      <c r="E3002" s="13" t="str">
        <f>+HYPERLINK("http://trademark.i-assist.jp/data/china/image_1910th/80368306.pdf","80368306")</f>
        <v>80368306</v>
      </c>
      <c r="F3002" s="9" t="s">
        <v>8165</v>
      </c>
      <c r="G3002" s="9" t="s">
        <v>8078</v>
      </c>
      <c r="H3002" s="9" t="s">
        <v>8166</v>
      </c>
      <c r="I3002" s="10">
        <v>45518</v>
      </c>
    </row>
    <row r="3003" spans="1:9" x14ac:dyDescent="0.15">
      <c r="A3003" s="9">
        <v>3002</v>
      </c>
      <c r="B3003" s="9" t="s">
        <v>9</v>
      </c>
      <c r="C3003" s="9">
        <v>1910</v>
      </c>
      <c r="D3003" s="10">
        <v>45602</v>
      </c>
      <c r="E3003" s="13" t="str">
        <f>+HYPERLINK("http://trademark.i-assist.jp/data/china/image_1910th/80368387.pdf","80368387")</f>
        <v>80368387</v>
      </c>
      <c r="F3003" s="9" t="s">
        <v>8167</v>
      </c>
      <c r="G3003" s="9" t="s">
        <v>8168</v>
      </c>
      <c r="H3003" s="9" t="s">
        <v>8169</v>
      </c>
      <c r="I3003" s="10">
        <v>45518</v>
      </c>
    </row>
    <row r="3004" spans="1:9" x14ac:dyDescent="0.15">
      <c r="A3004" s="9">
        <v>3003</v>
      </c>
      <c r="B3004" s="9" t="s">
        <v>9</v>
      </c>
      <c r="C3004" s="9">
        <v>1910</v>
      </c>
      <c r="D3004" s="10">
        <v>45602</v>
      </c>
      <c r="E3004" s="13" t="str">
        <f>+HYPERLINK("http://trademark.i-assist.jp/data/china/image_1910th/80368448.pdf","80368448")</f>
        <v>80368448</v>
      </c>
      <c r="F3004" s="11" t="s">
        <v>8170</v>
      </c>
      <c r="G3004" s="9" t="s">
        <v>8171</v>
      </c>
      <c r="H3004" s="9" t="s">
        <v>8172</v>
      </c>
      <c r="I3004" s="10">
        <v>45518</v>
      </c>
    </row>
    <row r="3005" spans="1:9" x14ac:dyDescent="0.15">
      <c r="A3005" s="9">
        <v>3004</v>
      </c>
      <c r="B3005" s="9" t="s">
        <v>9</v>
      </c>
      <c r="C3005" s="9">
        <v>1910</v>
      </c>
      <c r="D3005" s="10">
        <v>45602</v>
      </c>
      <c r="E3005" s="13" t="str">
        <f>+HYPERLINK("http://trademark.i-assist.jp/data/china/image_1910th/80368553.pdf","80368553")</f>
        <v>80368553</v>
      </c>
      <c r="F3005" s="11" t="s">
        <v>8173</v>
      </c>
      <c r="G3005" s="9" t="s">
        <v>7828</v>
      </c>
      <c r="H3005" s="9" t="s">
        <v>8174</v>
      </c>
      <c r="I3005" s="10">
        <v>45518</v>
      </c>
    </row>
    <row r="3006" spans="1:9" x14ac:dyDescent="0.15">
      <c r="A3006" s="9">
        <v>3005</v>
      </c>
      <c r="B3006" s="9" t="s">
        <v>9</v>
      </c>
      <c r="C3006" s="9">
        <v>1910</v>
      </c>
      <c r="D3006" s="10">
        <v>45602</v>
      </c>
      <c r="E3006" s="13" t="str">
        <f>+HYPERLINK("http://trademark.i-assist.jp/data/china/image_1910th/80368667.pdf","80368667")</f>
        <v>80368667</v>
      </c>
      <c r="F3006" s="11" t="s">
        <v>8175</v>
      </c>
      <c r="G3006" s="9" t="s">
        <v>8176</v>
      </c>
      <c r="H3006" s="9" t="s">
        <v>8177</v>
      </c>
      <c r="I3006" s="10">
        <v>45518</v>
      </c>
    </row>
    <row r="3007" spans="1:9" x14ac:dyDescent="0.15">
      <c r="A3007" s="9">
        <v>3006</v>
      </c>
      <c r="B3007" s="9" t="s">
        <v>9</v>
      </c>
      <c r="C3007" s="9">
        <v>1910</v>
      </c>
      <c r="D3007" s="10">
        <v>45602</v>
      </c>
      <c r="E3007" s="13" t="str">
        <f>+HYPERLINK("http://trademark.i-assist.jp/data/china/image_1910th/80368742.pdf","80368742")</f>
        <v>80368742</v>
      </c>
      <c r="F3007" s="11" t="s">
        <v>8178</v>
      </c>
      <c r="G3007" s="9" t="s">
        <v>156</v>
      </c>
      <c r="H3007" s="9" t="s">
        <v>8179</v>
      </c>
      <c r="I3007" s="10">
        <v>45518</v>
      </c>
    </row>
    <row r="3008" spans="1:9" x14ac:dyDescent="0.15">
      <c r="A3008" s="9">
        <v>3007</v>
      </c>
      <c r="B3008" s="9" t="s">
        <v>9</v>
      </c>
      <c r="C3008" s="9">
        <v>1910</v>
      </c>
      <c r="D3008" s="10">
        <v>45602</v>
      </c>
      <c r="E3008" s="13" t="str">
        <f>+HYPERLINK("http://trademark.i-assist.jp/data/china/image_1910th/80368855.pdf","80368855")</f>
        <v>80368855</v>
      </c>
      <c r="F3008" s="9" t="s">
        <v>8180</v>
      </c>
      <c r="G3008" s="9" t="s">
        <v>8145</v>
      </c>
      <c r="H3008" s="9" t="s">
        <v>8181</v>
      </c>
      <c r="I3008" s="10">
        <v>45518</v>
      </c>
    </row>
    <row r="3009" spans="1:9" x14ac:dyDescent="0.15">
      <c r="A3009" s="9">
        <v>3008</v>
      </c>
      <c r="B3009" s="9" t="s">
        <v>9</v>
      </c>
      <c r="C3009" s="9">
        <v>1910</v>
      </c>
      <c r="D3009" s="10">
        <v>45602</v>
      </c>
      <c r="E3009" s="13" t="str">
        <f>+HYPERLINK("http://trademark.i-assist.jp/data/china/image_1910th/80368878.pdf","80368878")</f>
        <v>80368878</v>
      </c>
      <c r="F3009" s="9" t="s">
        <v>8182</v>
      </c>
      <c r="G3009" s="9" t="s">
        <v>8183</v>
      </c>
      <c r="H3009" s="9" t="s">
        <v>8184</v>
      </c>
      <c r="I3009" s="10">
        <v>45518</v>
      </c>
    </row>
    <row r="3010" spans="1:9" x14ac:dyDescent="0.15">
      <c r="A3010" s="9">
        <v>3009</v>
      </c>
      <c r="B3010" s="9" t="s">
        <v>9</v>
      </c>
      <c r="C3010" s="9">
        <v>1910</v>
      </c>
      <c r="D3010" s="10">
        <v>45602</v>
      </c>
      <c r="E3010" s="13" t="str">
        <f>+HYPERLINK("http://trademark.i-assist.jp/data/china/image_1910th/80369064.pdf","80369064")</f>
        <v>80369064</v>
      </c>
      <c r="F3010" s="9" t="s">
        <v>8185</v>
      </c>
      <c r="G3010" s="9" t="s">
        <v>8186</v>
      </c>
      <c r="H3010" s="9" t="s">
        <v>8187</v>
      </c>
      <c r="I3010" s="10">
        <v>45518</v>
      </c>
    </row>
    <row r="3011" spans="1:9" x14ac:dyDescent="0.15">
      <c r="A3011" s="9">
        <v>3010</v>
      </c>
      <c r="B3011" s="9" t="s">
        <v>9</v>
      </c>
      <c r="C3011" s="9">
        <v>1910</v>
      </c>
      <c r="D3011" s="10">
        <v>45602</v>
      </c>
      <c r="E3011" s="13" t="str">
        <f>+HYPERLINK("http://trademark.i-assist.jp/data/china/image_1910th/80369214.pdf","80369214")</f>
        <v>80369214</v>
      </c>
      <c r="F3011" s="9" t="s">
        <v>8188</v>
      </c>
      <c r="G3011" s="9" t="s">
        <v>7850</v>
      </c>
      <c r="H3011" s="9" t="s">
        <v>8189</v>
      </c>
      <c r="I3011" s="10">
        <v>45518</v>
      </c>
    </row>
    <row r="3012" spans="1:9" x14ac:dyDescent="0.15">
      <c r="A3012" s="9">
        <v>3011</v>
      </c>
      <c r="B3012" s="9" t="s">
        <v>9</v>
      </c>
      <c r="C3012" s="9">
        <v>1910</v>
      </c>
      <c r="D3012" s="10">
        <v>45602</v>
      </c>
      <c r="E3012" s="13" t="str">
        <f>+HYPERLINK("http://trademark.i-assist.jp/data/china/image_1910th/80369301.pdf","80369301")</f>
        <v>80369301</v>
      </c>
      <c r="F3012" s="9" t="s">
        <v>8190</v>
      </c>
      <c r="G3012" s="11" t="s">
        <v>8191</v>
      </c>
      <c r="H3012" s="9" t="s">
        <v>8192</v>
      </c>
      <c r="I3012" s="10">
        <v>45518</v>
      </c>
    </row>
    <row r="3013" spans="1:9" x14ac:dyDescent="0.15">
      <c r="A3013" s="9">
        <v>3012</v>
      </c>
      <c r="B3013" s="9" t="s">
        <v>9</v>
      </c>
      <c r="C3013" s="9">
        <v>1910</v>
      </c>
      <c r="D3013" s="10">
        <v>45602</v>
      </c>
      <c r="E3013" s="13" t="str">
        <f>+HYPERLINK("http://trademark.i-assist.jp/data/china/image_1910th/80369339.pdf","80369339")</f>
        <v>80369339</v>
      </c>
      <c r="F3013" s="11" t="s">
        <v>19</v>
      </c>
      <c r="G3013" s="9" t="s">
        <v>8193</v>
      </c>
      <c r="H3013" s="9" t="s">
        <v>8194</v>
      </c>
      <c r="I3013" s="10">
        <v>45518</v>
      </c>
    </row>
    <row r="3014" spans="1:9" x14ac:dyDescent="0.15">
      <c r="A3014" s="9">
        <v>3013</v>
      </c>
      <c r="B3014" s="9" t="s">
        <v>9</v>
      </c>
      <c r="C3014" s="9">
        <v>1910</v>
      </c>
      <c r="D3014" s="10">
        <v>45602</v>
      </c>
      <c r="E3014" s="13" t="str">
        <f>+HYPERLINK("http://trademark.i-assist.jp/data/china/image_1910th/80369361.pdf","80369361")</f>
        <v>80369361</v>
      </c>
      <c r="F3014" s="9" t="s">
        <v>8195</v>
      </c>
      <c r="G3014" s="11" t="s">
        <v>3421</v>
      </c>
      <c r="H3014" s="9" t="s">
        <v>8196</v>
      </c>
      <c r="I3014" s="10">
        <v>45518</v>
      </c>
    </row>
    <row r="3015" spans="1:9" x14ac:dyDescent="0.15">
      <c r="A3015" s="9">
        <v>3014</v>
      </c>
      <c r="B3015" s="9" t="s">
        <v>9</v>
      </c>
      <c r="C3015" s="9">
        <v>1910</v>
      </c>
      <c r="D3015" s="10">
        <v>45602</v>
      </c>
      <c r="E3015" s="13" t="str">
        <f>+HYPERLINK("http://trademark.i-assist.jp/data/china/image_1910th/80369602.pdf","80369602")</f>
        <v>80369602</v>
      </c>
      <c r="F3015" s="9" t="s">
        <v>8197</v>
      </c>
      <c r="G3015" s="9" t="s">
        <v>8198</v>
      </c>
      <c r="H3015" s="9" t="s">
        <v>8199</v>
      </c>
      <c r="I3015" s="10">
        <v>45518</v>
      </c>
    </row>
    <row r="3016" spans="1:9" x14ac:dyDescent="0.15">
      <c r="A3016" s="9">
        <v>3015</v>
      </c>
      <c r="B3016" s="9" t="s">
        <v>9</v>
      </c>
      <c r="C3016" s="9">
        <v>1910</v>
      </c>
      <c r="D3016" s="10">
        <v>45602</v>
      </c>
      <c r="E3016" s="13" t="str">
        <f>+HYPERLINK("http://trademark.i-assist.jp/data/china/image_1910th/80369616.pdf","80369616")</f>
        <v>80369616</v>
      </c>
      <c r="F3016" s="9" t="s">
        <v>8200</v>
      </c>
      <c r="G3016" s="9" t="s">
        <v>8201</v>
      </c>
      <c r="H3016" s="11" t="s">
        <v>8202</v>
      </c>
      <c r="I3016" s="10">
        <v>45518</v>
      </c>
    </row>
    <row r="3017" spans="1:9" x14ac:dyDescent="0.15">
      <c r="A3017" s="9">
        <v>3016</v>
      </c>
      <c r="B3017" s="9" t="s">
        <v>9</v>
      </c>
      <c r="C3017" s="9">
        <v>1910</v>
      </c>
      <c r="D3017" s="10">
        <v>45602</v>
      </c>
      <c r="E3017" s="13" t="str">
        <f>+HYPERLINK("http://trademark.i-assist.jp/data/china/image_1910th/80369678.pdf","80369678")</f>
        <v>80369678</v>
      </c>
      <c r="F3017" s="9" t="s">
        <v>8203</v>
      </c>
      <c r="G3017" s="9" t="s">
        <v>8204</v>
      </c>
      <c r="H3017" s="11" t="s">
        <v>8205</v>
      </c>
      <c r="I3017" s="10">
        <v>45518</v>
      </c>
    </row>
    <row r="3018" spans="1:9" x14ac:dyDescent="0.15">
      <c r="A3018" s="9">
        <v>3017</v>
      </c>
      <c r="B3018" s="9" t="s">
        <v>9</v>
      </c>
      <c r="C3018" s="9">
        <v>1910</v>
      </c>
      <c r="D3018" s="10">
        <v>45602</v>
      </c>
      <c r="E3018" s="13" t="str">
        <f>+HYPERLINK("http://trademark.i-assist.jp/data/china/image_1910th/80369930.pdf","80369930")</f>
        <v>80369930</v>
      </c>
      <c r="F3018" s="9" t="s">
        <v>8206</v>
      </c>
      <c r="G3018" s="11" t="s">
        <v>8207</v>
      </c>
      <c r="H3018" s="9" t="s">
        <v>8208</v>
      </c>
      <c r="I3018" s="10">
        <v>45518</v>
      </c>
    </row>
    <row r="3019" spans="1:9" x14ac:dyDescent="0.15">
      <c r="A3019" s="9">
        <v>3018</v>
      </c>
      <c r="B3019" s="9" t="s">
        <v>9</v>
      </c>
      <c r="C3019" s="9">
        <v>1910</v>
      </c>
      <c r="D3019" s="10">
        <v>45602</v>
      </c>
      <c r="E3019" s="13" t="str">
        <f>+HYPERLINK("http://trademark.i-assist.jp/data/china/image_1910th/80370005.pdf","80370005")</f>
        <v>80370005</v>
      </c>
      <c r="F3019" s="9" t="s">
        <v>8209</v>
      </c>
      <c r="G3019" s="9" t="s">
        <v>8210</v>
      </c>
      <c r="H3019" s="11" t="s">
        <v>8211</v>
      </c>
      <c r="I3019" s="10">
        <v>45518</v>
      </c>
    </row>
    <row r="3020" spans="1:9" x14ac:dyDescent="0.15">
      <c r="A3020" s="9">
        <v>3019</v>
      </c>
      <c r="B3020" s="9" t="s">
        <v>9</v>
      </c>
      <c r="C3020" s="9">
        <v>1910</v>
      </c>
      <c r="D3020" s="10">
        <v>45602</v>
      </c>
      <c r="E3020" s="13" t="str">
        <f>+HYPERLINK("http://trademark.i-assist.jp/data/china/image_1910th/80370036.pdf","80370036")</f>
        <v>80370036</v>
      </c>
      <c r="F3020" s="9" t="s">
        <v>8212</v>
      </c>
      <c r="G3020" s="9" t="s">
        <v>8213</v>
      </c>
      <c r="H3020" s="9" t="s">
        <v>8214</v>
      </c>
      <c r="I3020" s="10">
        <v>45518</v>
      </c>
    </row>
    <row r="3021" spans="1:9" x14ac:dyDescent="0.15">
      <c r="A3021" s="9">
        <v>3020</v>
      </c>
      <c r="B3021" s="9" t="s">
        <v>9</v>
      </c>
      <c r="C3021" s="9">
        <v>1910</v>
      </c>
      <c r="D3021" s="10">
        <v>45602</v>
      </c>
      <c r="E3021" s="13" t="str">
        <f>+HYPERLINK("http://trademark.i-assist.jp/data/china/image_1910th/80370153.pdf","80370153")</f>
        <v>80370153</v>
      </c>
      <c r="F3021" s="11" t="s">
        <v>8215</v>
      </c>
      <c r="G3021" s="11" t="s">
        <v>8216</v>
      </c>
      <c r="H3021" s="9" t="s">
        <v>8217</v>
      </c>
      <c r="I3021" s="10">
        <v>45519</v>
      </c>
    </row>
    <row r="3022" spans="1:9" x14ac:dyDescent="0.15">
      <c r="A3022" s="9">
        <v>3021</v>
      </c>
      <c r="B3022" s="9" t="s">
        <v>9</v>
      </c>
      <c r="C3022" s="9">
        <v>1910</v>
      </c>
      <c r="D3022" s="10">
        <v>45602</v>
      </c>
      <c r="E3022" s="13" t="str">
        <f>+HYPERLINK("http://trademark.i-assist.jp/data/china/image_1910th/80370448.pdf","80370448")</f>
        <v>80370448</v>
      </c>
      <c r="F3022" s="9" t="s">
        <v>8218</v>
      </c>
      <c r="G3022" s="11" t="s">
        <v>4319</v>
      </c>
      <c r="H3022" s="9" t="s">
        <v>8219</v>
      </c>
      <c r="I3022" s="10">
        <v>45519</v>
      </c>
    </row>
    <row r="3023" spans="1:9" x14ac:dyDescent="0.15">
      <c r="A3023" s="9">
        <v>3022</v>
      </c>
      <c r="B3023" s="9" t="s">
        <v>9</v>
      </c>
      <c r="C3023" s="9">
        <v>1910</v>
      </c>
      <c r="D3023" s="10">
        <v>45602</v>
      </c>
      <c r="E3023" s="13" t="str">
        <f>+HYPERLINK("http://trademark.i-assist.jp/data/china/image_1910th/80370494.pdf","80370494")</f>
        <v>80370494</v>
      </c>
      <c r="F3023" s="11" t="s">
        <v>8220</v>
      </c>
      <c r="G3023" s="9" t="s">
        <v>8221</v>
      </c>
      <c r="H3023" s="9" t="s">
        <v>8222</v>
      </c>
      <c r="I3023" s="10">
        <v>45519</v>
      </c>
    </row>
    <row r="3024" spans="1:9" x14ac:dyDescent="0.15">
      <c r="A3024" s="9">
        <v>3023</v>
      </c>
      <c r="B3024" s="9" t="s">
        <v>9</v>
      </c>
      <c r="C3024" s="9">
        <v>1910</v>
      </c>
      <c r="D3024" s="10">
        <v>45602</v>
      </c>
      <c r="E3024" s="13" t="str">
        <f>+HYPERLINK("http://trademark.i-assist.jp/data/china/image_1910th/80370516.pdf","80370516")</f>
        <v>80370516</v>
      </c>
      <c r="F3024" s="9" t="s">
        <v>8223</v>
      </c>
      <c r="G3024" s="9" t="s">
        <v>8224</v>
      </c>
      <c r="H3024" s="9" t="s">
        <v>8225</v>
      </c>
      <c r="I3024" s="10">
        <v>45519</v>
      </c>
    </row>
    <row r="3025" spans="1:9" x14ac:dyDescent="0.15">
      <c r="A3025" s="9">
        <v>3024</v>
      </c>
      <c r="B3025" s="9" t="s">
        <v>9</v>
      </c>
      <c r="C3025" s="9">
        <v>1910</v>
      </c>
      <c r="D3025" s="10">
        <v>45602</v>
      </c>
      <c r="E3025" s="13" t="str">
        <f>+HYPERLINK("http://trademark.i-assist.jp/data/china/image_1910th/80370699.pdf","80370699")</f>
        <v>80370699</v>
      </c>
      <c r="F3025" s="9" t="s">
        <v>8226</v>
      </c>
      <c r="G3025" s="9" t="s">
        <v>8227</v>
      </c>
      <c r="H3025" s="9" t="s">
        <v>8228</v>
      </c>
      <c r="I3025" s="10">
        <v>45519</v>
      </c>
    </row>
    <row r="3026" spans="1:9" x14ac:dyDescent="0.15">
      <c r="A3026" s="9">
        <v>3025</v>
      </c>
      <c r="B3026" s="9" t="s">
        <v>9</v>
      </c>
      <c r="C3026" s="9">
        <v>1910</v>
      </c>
      <c r="D3026" s="10">
        <v>45602</v>
      </c>
      <c r="E3026" s="13" t="str">
        <f>+HYPERLINK("http://trademark.i-assist.jp/data/china/image_1910th/80370870.pdf","80370870")</f>
        <v>80370870</v>
      </c>
      <c r="F3026" s="11" t="s">
        <v>8229</v>
      </c>
      <c r="G3026" s="9" t="s">
        <v>8230</v>
      </c>
      <c r="H3026" s="9" t="s">
        <v>8231</v>
      </c>
      <c r="I3026" s="10">
        <v>45519</v>
      </c>
    </row>
    <row r="3027" spans="1:9" x14ac:dyDescent="0.15">
      <c r="A3027" s="9">
        <v>3026</v>
      </c>
      <c r="B3027" s="9" t="s">
        <v>9</v>
      </c>
      <c r="C3027" s="9">
        <v>1910</v>
      </c>
      <c r="D3027" s="10">
        <v>45602</v>
      </c>
      <c r="E3027" s="13" t="str">
        <f>+HYPERLINK("http://trademark.i-assist.jp/data/china/image_1910th/80370893.pdf","80370893")</f>
        <v>80370893</v>
      </c>
      <c r="F3027" s="9" t="s">
        <v>8232</v>
      </c>
      <c r="G3027" s="11" t="s">
        <v>8233</v>
      </c>
      <c r="H3027" s="9" t="s">
        <v>8234</v>
      </c>
      <c r="I3027" s="10">
        <v>45519</v>
      </c>
    </row>
    <row r="3028" spans="1:9" x14ac:dyDescent="0.15">
      <c r="A3028" s="9">
        <v>3027</v>
      </c>
      <c r="B3028" s="9" t="s">
        <v>9</v>
      </c>
      <c r="C3028" s="9">
        <v>1910</v>
      </c>
      <c r="D3028" s="10">
        <v>45602</v>
      </c>
      <c r="E3028" s="13" t="str">
        <f>+HYPERLINK("http://trademark.i-assist.jp/data/china/image_1910th/80370922.pdf","80370922")</f>
        <v>80370922</v>
      </c>
      <c r="F3028" s="11" t="s">
        <v>8235</v>
      </c>
      <c r="G3028" s="9" t="s">
        <v>113</v>
      </c>
      <c r="H3028" s="9" t="s">
        <v>8236</v>
      </c>
      <c r="I3028" s="10">
        <v>45519</v>
      </c>
    </row>
    <row r="3029" spans="1:9" x14ac:dyDescent="0.15">
      <c r="A3029" s="9">
        <v>3028</v>
      </c>
      <c r="B3029" s="9" t="s">
        <v>9</v>
      </c>
      <c r="C3029" s="9">
        <v>1910</v>
      </c>
      <c r="D3029" s="10">
        <v>45602</v>
      </c>
      <c r="E3029" s="13" t="str">
        <f>+HYPERLINK("http://trademark.i-assist.jp/data/china/image_1910th/80370958.pdf","80370958")</f>
        <v>80370958</v>
      </c>
      <c r="F3029" s="9" t="s">
        <v>8237</v>
      </c>
      <c r="G3029" s="11" t="s">
        <v>8238</v>
      </c>
      <c r="H3029" s="9" t="s">
        <v>8239</v>
      </c>
      <c r="I3029" s="10">
        <v>45519</v>
      </c>
    </row>
    <row r="3030" spans="1:9" x14ac:dyDescent="0.15">
      <c r="A3030" s="9">
        <v>3029</v>
      </c>
      <c r="B3030" s="9" t="s">
        <v>9</v>
      </c>
      <c r="C3030" s="9">
        <v>1910</v>
      </c>
      <c r="D3030" s="10">
        <v>45602</v>
      </c>
      <c r="E3030" s="13" t="str">
        <f>+HYPERLINK("http://trademark.i-assist.jp/data/china/image_1910th/80371063.pdf","80371063")</f>
        <v>80371063</v>
      </c>
      <c r="F3030" s="11" t="s">
        <v>8240</v>
      </c>
      <c r="G3030" s="9" t="s">
        <v>8241</v>
      </c>
      <c r="H3030" s="9" t="s">
        <v>8242</v>
      </c>
      <c r="I3030" s="10">
        <v>45519</v>
      </c>
    </row>
    <row r="3031" spans="1:9" x14ac:dyDescent="0.15">
      <c r="A3031" s="9">
        <v>3030</v>
      </c>
      <c r="B3031" s="9" t="s">
        <v>9</v>
      </c>
      <c r="C3031" s="9">
        <v>1910</v>
      </c>
      <c r="D3031" s="10">
        <v>45602</v>
      </c>
      <c r="E3031" s="13" t="str">
        <f>+HYPERLINK("http://trademark.i-assist.jp/data/china/image_1910th/80371124.pdf","80371124")</f>
        <v>80371124</v>
      </c>
      <c r="F3031" s="9" t="s">
        <v>8243</v>
      </c>
      <c r="G3031" s="9" t="s">
        <v>8244</v>
      </c>
      <c r="H3031" s="9" t="s">
        <v>8245</v>
      </c>
      <c r="I3031" s="10">
        <v>45519</v>
      </c>
    </row>
    <row r="3032" spans="1:9" x14ac:dyDescent="0.15">
      <c r="A3032" s="9">
        <v>3031</v>
      </c>
      <c r="B3032" s="9" t="s">
        <v>9</v>
      </c>
      <c r="C3032" s="9">
        <v>1910</v>
      </c>
      <c r="D3032" s="10">
        <v>45602</v>
      </c>
      <c r="E3032" s="13" t="str">
        <f>+HYPERLINK("http://trademark.i-assist.jp/data/china/image_1910th/80371619.pdf","80371619")</f>
        <v>80371619</v>
      </c>
      <c r="F3032" s="9" t="s">
        <v>8246</v>
      </c>
      <c r="G3032" s="11" t="s">
        <v>8247</v>
      </c>
      <c r="H3032" s="9" t="s">
        <v>8248</v>
      </c>
      <c r="I3032" s="10">
        <v>45519</v>
      </c>
    </row>
    <row r="3033" spans="1:9" x14ac:dyDescent="0.15">
      <c r="A3033" s="9">
        <v>3032</v>
      </c>
      <c r="B3033" s="9" t="s">
        <v>9</v>
      </c>
      <c r="C3033" s="9">
        <v>1910</v>
      </c>
      <c r="D3033" s="10">
        <v>45602</v>
      </c>
      <c r="E3033" s="13" t="str">
        <f>+HYPERLINK("http://trademark.i-assist.jp/data/china/image_1910th/80371638.pdf","80371638")</f>
        <v>80371638</v>
      </c>
      <c r="F3033" s="9" t="s">
        <v>8249</v>
      </c>
      <c r="G3033" s="9" t="s">
        <v>8250</v>
      </c>
      <c r="H3033" s="9" t="s">
        <v>8251</v>
      </c>
      <c r="I3033" s="10">
        <v>45519</v>
      </c>
    </row>
    <row r="3034" spans="1:9" x14ac:dyDescent="0.15">
      <c r="A3034" s="9">
        <v>3033</v>
      </c>
      <c r="B3034" s="9" t="s">
        <v>9</v>
      </c>
      <c r="C3034" s="9">
        <v>1910</v>
      </c>
      <c r="D3034" s="10">
        <v>45602</v>
      </c>
      <c r="E3034" s="13" t="str">
        <f>+HYPERLINK("http://trademark.i-assist.jp/data/china/image_1910th/80371912.pdf","80371912")</f>
        <v>80371912</v>
      </c>
      <c r="F3034" s="11" t="s">
        <v>8252</v>
      </c>
      <c r="G3034" s="9" t="s">
        <v>8253</v>
      </c>
      <c r="H3034" s="9" t="s">
        <v>8254</v>
      </c>
      <c r="I3034" s="10">
        <v>45519</v>
      </c>
    </row>
    <row r="3035" spans="1:9" x14ac:dyDescent="0.15">
      <c r="A3035" s="9">
        <v>3034</v>
      </c>
      <c r="B3035" s="9" t="s">
        <v>9</v>
      </c>
      <c r="C3035" s="9">
        <v>1910</v>
      </c>
      <c r="D3035" s="10">
        <v>45602</v>
      </c>
      <c r="E3035" s="13" t="str">
        <f>+HYPERLINK("http://trademark.i-assist.jp/data/china/image_1910th/80371966.pdf","80371966")</f>
        <v>80371966</v>
      </c>
      <c r="F3035" s="9" t="s">
        <v>8255</v>
      </c>
      <c r="G3035" s="9" t="s">
        <v>8256</v>
      </c>
      <c r="H3035" s="9" t="s">
        <v>8257</v>
      </c>
      <c r="I3035" s="10">
        <v>45519</v>
      </c>
    </row>
    <row r="3036" spans="1:9" x14ac:dyDescent="0.15">
      <c r="A3036" s="9">
        <v>3035</v>
      </c>
      <c r="B3036" s="9" t="s">
        <v>9</v>
      </c>
      <c r="C3036" s="9">
        <v>1910</v>
      </c>
      <c r="D3036" s="10">
        <v>45602</v>
      </c>
      <c r="E3036" s="13" t="str">
        <f>+HYPERLINK("http://trademark.i-assist.jp/data/china/image_1910th/80372138.pdf","80372138")</f>
        <v>80372138</v>
      </c>
      <c r="F3036" s="9" t="s">
        <v>8258</v>
      </c>
      <c r="G3036" s="9" t="s">
        <v>8259</v>
      </c>
      <c r="H3036" s="9" t="s">
        <v>8260</v>
      </c>
      <c r="I3036" s="10">
        <v>45519</v>
      </c>
    </row>
    <row r="3037" spans="1:9" x14ac:dyDescent="0.15">
      <c r="A3037" s="9">
        <v>3036</v>
      </c>
      <c r="B3037" s="9" t="s">
        <v>9</v>
      </c>
      <c r="C3037" s="9">
        <v>1910</v>
      </c>
      <c r="D3037" s="10">
        <v>45602</v>
      </c>
      <c r="E3037" s="13" t="str">
        <f>+HYPERLINK("http://trademark.i-assist.jp/data/china/image_1910th/80372228.pdf","80372228")</f>
        <v>80372228</v>
      </c>
      <c r="F3037" s="9" t="s">
        <v>8261</v>
      </c>
      <c r="G3037" s="9" t="s">
        <v>8262</v>
      </c>
      <c r="H3037" s="9" t="s">
        <v>8263</v>
      </c>
      <c r="I3037" s="10">
        <v>45519</v>
      </c>
    </row>
    <row r="3038" spans="1:9" x14ac:dyDescent="0.15">
      <c r="A3038" s="9">
        <v>3037</v>
      </c>
      <c r="B3038" s="9" t="s">
        <v>9</v>
      </c>
      <c r="C3038" s="9">
        <v>1910</v>
      </c>
      <c r="D3038" s="10">
        <v>45602</v>
      </c>
      <c r="E3038" s="13" t="str">
        <f>+HYPERLINK("http://trademark.i-assist.jp/data/china/image_1910th/80372382.pdf","80372382")</f>
        <v>80372382</v>
      </c>
      <c r="F3038" s="9" t="s">
        <v>8264</v>
      </c>
      <c r="G3038" s="9" t="s">
        <v>8265</v>
      </c>
      <c r="H3038" s="9" t="s">
        <v>8266</v>
      </c>
      <c r="I3038" s="10">
        <v>45519</v>
      </c>
    </row>
    <row r="3039" spans="1:9" x14ac:dyDescent="0.15">
      <c r="A3039" s="9">
        <v>3038</v>
      </c>
      <c r="B3039" s="9" t="s">
        <v>9</v>
      </c>
      <c r="C3039" s="9">
        <v>1910</v>
      </c>
      <c r="D3039" s="10">
        <v>45602</v>
      </c>
      <c r="E3039" s="13" t="str">
        <f>+HYPERLINK("http://trademark.i-assist.jp/data/china/image_1910th/80372457.pdf","80372457")</f>
        <v>80372457</v>
      </c>
      <c r="F3039" s="9" t="s">
        <v>8267</v>
      </c>
      <c r="G3039" s="9" t="s">
        <v>8268</v>
      </c>
      <c r="H3039" s="9" t="s">
        <v>8269</v>
      </c>
      <c r="I3039" s="10">
        <v>45519</v>
      </c>
    </row>
    <row r="3040" spans="1:9" x14ac:dyDescent="0.15">
      <c r="A3040" s="9">
        <v>3039</v>
      </c>
      <c r="B3040" s="9" t="s">
        <v>9</v>
      </c>
      <c r="C3040" s="9">
        <v>1910</v>
      </c>
      <c r="D3040" s="10">
        <v>45602</v>
      </c>
      <c r="E3040" s="13" t="str">
        <f>+HYPERLINK("http://trademark.i-assist.jp/data/china/image_1910th/80372563.pdf","80372563")</f>
        <v>80372563</v>
      </c>
      <c r="F3040" s="9" t="s">
        <v>8270</v>
      </c>
      <c r="G3040" s="11" t="s">
        <v>8271</v>
      </c>
      <c r="H3040" s="9" t="s">
        <v>8272</v>
      </c>
      <c r="I3040" s="10">
        <v>45519</v>
      </c>
    </row>
    <row r="3041" spans="1:9" x14ac:dyDescent="0.15">
      <c r="A3041" s="9">
        <v>3040</v>
      </c>
      <c r="B3041" s="9" t="s">
        <v>9</v>
      </c>
      <c r="C3041" s="9">
        <v>1910</v>
      </c>
      <c r="D3041" s="10">
        <v>45602</v>
      </c>
      <c r="E3041" s="13" t="str">
        <f>+HYPERLINK("http://trademark.i-assist.jp/data/china/image_1910th/80372595.pdf","80372595")</f>
        <v>80372595</v>
      </c>
      <c r="F3041" s="9" t="s">
        <v>8273</v>
      </c>
      <c r="G3041" s="11" t="s">
        <v>8274</v>
      </c>
      <c r="H3041" s="9" t="s">
        <v>8275</v>
      </c>
      <c r="I3041" s="10">
        <v>45519</v>
      </c>
    </row>
    <row r="3042" spans="1:9" x14ac:dyDescent="0.15">
      <c r="A3042" s="9">
        <v>3041</v>
      </c>
      <c r="B3042" s="9" t="s">
        <v>9</v>
      </c>
      <c r="C3042" s="9">
        <v>1910</v>
      </c>
      <c r="D3042" s="10">
        <v>45602</v>
      </c>
      <c r="E3042" s="13" t="str">
        <f>+HYPERLINK("http://trademark.i-assist.jp/data/china/image_1910th/80372631.pdf","80372631")</f>
        <v>80372631</v>
      </c>
      <c r="F3042" s="9" t="s">
        <v>8276</v>
      </c>
      <c r="G3042" s="9" t="s">
        <v>8277</v>
      </c>
      <c r="H3042" s="11" t="s">
        <v>8278</v>
      </c>
      <c r="I3042" s="10">
        <v>45519</v>
      </c>
    </row>
    <row r="3043" spans="1:9" x14ac:dyDescent="0.15">
      <c r="A3043" s="9">
        <v>3042</v>
      </c>
      <c r="B3043" s="9" t="s">
        <v>9</v>
      </c>
      <c r="C3043" s="9">
        <v>1910</v>
      </c>
      <c r="D3043" s="10">
        <v>45602</v>
      </c>
      <c r="E3043" s="13" t="str">
        <f>+HYPERLINK("http://trademark.i-assist.jp/data/china/image_1910th/80372636.pdf","80372636")</f>
        <v>80372636</v>
      </c>
      <c r="F3043" s="9" t="s">
        <v>8279</v>
      </c>
      <c r="G3043" s="9" t="s">
        <v>8277</v>
      </c>
      <c r="H3043" s="9" t="s">
        <v>8280</v>
      </c>
      <c r="I3043" s="10">
        <v>45519</v>
      </c>
    </row>
    <row r="3044" spans="1:9" x14ac:dyDescent="0.15">
      <c r="A3044" s="9">
        <v>3043</v>
      </c>
      <c r="B3044" s="9" t="s">
        <v>9</v>
      </c>
      <c r="C3044" s="9">
        <v>1910</v>
      </c>
      <c r="D3044" s="10">
        <v>45602</v>
      </c>
      <c r="E3044" s="13" t="str">
        <f>+HYPERLINK("http://trademark.i-assist.jp/data/china/image_1910th/80372673.pdf","80372673")</f>
        <v>80372673</v>
      </c>
      <c r="F3044" s="9" t="s">
        <v>8281</v>
      </c>
      <c r="G3044" s="9" t="s">
        <v>8282</v>
      </c>
      <c r="H3044" s="9" t="s">
        <v>8283</v>
      </c>
      <c r="I3044" s="10">
        <v>45519</v>
      </c>
    </row>
    <row r="3045" spans="1:9" x14ac:dyDescent="0.15">
      <c r="A3045" s="9">
        <v>3044</v>
      </c>
      <c r="B3045" s="9" t="s">
        <v>9</v>
      </c>
      <c r="C3045" s="9">
        <v>1910</v>
      </c>
      <c r="D3045" s="10">
        <v>45602</v>
      </c>
      <c r="E3045" s="13" t="str">
        <f>+HYPERLINK("http://trademark.i-assist.jp/data/china/image_1910th/80373261.pdf","80373261")</f>
        <v>80373261</v>
      </c>
      <c r="F3045" s="11" t="s">
        <v>19</v>
      </c>
      <c r="G3045" s="9" t="s">
        <v>8284</v>
      </c>
      <c r="H3045" s="9" t="s">
        <v>8285</v>
      </c>
      <c r="I3045" s="10">
        <v>45519</v>
      </c>
    </row>
    <row r="3046" spans="1:9" x14ac:dyDescent="0.15">
      <c r="A3046" s="9">
        <v>3045</v>
      </c>
      <c r="B3046" s="9" t="s">
        <v>9</v>
      </c>
      <c r="C3046" s="9">
        <v>1910</v>
      </c>
      <c r="D3046" s="10">
        <v>45602</v>
      </c>
      <c r="E3046" s="13" t="str">
        <f>+HYPERLINK("http://trademark.i-assist.jp/data/china/image_1910th/80373360.pdf","80373360")</f>
        <v>80373360</v>
      </c>
      <c r="F3046" s="9" t="s">
        <v>8286</v>
      </c>
      <c r="G3046" s="9" t="s">
        <v>8287</v>
      </c>
      <c r="H3046" s="9" t="s">
        <v>8288</v>
      </c>
      <c r="I3046" s="10">
        <v>45519</v>
      </c>
    </row>
    <row r="3047" spans="1:9" x14ac:dyDescent="0.15">
      <c r="A3047" s="9">
        <v>3046</v>
      </c>
      <c r="B3047" s="9" t="s">
        <v>9</v>
      </c>
      <c r="C3047" s="9">
        <v>1910</v>
      </c>
      <c r="D3047" s="10">
        <v>45602</v>
      </c>
      <c r="E3047" s="13" t="str">
        <f>+HYPERLINK("http://trademark.i-assist.jp/data/china/image_1910th/80373543.pdf","80373543")</f>
        <v>80373543</v>
      </c>
      <c r="F3047" s="9" t="s">
        <v>8289</v>
      </c>
      <c r="G3047" s="9" t="s">
        <v>8290</v>
      </c>
      <c r="H3047" s="9" t="s">
        <v>8291</v>
      </c>
      <c r="I3047" s="10">
        <v>45519</v>
      </c>
    </row>
    <row r="3048" spans="1:9" x14ac:dyDescent="0.15">
      <c r="A3048" s="9">
        <v>3047</v>
      </c>
      <c r="B3048" s="9" t="s">
        <v>9</v>
      </c>
      <c r="C3048" s="9">
        <v>1910</v>
      </c>
      <c r="D3048" s="10">
        <v>45602</v>
      </c>
      <c r="E3048" s="13" t="str">
        <f>+HYPERLINK("http://trademark.i-assist.jp/data/china/image_1910th/80373604.pdf","80373604")</f>
        <v>80373604</v>
      </c>
      <c r="F3048" s="9" t="s">
        <v>8292</v>
      </c>
      <c r="G3048" s="11" t="s">
        <v>8247</v>
      </c>
      <c r="H3048" s="9" t="s">
        <v>8293</v>
      </c>
      <c r="I3048" s="10">
        <v>45519</v>
      </c>
    </row>
    <row r="3049" spans="1:9" x14ac:dyDescent="0.15">
      <c r="A3049" s="9">
        <v>3048</v>
      </c>
      <c r="B3049" s="9" t="s">
        <v>9</v>
      </c>
      <c r="C3049" s="9">
        <v>1910</v>
      </c>
      <c r="D3049" s="10">
        <v>45602</v>
      </c>
      <c r="E3049" s="13" t="str">
        <f>+HYPERLINK("http://trademark.i-assist.jp/data/china/image_1910th/80373617.pdf","80373617")</f>
        <v>80373617</v>
      </c>
      <c r="F3049" s="9" t="s">
        <v>8294</v>
      </c>
      <c r="G3049" s="9" t="s">
        <v>8259</v>
      </c>
      <c r="H3049" s="9" t="s">
        <v>8295</v>
      </c>
      <c r="I3049" s="10">
        <v>45519</v>
      </c>
    </row>
    <row r="3050" spans="1:9" x14ac:dyDescent="0.15">
      <c r="A3050" s="9">
        <v>3049</v>
      </c>
      <c r="B3050" s="9" t="s">
        <v>9</v>
      </c>
      <c r="C3050" s="9">
        <v>1910</v>
      </c>
      <c r="D3050" s="10">
        <v>45602</v>
      </c>
      <c r="E3050" s="13" t="str">
        <f>+HYPERLINK("http://trademark.i-assist.jp/data/china/image_1910th/80373710.pdf","80373710")</f>
        <v>80373710</v>
      </c>
      <c r="F3050" s="9" t="s">
        <v>8296</v>
      </c>
      <c r="G3050" s="9" t="s">
        <v>8297</v>
      </c>
      <c r="H3050" s="9" t="s">
        <v>8298</v>
      </c>
      <c r="I3050" s="10">
        <v>45519</v>
      </c>
    </row>
    <row r="3051" spans="1:9" x14ac:dyDescent="0.15">
      <c r="A3051" s="9">
        <v>3050</v>
      </c>
      <c r="B3051" s="9" t="s">
        <v>9</v>
      </c>
      <c r="C3051" s="9">
        <v>1910</v>
      </c>
      <c r="D3051" s="10">
        <v>45602</v>
      </c>
      <c r="E3051" s="13" t="str">
        <f>+HYPERLINK("http://trademark.i-assist.jp/data/china/image_1910th/80373723.pdf","80373723")</f>
        <v>80373723</v>
      </c>
      <c r="F3051" s="9" t="s">
        <v>8299</v>
      </c>
      <c r="G3051" s="9" t="s">
        <v>8300</v>
      </c>
      <c r="H3051" s="9" t="s">
        <v>8301</v>
      </c>
      <c r="I3051" s="10">
        <v>45519</v>
      </c>
    </row>
    <row r="3052" spans="1:9" x14ac:dyDescent="0.15">
      <c r="A3052" s="9">
        <v>3051</v>
      </c>
      <c r="B3052" s="9" t="s">
        <v>9</v>
      </c>
      <c r="C3052" s="9">
        <v>1910</v>
      </c>
      <c r="D3052" s="10">
        <v>45602</v>
      </c>
      <c r="E3052" s="13" t="str">
        <f>+HYPERLINK("http://trademark.i-assist.jp/data/china/image_1910th/80373725.pdf","80373725")</f>
        <v>80373725</v>
      </c>
      <c r="F3052" s="9" t="s">
        <v>8302</v>
      </c>
      <c r="G3052" s="9" t="s">
        <v>8303</v>
      </c>
      <c r="H3052" s="9" t="s">
        <v>8304</v>
      </c>
      <c r="I3052" s="10">
        <v>45519</v>
      </c>
    </row>
    <row r="3053" spans="1:9" x14ac:dyDescent="0.15">
      <c r="A3053" s="9">
        <v>3052</v>
      </c>
      <c r="B3053" s="9" t="s">
        <v>9</v>
      </c>
      <c r="C3053" s="9">
        <v>1910</v>
      </c>
      <c r="D3053" s="10">
        <v>45602</v>
      </c>
      <c r="E3053" s="13" t="str">
        <f>+HYPERLINK("http://trademark.i-assist.jp/data/china/image_1910th/80373859.pdf","80373859")</f>
        <v>80373859</v>
      </c>
      <c r="F3053" s="9" t="s">
        <v>8305</v>
      </c>
      <c r="G3053" s="9" t="s">
        <v>8306</v>
      </c>
      <c r="H3053" s="9" t="s">
        <v>8307</v>
      </c>
      <c r="I3053" s="10">
        <v>45519</v>
      </c>
    </row>
    <row r="3054" spans="1:9" x14ac:dyDescent="0.15">
      <c r="A3054" s="9">
        <v>3053</v>
      </c>
      <c r="B3054" s="9" t="s">
        <v>9</v>
      </c>
      <c r="C3054" s="9">
        <v>1910</v>
      </c>
      <c r="D3054" s="10">
        <v>45602</v>
      </c>
      <c r="E3054" s="13" t="str">
        <f>+HYPERLINK("http://trademark.i-assist.jp/data/china/image_1910th/80373897.pdf","80373897")</f>
        <v>80373897</v>
      </c>
      <c r="F3054" s="9" t="s">
        <v>8308</v>
      </c>
      <c r="G3054" s="9" t="s">
        <v>8309</v>
      </c>
      <c r="H3054" s="9" t="s">
        <v>8310</v>
      </c>
      <c r="I3054" s="10">
        <v>45519</v>
      </c>
    </row>
    <row r="3055" spans="1:9" x14ac:dyDescent="0.15">
      <c r="A3055" s="9">
        <v>3054</v>
      </c>
      <c r="B3055" s="9" t="s">
        <v>9</v>
      </c>
      <c r="C3055" s="9">
        <v>1910</v>
      </c>
      <c r="D3055" s="10">
        <v>45602</v>
      </c>
      <c r="E3055" s="13" t="str">
        <f>+HYPERLINK("http://trademark.i-assist.jp/data/china/image_1910th/80373926.pdf","80373926")</f>
        <v>80373926</v>
      </c>
      <c r="F3055" s="11" t="s">
        <v>8311</v>
      </c>
      <c r="G3055" s="9" t="s">
        <v>8312</v>
      </c>
      <c r="H3055" s="9" t="s">
        <v>8313</v>
      </c>
      <c r="I3055" s="10">
        <v>45519</v>
      </c>
    </row>
    <row r="3056" spans="1:9" x14ac:dyDescent="0.15">
      <c r="A3056" s="9">
        <v>3055</v>
      </c>
      <c r="B3056" s="9" t="s">
        <v>9</v>
      </c>
      <c r="C3056" s="9">
        <v>1910</v>
      </c>
      <c r="D3056" s="10">
        <v>45602</v>
      </c>
      <c r="E3056" s="13" t="str">
        <f>+HYPERLINK("http://trademark.i-assist.jp/data/china/image_1910th/80374067.pdf","80374067")</f>
        <v>80374067</v>
      </c>
      <c r="F3056" s="9" t="s">
        <v>8314</v>
      </c>
      <c r="G3056" s="9" t="s">
        <v>8230</v>
      </c>
      <c r="H3056" s="9" t="s">
        <v>8315</v>
      </c>
      <c r="I3056" s="10">
        <v>45519</v>
      </c>
    </row>
    <row r="3057" spans="1:9" x14ac:dyDescent="0.15">
      <c r="A3057" s="9">
        <v>3056</v>
      </c>
      <c r="B3057" s="9" t="s">
        <v>9</v>
      </c>
      <c r="C3057" s="9">
        <v>1910</v>
      </c>
      <c r="D3057" s="10">
        <v>45602</v>
      </c>
      <c r="E3057" s="13" t="str">
        <f>+HYPERLINK("http://trademark.i-assist.jp/data/china/image_1910th/80374111.pdf","80374111")</f>
        <v>80374111</v>
      </c>
      <c r="F3057" s="11" t="s">
        <v>8316</v>
      </c>
      <c r="G3057" s="9" t="s">
        <v>8230</v>
      </c>
      <c r="H3057" s="9" t="s">
        <v>8317</v>
      </c>
      <c r="I3057" s="10">
        <v>45519</v>
      </c>
    </row>
    <row r="3058" spans="1:9" x14ac:dyDescent="0.15">
      <c r="A3058" s="9">
        <v>3057</v>
      </c>
      <c r="B3058" s="9" t="s">
        <v>9</v>
      </c>
      <c r="C3058" s="9">
        <v>1910</v>
      </c>
      <c r="D3058" s="10">
        <v>45602</v>
      </c>
      <c r="E3058" s="13" t="str">
        <f>+HYPERLINK("http://trademark.i-assist.jp/data/china/image_1910th/80374153.pdf","80374153")</f>
        <v>80374153</v>
      </c>
      <c r="F3058" s="9" t="s">
        <v>8318</v>
      </c>
      <c r="G3058" s="9" t="s">
        <v>8319</v>
      </c>
      <c r="H3058" s="9" t="s">
        <v>8320</v>
      </c>
      <c r="I3058" s="10">
        <v>45519</v>
      </c>
    </row>
    <row r="3059" spans="1:9" x14ac:dyDescent="0.15">
      <c r="A3059" s="9">
        <v>3058</v>
      </c>
      <c r="B3059" s="9" t="s">
        <v>9</v>
      </c>
      <c r="C3059" s="9">
        <v>1910</v>
      </c>
      <c r="D3059" s="10">
        <v>45602</v>
      </c>
      <c r="E3059" s="13" t="str">
        <f>+HYPERLINK("http://trademark.i-assist.jp/data/china/image_1910th/80374391.pdf","80374391")</f>
        <v>80374391</v>
      </c>
      <c r="F3059" s="9" t="s">
        <v>8321</v>
      </c>
      <c r="G3059" s="9" t="s">
        <v>8322</v>
      </c>
      <c r="H3059" s="9" t="s">
        <v>8323</v>
      </c>
      <c r="I3059" s="10">
        <v>45519</v>
      </c>
    </row>
    <row r="3060" spans="1:9" x14ac:dyDescent="0.15">
      <c r="A3060" s="9">
        <v>3059</v>
      </c>
      <c r="B3060" s="9" t="s">
        <v>9</v>
      </c>
      <c r="C3060" s="9">
        <v>1910</v>
      </c>
      <c r="D3060" s="10">
        <v>45602</v>
      </c>
      <c r="E3060" s="13" t="str">
        <f>+HYPERLINK("http://trademark.i-assist.jp/data/china/image_1910th/80374402.pdf","80374402")</f>
        <v>80374402</v>
      </c>
      <c r="F3060" s="11" t="s">
        <v>8324</v>
      </c>
      <c r="G3060" s="9" t="s">
        <v>8322</v>
      </c>
      <c r="H3060" s="9" t="s">
        <v>8325</v>
      </c>
      <c r="I3060" s="10">
        <v>45519</v>
      </c>
    </row>
    <row r="3061" spans="1:9" x14ac:dyDescent="0.15">
      <c r="A3061" s="9">
        <v>3060</v>
      </c>
      <c r="B3061" s="9" t="s">
        <v>9</v>
      </c>
      <c r="C3061" s="9">
        <v>1910</v>
      </c>
      <c r="D3061" s="10">
        <v>45602</v>
      </c>
      <c r="E3061" s="13" t="str">
        <f>+HYPERLINK("http://trademark.i-assist.jp/data/china/image_1910th/80374425.pdf","80374425")</f>
        <v>80374425</v>
      </c>
      <c r="F3061" s="11" t="s">
        <v>8326</v>
      </c>
      <c r="G3061" s="9" t="s">
        <v>8327</v>
      </c>
      <c r="H3061" s="9" t="s">
        <v>8328</v>
      </c>
      <c r="I3061" s="10">
        <v>45519</v>
      </c>
    </row>
    <row r="3062" spans="1:9" x14ac:dyDescent="0.15">
      <c r="A3062" s="9">
        <v>3061</v>
      </c>
      <c r="B3062" s="9" t="s">
        <v>9</v>
      </c>
      <c r="C3062" s="9">
        <v>1910</v>
      </c>
      <c r="D3062" s="10">
        <v>45602</v>
      </c>
      <c r="E3062" s="13" t="str">
        <f>+HYPERLINK("http://trademark.i-assist.jp/data/china/image_1910th/80374586.pdf","80374586")</f>
        <v>80374586</v>
      </c>
      <c r="F3062" s="11" t="s">
        <v>8329</v>
      </c>
      <c r="G3062" s="9" t="s">
        <v>8330</v>
      </c>
      <c r="H3062" s="9" t="s">
        <v>8331</v>
      </c>
      <c r="I3062" s="10">
        <v>45519</v>
      </c>
    </row>
    <row r="3063" spans="1:9" x14ac:dyDescent="0.15">
      <c r="A3063" s="9">
        <v>3062</v>
      </c>
      <c r="B3063" s="9" t="s">
        <v>9</v>
      </c>
      <c r="C3063" s="9">
        <v>1910</v>
      </c>
      <c r="D3063" s="10">
        <v>45602</v>
      </c>
      <c r="E3063" s="13" t="str">
        <f>+HYPERLINK("http://trademark.i-assist.jp/data/china/image_1910th/80374669.pdf","80374669")</f>
        <v>80374669</v>
      </c>
      <c r="F3063" s="9" t="s">
        <v>8332</v>
      </c>
      <c r="G3063" s="9" t="s">
        <v>8259</v>
      </c>
      <c r="H3063" s="9" t="s">
        <v>8333</v>
      </c>
      <c r="I3063" s="10">
        <v>45519</v>
      </c>
    </row>
    <row r="3064" spans="1:9" x14ac:dyDescent="0.15">
      <c r="A3064" s="9">
        <v>3063</v>
      </c>
      <c r="B3064" s="9" t="s">
        <v>9</v>
      </c>
      <c r="C3064" s="9">
        <v>1910</v>
      </c>
      <c r="D3064" s="10">
        <v>45602</v>
      </c>
      <c r="E3064" s="13" t="str">
        <f>+HYPERLINK("http://trademark.i-assist.jp/data/china/image_1910th/80374779.pdf","80374779")</f>
        <v>80374779</v>
      </c>
      <c r="F3064" s="11" t="s">
        <v>8334</v>
      </c>
      <c r="G3064" s="11" t="s">
        <v>8335</v>
      </c>
      <c r="H3064" s="9" t="s">
        <v>8336</v>
      </c>
      <c r="I3064" s="10">
        <v>45519</v>
      </c>
    </row>
    <row r="3065" spans="1:9" x14ac:dyDescent="0.15">
      <c r="A3065" s="9">
        <v>3064</v>
      </c>
      <c r="B3065" s="9" t="s">
        <v>9</v>
      </c>
      <c r="C3065" s="9">
        <v>1910</v>
      </c>
      <c r="D3065" s="10">
        <v>45602</v>
      </c>
      <c r="E3065" s="13" t="str">
        <f>+HYPERLINK("http://trademark.i-assist.jp/data/china/image_1910th/80374901.pdf","80374901")</f>
        <v>80374901</v>
      </c>
      <c r="F3065" s="11" t="s">
        <v>8337</v>
      </c>
      <c r="G3065" s="9" t="s">
        <v>8338</v>
      </c>
      <c r="H3065" s="9" t="s">
        <v>8339</v>
      </c>
      <c r="I3065" s="10">
        <v>45519</v>
      </c>
    </row>
    <row r="3066" spans="1:9" x14ac:dyDescent="0.15">
      <c r="A3066" s="9">
        <v>3065</v>
      </c>
      <c r="B3066" s="9" t="s">
        <v>9</v>
      </c>
      <c r="C3066" s="9">
        <v>1910</v>
      </c>
      <c r="D3066" s="10">
        <v>45602</v>
      </c>
      <c r="E3066" s="13" t="str">
        <f>+HYPERLINK("http://trademark.i-assist.jp/data/china/image_1910th/80374940.pdf","80374940")</f>
        <v>80374940</v>
      </c>
      <c r="F3066" s="9" t="s">
        <v>8340</v>
      </c>
      <c r="G3066" s="9" t="s">
        <v>8341</v>
      </c>
      <c r="H3066" s="9" t="s">
        <v>8342</v>
      </c>
      <c r="I3066" s="10">
        <v>45519</v>
      </c>
    </row>
    <row r="3067" spans="1:9" x14ac:dyDescent="0.15">
      <c r="A3067" s="9">
        <v>3066</v>
      </c>
      <c r="B3067" s="9" t="s">
        <v>9</v>
      </c>
      <c r="C3067" s="9">
        <v>1910</v>
      </c>
      <c r="D3067" s="10">
        <v>45602</v>
      </c>
      <c r="E3067" s="13" t="str">
        <f>+HYPERLINK("http://trademark.i-assist.jp/data/china/image_1910th/80375071.pdf","80375071")</f>
        <v>80375071</v>
      </c>
      <c r="F3067" s="9" t="s">
        <v>8343</v>
      </c>
      <c r="G3067" s="9" t="s">
        <v>8344</v>
      </c>
      <c r="H3067" s="9" t="s">
        <v>8345</v>
      </c>
      <c r="I3067" s="10">
        <v>45519</v>
      </c>
    </row>
    <row r="3068" spans="1:9" x14ac:dyDescent="0.15">
      <c r="A3068" s="9">
        <v>3067</v>
      </c>
      <c r="B3068" s="9" t="s">
        <v>9</v>
      </c>
      <c r="C3068" s="9">
        <v>1910</v>
      </c>
      <c r="D3068" s="10">
        <v>45602</v>
      </c>
      <c r="E3068" s="13" t="str">
        <f>+HYPERLINK("http://trademark.i-assist.jp/data/china/image_1910th/80375110.pdf","80375110")</f>
        <v>80375110</v>
      </c>
      <c r="F3068" s="9" t="s">
        <v>8346</v>
      </c>
      <c r="G3068" s="9" t="s">
        <v>8347</v>
      </c>
      <c r="H3068" s="11" t="s">
        <v>8348</v>
      </c>
      <c r="I3068" s="10">
        <v>45519</v>
      </c>
    </row>
    <row r="3069" spans="1:9" x14ac:dyDescent="0.15">
      <c r="A3069" s="9">
        <v>3068</v>
      </c>
      <c r="B3069" s="9" t="s">
        <v>9</v>
      </c>
      <c r="C3069" s="9">
        <v>1910</v>
      </c>
      <c r="D3069" s="10">
        <v>45602</v>
      </c>
      <c r="E3069" s="13" t="str">
        <f>+HYPERLINK("http://trademark.i-assist.jp/data/china/image_1910th/80375128.pdf","80375128")</f>
        <v>80375128</v>
      </c>
      <c r="F3069" s="11" t="s">
        <v>8349</v>
      </c>
      <c r="G3069" s="11" t="s">
        <v>8350</v>
      </c>
      <c r="H3069" s="9" t="s">
        <v>8351</v>
      </c>
      <c r="I3069" s="10">
        <v>45519</v>
      </c>
    </row>
    <row r="3070" spans="1:9" x14ac:dyDescent="0.15">
      <c r="A3070" s="9">
        <v>3069</v>
      </c>
      <c r="B3070" s="9" t="s">
        <v>9</v>
      </c>
      <c r="C3070" s="9">
        <v>1910</v>
      </c>
      <c r="D3070" s="10">
        <v>45602</v>
      </c>
      <c r="E3070" s="13" t="str">
        <f>+HYPERLINK("http://trademark.i-assist.jp/data/china/image_1910th/80375265.pdf","80375265")</f>
        <v>80375265</v>
      </c>
      <c r="F3070" s="9" t="s">
        <v>8352</v>
      </c>
      <c r="G3070" s="9" t="s">
        <v>8353</v>
      </c>
      <c r="H3070" s="9" t="s">
        <v>8354</v>
      </c>
      <c r="I3070" s="10">
        <v>45519</v>
      </c>
    </row>
    <row r="3071" spans="1:9" x14ac:dyDescent="0.15">
      <c r="A3071" s="9">
        <v>3070</v>
      </c>
      <c r="B3071" s="9" t="s">
        <v>9</v>
      </c>
      <c r="C3071" s="9">
        <v>1910</v>
      </c>
      <c r="D3071" s="10">
        <v>45602</v>
      </c>
      <c r="E3071" s="13" t="str">
        <f>+HYPERLINK("http://trademark.i-assist.jp/data/china/image_1910th/80375822.pdf","80375822")</f>
        <v>80375822</v>
      </c>
      <c r="F3071" s="9" t="s">
        <v>8355</v>
      </c>
      <c r="G3071" s="9" t="s">
        <v>8282</v>
      </c>
      <c r="H3071" s="9" t="s">
        <v>8356</v>
      </c>
      <c r="I3071" s="10">
        <v>45519</v>
      </c>
    </row>
    <row r="3072" spans="1:9" x14ac:dyDescent="0.15">
      <c r="A3072" s="9">
        <v>3071</v>
      </c>
      <c r="B3072" s="9" t="s">
        <v>9</v>
      </c>
      <c r="C3072" s="9">
        <v>1910</v>
      </c>
      <c r="D3072" s="10">
        <v>45602</v>
      </c>
      <c r="E3072" s="13" t="str">
        <f>+HYPERLINK("http://trademark.i-assist.jp/data/china/image_1910th/80375832.pdf","80375832")</f>
        <v>80375832</v>
      </c>
      <c r="F3072" s="9" t="s">
        <v>8357</v>
      </c>
      <c r="G3072" s="11" t="s">
        <v>8358</v>
      </c>
      <c r="H3072" s="9" t="s">
        <v>8359</v>
      </c>
      <c r="I3072" s="10">
        <v>45519</v>
      </c>
    </row>
    <row r="3073" spans="1:9" x14ac:dyDescent="0.15">
      <c r="A3073" s="9">
        <v>3072</v>
      </c>
      <c r="B3073" s="9" t="s">
        <v>9</v>
      </c>
      <c r="C3073" s="9">
        <v>1910</v>
      </c>
      <c r="D3073" s="10">
        <v>45602</v>
      </c>
      <c r="E3073" s="13" t="str">
        <f>+HYPERLINK("http://trademark.i-assist.jp/data/china/image_1910th/80375944.pdf","80375944")</f>
        <v>80375944</v>
      </c>
      <c r="F3073" s="11" t="s">
        <v>19</v>
      </c>
      <c r="G3073" s="9" t="s">
        <v>8360</v>
      </c>
      <c r="H3073" s="9" t="s">
        <v>8361</v>
      </c>
      <c r="I3073" s="10">
        <v>45519</v>
      </c>
    </row>
    <row r="3074" spans="1:9" x14ac:dyDescent="0.15">
      <c r="A3074" s="9">
        <v>3073</v>
      </c>
      <c r="B3074" s="9" t="s">
        <v>9</v>
      </c>
      <c r="C3074" s="9">
        <v>1910</v>
      </c>
      <c r="D3074" s="10">
        <v>45602</v>
      </c>
      <c r="E3074" s="13" t="str">
        <f>+HYPERLINK("http://trademark.i-assist.jp/data/china/image_1910th/80375968.pdf","80375968")</f>
        <v>80375968</v>
      </c>
      <c r="F3074" s="9" t="s">
        <v>8362</v>
      </c>
      <c r="G3074" s="11" t="s">
        <v>8363</v>
      </c>
      <c r="H3074" s="9" t="s">
        <v>8364</v>
      </c>
      <c r="I3074" s="10">
        <v>45519</v>
      </c>
    </row>
    <row r="3075" spans="1:9" x14ac:dyDescent="0.15">
      <c r="A3075" s="9">
        <v>3074</v>
      </c>
      <c r="B3075" s="9" t="s">
        <v>9</v>
      </c>
      <c r="C3075" s="9">
        <v>1910</v>
      </c>
      <c r="D3075" s="10">
        <v>45602</v>
      </c>
      <c r="E3075" s="13" t="str">
        <f>+HYPERLINK("http://trademark.i-assist.jp/data/china/image_1910th/80375977.pdf","80375977")</f>
        <v>80375977</v>
      </c>
      <c r="F3075" s="9" t="s">
        <v>8365</v>
      </c>
      <c r="G3075" s="9" t="s">
        <v>8366</v>
      </c>
      <c r="H3075" s="9" t="s">
        <v>8367</v>
      </c>
      <c r="I3075" s="10">
        <v>45519</v>
      </c>
    </row>
    <row r="3076" spans="1:9" x14ac:dyDescent="0.15">
      <c r="A3076" s="9">
        <v>3075</v>
      </c>
      <c r="B3076" s="9" t="s">
        <v>9</v>
      </c>
      <c r="C3076" s="9">
        <v>1910</v>
      </c>
      <c r="D3076" s="10">
        <v>45602</v>
      </c>
      <c r="E3076" s="13" t="str">
        <f>+HYPERLINK("http://trademark.i-assist.jp/data/china/image_1910th/80376335.pdf","80376335")</f>
        <v>80376335</v>
      </c>
      <c r="F3076" s="9" t="s">
        <v>8368</v>
      </c>
      <c r="G3076" s="11" t="s">
        <v>8369</v>
      </c>
      <c r="H3076" s="9" t="s">
        <v>8370</v>
      </c>
      <c r="I3076" s="10">
        <v>45519</v>
      </c>
    </row>
    <row r="3077" spans="1:9" x14ac:dyDescent="0.15">
      <c r="A3077" s="9">
        <v>3076</v>
      </c>
      <c r="B3077" s="9" t="s">
        <v>9</v>
      </c>
      <c r="C3077" s="9">
        <v>1910</v>
      </c>
      <c r="D3077" s="10">
        <v>45602</v>
      </c>
      <c r="E3077" s="13" t="str">
        <f>+HYPERLINK("http://trademark.i-assist.jp/data/china/image_1910th/80376462.pdf","80376462")</f>
        <v>80376462</v>
      </c>
      <c r="F3077" s="11" t="s">
        <v>8371</v>
      </c>
      <c r="G3077" s="11" t="s">
        <v>8372</v>
      </c>
      <c r="H3077" s="9" t="s">
        <v>8373</v>
      </c>
      <c r="I3077" s="10">
        <v>45519</v>
      </c>
    </row>
    <row r="3078" spans="1:9" x14ac:dyDescent="0.15">
      <c r="A3078" s="9">
        <v>3077</v>
      </c>
      <c r="B3078" s="9" t="s">
        <v>9</v>
      </c>
      <c r="C3078" s="9">
        <v>1910</v>
      </c>
      <c r="D3078" s="10">
        <v>45602</v>
      </c>
      <c r="E3078" s="13" t="str">
        <f>+HYPERLINK("http://trademark.i-assist.jp/data/china/image_1910th/80376498.pdf","80376498")</f>
        <v>80376498</v>
      </c>
      <c r="F3078" s="9" t="s">
        <v>8374</v>
      </c>
      <c r="G3078" s="11" t="s">
        <v>8375</v>
      </c>
      <c r="H3078" s="9" t="s">
        <v>8376</v>
      </c>
      <c r="I3078" s="10">
        <v>45519</v>
      </c>
    </row>
    <row r="3079" spans="1:9" x14ac:dyDescent="0.15">
      <c r="A3079" s="9">
        <v>3078</v>
      </c>
      <c r="B3079" s="9" t="s">
        <v>9</v>
      </c>
      <c r="C3079" s="9">
        <v>1910</v>
      </c>
      <c r="D3079" s="10">
        <v>45602</v>
      </c>
      <c r="E3079" s="13" t="str">
        <f>+HYPERLINK("http://trademark.i-assist.jp/data/china/image_1910th/80376501.pdf","80376501")</f>
        <v>80376501</v>
      </c>
      <c r="F3079" s="9" t="s">
        <v>8377</v>
      </c>
      <c r="G3079" s="11" t="s">
        <v>8375</v>
      </c>
      <c r="H3079" s="9" t="s">
        <v>8378</v>
      </c>
      <c r="I3079" s="10">
        <v>45519</v>
      </c>
    </row>
    <row r="3080" spans="1:9" x14ac:dyDescent="0.15">
      <c r="A3080" s="9">
        <v>3079</v>
      </c>
      <c r="B3080" s="9" t="s">
        <v>9</v>
      </c>
      <c r="C3080" s="9">
        <v>1910</v>
      </c>
      <c r="D3080" s="10">
        <v>45602</v>
      </c>
      <c r="E3080" s="13" t="str">
        <f>+HYPERLINK("http://trademark.i-assist.jp/data/china/image_1910th/80376502.pdf","80376502")</f>
        <v>80376502</v>
      </c>
      <c r="F3080" s="9" t="s">
        <v>8379</v>
      </c>
      <c r="G3080" s="11" t="s">
        <v>8247</v>
      </c>
      <c r="H3080" s="9" t="s">
        <v>8380</v>
      </c>
      <c r="I3080" s="10">
        <v>45519</v>
      </c>
    </row>
    <row r="3081" spans="1:9" x14ac:dyDescent="0.15">
      <c r="A3081" s="9">
        <v>3080</v>
      </c>
      <c r="B3081" s="9" t="s">
        <v>9</v>
      </c>
      <c r="C3081" s="9">
        <v>1910</v>
      </c>
      <c r="D3081" s="10">
        <v>45602</v>
      </c>
      <c r="E3081" s="13" t="str">
        <f>+HYPERLINK("http://trademark.i-assist.jp/data/china/image_1910th/80376577.pdf","80376577")</f>
        <v>80376577</v>
      </c>
      <c r="F3081" s="9" t="s">
        <v>8381</v>
      </c>
      <c r="G3081" s="9" t="s">
        <v>8382</v>
      </c>
      <c r="H3081" s="9" t="s">
        <v>8383</v>
      </c>
      <c r="I3081" s="10">
        <v>45519</v>
      </c>
    </row>
    <row r="3082" spans="1:9" x14ac:dyDescent="0.15">
      <c r="A3082" s="9">
        <v>3081</v>
      </c>
      <c r="B3082" s="9" t="s">
        <v>9</v>
      </c>
      <c r="C3082" s="9">
        <v>1910</v>
      </c>
      <c r="D3082" s="10">
        <v>45602</v>
      </c>
      <c r="E3082" s="13" t="str">
        <f>+HYPERLINK("http://trademark.i-assist.jp/data/china/image_1910th/80376997.pdf","80376997")</f>
        <v>80376997</v>
      </c>
      <c r="F3082" s="9" t="s">
        <v>8384</v>
      </c>
      <c r="G3082" s="9" t="s">
        <v>8385</v>
      </c>
      <c r="H3082" s="9" t="s">
        <v>8386</v>
      </c>
      <c r="I3082" s="10">
        <v>45519</v>
      </c>
    </row>
    <row r="3083" spans="1:9" x14ac:dyDescent="0.15">
      <c r="A3083" s="9">
        <v>3082</v>
      </c>
      <c r="B3083" s="9" t="s">
        <v>9</v>
      </c>
      <c r="C3083" s="9">
        <v>1910</v>
      </c>
      <c r="D3083" s="10">
        <v>45602</v>
      </c>
      <c r="E3083" s="13" t="str">
        <f>+HYPERLINK("http://trademark.i-assist.jp/data/china/image_1910th/80377057.pdf","80377057")</f>
        <v>80377057</v>
      </c>
      <c r="F3083" s="9" t="s">
        <v>8387</v>
      </c>
      <c r="G3083" s="11" t="s">
        <v>8388</v>
      </c>
      <c r="H3083" s="9" t="s">
        <v>8389</v>
      </c>
      <c r="I3083" s="10">
        <v>45519</v>
      </c>
    </row>
    <row r="3084" spans="1:9" x14ac:dyDescent="0.15">
      <c r="A3084" s="9">
        <v>3083</v>
      </c>
      <c r="B3084" s="9" t="s">
        <v>9</v>
      </c>
      <c r="C3084" s="9">
        <v>1910</v>
      </c>
      <c r="D3084" s="10">
        <v>45602</v>
      </c>
      <c r="E3084" s="13" t="str">
        <f>+HYPERLINK("http://trademark.i-assist.jp/data/china/image_1910th/80377099.pdf","80377099")</f>
        <v>80377099</v>
      </c>
      <c r="F3084" s="9" t="s">
        <v>8390</v>
      </c>
      <c r="G3084" s="11" t="s">
        <v>4319</v>
      </c>
      <c r="H3084" s="9" t="s">
        <v>8391</v>
      </c>
      <c r="I3084" s="10">
        <v>45519</v>
      </c>
    </row>
    <row r="3085" spans="1:9" x14ac:dyDescent="0.15">
      <c r="A3085" s="9">
        <v>3084</v>
      </c>
      <c r="B3085" s="9" t="s">
        <v>9</v>
      </c>
      <c r="C3085" s="9">
        <v>1910</v>
      </c>
      <c r="D3085" s="10">
        <v>45602</v>
      </c>
      <c r="E3085" s="13" t="str">
        <f>+HYPERLINK("http://trademark.i-assist.jp/data/china/image_1910th/80377129.pdf","80377129")</f>
        <v>80377129</v>
      </c>
      <c r="F3085" s="9" t="s">
        <v>8392</v>
      </c>
      <c r="G3085" s="9" t="s">
        <v>8393</v>
      </c>
      <c r="H3085" s="9" t="s">
        <v>8394</v>
      </c>
      <c r="I3085" s="10">
        <v>45519</v>
      </c>
    </row>
    <row r="3086" spans="1:9" x14ac:dyDescent="0.15">
      <c r="A3086" s="9">
        <v>3085</v>
      </c>
      <c r="B3086" s="9" t="s">
        <v>9</v>
      </c>
      <c r="C3086" s="9">
        <v>1910</v>
      </c>
      <c r="D3086" s="10">
        <v>45602</v>
      </c>
      <c r="E3086" s="13" t="str">
        <f>+HYPERLINK("http://trademark.i-assist.jp/data/china/image_1910th/80377234.pdf","80377234")</f>
        <v>80377234</v>
      </c>
      <c r="F3086" s="9" t="s">
        <v>8395</v>
      </c>
      <c r="G3086" s="9" t="s">
        <v>8396</v>
      </c>
      <c r="H3086" s="9" t="s">
        <v>8397</v>
      </c>
      <c r="I3086" s="10">
        <v>45519</v>
      </c>
    </row>
    <row r="3087" spans="1:9" x14ac:dyDescent="0.15">
      <c r="A3087" s="9">
        <v>3086</v>
      </c>
      <c r="B3087" s="9" t="s">
        <v>9</v>
      </c>
      <c r="C3087" s="9">
        <v>1910</v>
      </c>
      <c r="D3087" s="10">
        <v>45602</v>
      </c>
      <c r="E3087" s="13" t="str">
        <f>+HYPERLINK("http://trademark.i-assist.jp/data/china/image_1910th/80377311.pdf","80377311")</f>
        <v>80377311</v>
      </c>
      <c r="F3087" s="11" t="s">
        <v>8398</v>
      </c>
      <c r="G3087" s="11" t="s">
        <v>8399</v>
      </c>
      <c r="H3087" s="11" t="s">
        <v>8400</v>
      </c>
      <c r="I3087" s="10">
        <v>45519</v>
      </c>
    </row>
    <row r="3088" spans="1:9" x14ac:dyDescent="0.15">
      <c r="A3088" s="9">
        <v>3087</v>
      </c>
      <c r="B3088" s="9" t="s">
        <v>9</v>
      </c>
      <c r="C3088" s="9">
        <v>1910</v>
      </c>
      <c r="D3088" s="10">
        <v>45602</v>
      </c>
      <c r="E3088" s="13" t="str">
        <f>+HYPERLINK("http://trademark.i-assist.jp/data/china/image_1910th/80377314.pdf","80377314")</f>
        <v>80377314</v>
      </c>
      <c r="F3088" s="9" t="s">
        <v>8401</v>
      </c>
      <c r="G3088" s="11" t="s">
        <v>8402</v>
      </c>
      <c r="H3088" s="9" t="s">
        <v>8403</v>
      </c>
      <c r="I3088" s="10">
        <v>45519</v>
      </c>
    </row>
    <row r="3089" spans="1:9" x14ac:dyDescent="0.15">
      <c r="A3089" s="9">
        <v>3088</v>
      </c>
      <c r="B3089" s="9" t="s">
        <v>9</v>
      </c>
      <c r="C3089" s="9">
        <v>1910</v>
      </c>
      <c r="D3089" s="10">
        <v>45602</v>
      </c>
      <c r="E3089" s="13" t="str">
        <f>+HYPERLINK("http://trademark.i-assist.jp/data/china/image_1910th/80377407.pdf","80377407")</f>
        <v>80377407</v>
      </c>
      <c r="F3089" s="9" t="s">
        <v>8404</v>
      </c>
      <c r="G3089" s="11" t="s">
        <v>8405</v>
      </c>
      <c r="H3089" s="9" t="s">
        <v>8406</v>
      </c>
      <c r="I3089" s="10">
        <v>45519</v>
      </c>
    </row>
    <row r="3090" spans="1:9" x14ac:dyDescent="0.15">
      <c r="A3090" s="9">
        <v>3089</v>
      </c>
      <c r="B3090" s="9" t="s">
        <v>9</v>
      </c>
      <c r="C3090" s="9">
        <v>1910</v>
      </c>
      <c r="D3090" s="10">
        <v>45602</v>
      </c>
      <c r="E3090" s="13" t="str">
        <f>+HYPERLINK("http://trademark.i-assist.jp/data/china/image_1910th/80377531.pdf","80377531")</f>
        <v>80377531</v>
      </c>
      <c r="F3090" s="9" t="s">
        <v>8407</v>
      </c>
      <c r="G3090" s="11" t="s">
        <v>8408</v>
      </c>
      <c r="H3090" s="9" t="s">
        <v>8409</v>
      </c>
      <c r="I3090" s="10">
        <v>45519</v>
      </c>
    </row>
    <row r="3091" spans="1:9" x14ac:dyDescent="0.15">
      <c r="A3091" s="9">
        <v>3090</v>
      </c>
      <c r="B3091" s="9" t="s">
        <v>9</v>
      </c>
      <c r="C3091" s="9">
        <v>1910</v>
      </c>
      <c r="D3091" s="10">
        <v>45602</v>
      </c>
      <c r="E3091" s="13" t="str">
        <f>+HYPERLINK("http://trademark.i-assist.jp/data/china/image_1910th/80377556.pdf","80377556")</f>
        <v>80377556</v>
      </c>
      <c r="F3091" s="9" t="s">
        <v>8410</v>
      </c>
      <c r="G3091" s="11" t="s">
        <v>8369</v>
      </c>
      <c r="H3091" s="9" t="s">
        <v>8411</v>
      </c>
      <c r="I3091" s="10">
        <v>45519</v>
      </c>
    </row>
    <row r="3092" spans="1:9" x14ac:dyDescent="0.15">
      <c r="A3092" s="9">
        <v>3091</v>
      </c>
      <c r="B3092" s="9" t="s">
        <v>9</v>
      </c>
      <c r="C3092" s="9">
        <v>1910</v>
      </c>
      <c r="D3092" s="10">
        <v>45602</v>
      </c>
      <c r="E3092" s="13" t="str">
        <f>+HYPERLINK("http://trademark.i-assist.jp/data/china/image_1910th/80378095.pdf","80378095")</f>
        <v>80378095</v>
      </c>
      <c r="F3092" s="11" t="s">
        <v>8412</v>
      </c>
      <c r="G3092" s="11" t="s">
        <v>8413</v>
      </c>
      <c r="H3092" s="9" t="s">
        <v>8414</v>
      </c>
      <c r="I3092" s="10">
        <v>45519</v>
      </c>
    </row>
    <row r="3093" spans="1:9" x14ac:dyDescent="0.15">
      <c r="A3093" s="9">
        <v>3092</v>
      </c>
      <c r="B3093" s="9" t="s">
        <v>9</v>
      </c>
      <c r="C3093" s="9">
        <v>1910</v>
      </c>
      <c r="D3093" s="10">
        <v>45602</v>
      </c>
      <c r="E3093" s="13" t="str">
        <f>+HYPERLINK("http://trademark.i-assist.jp/data/china/image_1910th/80378131.pdf","80378131")</f>
        <v>80378131</v>
      </c>
      <c r="F3093" s="9" t="s">
        <v>8415</v>
      </c>
      <c r="G3093" s="9" t="s">
        <v>8416</v>
      </c>
      <c r="H3093" s="9" t="s">
        <v>8417</v>
      </c>
      <c r="I3093" s="10">
        <v>45519</v>
      </c>
    </row>
    <row r="3094" spans="1:9" x14ac:dyDescent="0.15">
      <c r="A3094" s="9">
        <v>3093</v>
      </c>
      <c r="B3094" s="9" t="s">
        <v>9</v>
      </c>
      <c r="C3094" s="9">
        <v>1910</v>
      </c>
      <c r="D3094" s="10">
        <v>45602</v>
      </c>
      <c r="E3094" s="13" t="str">
        <f>+HYPERLINK("http://trademark.i-assist.jp/data/china/image_1910th/80378243.pdf","80378243")</f>
        <v>80378243</v>
      </c>
      <c r="F3094" s="9" t="s">
        <v>8418</v>
      </c>
      <c r="G3094" s="9" t="s">
        <v>8419</v>
      </c>
      <c r="H3094" s="9" t="s">
        <v>8420</v>
      </c>
      <c r="I3094" s="10">
        <v>45519</v>
      </c>
    </row>
    <row r="3095" spans="1:9" x14ac:dyDescent="0.15">
      <c r="A3095" s="9">
        <v>3094</v>
      </c>
      <c r="B3095" s="9" t="s">
        <v>9</v>
      </c>
      <c r="C3095" s="9">
        <v>1910</v>
      </c>
      <c r="D3095" s="10">
        <v>45602</v>
      </c>
      <c r="E3095" s="13" t="str">
        <f>+HYPERLINK("http://trademark.i-assist.jp/data/china/image_1910th/80378544.pdf","80378544")</f>
        <v>80378544</v>
      </c>
      <c r="F3095" s="9" t="s">
        <v>8421</v>
      </c>
      <c r="G3095" s="11" t="s">
        <v>8375</v>
      </c>
      <c r="H3095" s="9" t="s">
        <v>8422</v>
      </c>
      <c r="I3095" s="10">
        <v>45519</v>
      </c>
    </row>
    <row r="3096" spans="1:9" x14ac:dyDescent="0.15">
      <c r="A3096" s="9">
        <v>3095</v>
      </c>
      <c r="B3096" s="9" t="s">
        <v>9</v>
      </c>
      <c r="C3096" s="9">
        <v>1910</v>
      </c>
      <c r="D3096" s="10">
        <v>45602</v>
      </c>
      <c r="E3096" s="13" t="str">
        <f>+HYPERLINK("http://trademark.i-assist.jp/data/china/image_1910th/80378545.pdf","80378545")</f>
        <v>80378545</v>
      </c>
      <c r="F3096" s="9" t="s">
        <v>8423</v>
      </c>
      <c r="G3096" s="9" t="s">
        <v>8250</v>
      </c>
      <c r="H3096" s="9" t="s">
        <v>8424</v>
      </c>
      <c r="I3096" s="10">
        <v>45519</v>
      </c>
    </row>
    <row r="3097" spans="1:9" x14ac:dyDescent="0.15">
      <c r="A3097" s="9">
        <v>3096</v>
      </c>
      <c r="B3097" s="9" t="s">
        <v>9</v>
      </c>
      <c r="C3097" s="9">
        <v>1910</v>
      </c>
      <c r="D3097" s="10">
        <v>45602</v>
      </c>
      <c r="E3097" s="13" t="str">
        <f>+HYPERLINK("http://trademark.i-assist.jp/data/china/image_1910th/80378778.pdf","80378778")</f>
        <v>80378778</v>
      </c>
      <c r="F3097" s="9" t="s">
        <v>8425</v>
      </c>
      <c r="G3097" s="11" t="s">
        <v>8426</v>
      </c>
      <c r="H3097" s="9" t="s">
        <v>8427</v>
      </c>
      <c r="I3097" s="10">
        <v>45519</v>
      </c>
    </row>
    <row r="3098" spans="1:9" x14ac:dyDescent="0.15">
      <c r="A3098" s="9">
        <v>3097</v>
      </c>
      <c r="B3098" s="9" t="s">
        <v>9</v>
      </c>
      <c r="C3098" s="9">
        <v>1910</v>
      </c>
      <c r="D3098" s="10">
        <v>45602</v>
      </c>
      <c r="E3098" s="13" t="str">
        <f>+HYPERLINK("http://trademark.i-assist.jp/data/china/image_1910th/80379004.pdf","80379004")</f>
        <v>80379004</v>
      </c>
      <c r="F3098" s="9" t="s">
        <v>8428</v>
      </c>
      <c r="G3098" s="11" t="s">
        <v>4319</v>
      </c>
      <c r="H3098" s="9" t="s">
        <v>8429</v>
      </c>
      <c r="I3098" s="10">
        <v>45519</v>
      </c>
    </row>
    <row r="3099" spans="1:9" x14ac:dyDescent="0.15">
      <c r="A3099" s="9">
        <v>3098</v>
      </c>
      <c r="B3099" s="9" t="s">
        <v>9</v>
      </c>
      <c r="C3099" s="9">
        <v>1910</v>
      </c>
      <c r="D3099" s="10">
        <v>45602</v>
      </c>
      <c r="E3099" s="13" t="str">
        <f>+HYPERLINK("http://trademark.i-assist.jp/data/china/image_1910th/80379092.pdf","80379092")</f>
        <v>80379092</v>
      </c>
      <c r="F3099" s="9" t="s">
        <v>8430</v>
      </c>
      <c r="G3099" s="9" t="s">
        <v>8259</v>
      </c>
      <c r="H3099" s="9" t="s">
        <v>8431</v>
      </c>
      <c r="I3099" s="10">
        <v>45519</v>
      </c>
    </row>
    <row r="3100" spans="1:9" x14ac:dyDescent="0.15">
      <c r="A3100" s="9">
        <v>3099</v>
      </c>
      <c r="B3100" s="9" t="s">
        <v>9</v>
      </c>
      <c r="C3100" s="9">
        <v>1910</v>
      </c>
      <c r="D3100" s="10">
        <v>45602</v>
      </c>
      <c r="E3100" s="13" t="str">
        <f>+HYPERLINK("http://trademark.i-assist.jp/data/china/image_1910th/80379251.pdf","80379251")</f>
        <v>80379251</v>
      </c>
      <c r="F3100" s="9" t="s">
        <v>8432</v>
      </c>
      <c r="G3100" s="11" t="s">
        <v>8433</v>
      </c>
      <c r="H3100" s="9" t="s">
        <v>8434</v>
      </c>
      <c r="I3100" s="10">
        <v>45519</v>
      </c>
    </row>
    <row r="3101" spans="1:9" x14ac:dyDescent="0.15">
      <c r="A3101" s="9">
        <v>3100</v>
      </c>
      <c r="B3101" s="9" t="s">
        <v>9</v>
      </c>
      <c r="C3101" s="9">
        <v>1910</v>
      </c>
      <c r="D3101" s="10">
        <v>45602</v>
      </c>
      <c r="E3101" s="13" t="str">
        <f>+HYPERLINK("http://trademark.i-assist.jp/data/china/image_1910th/80379519.pdf","80379519")</f>
        <v>80379519</v>
      </c>
      <c r="F3101" s="9" t="s">
        <v>8435</v>
      </c>
      <c r="G3101" s="9" t="s">
        <v>8436</v>
      </c>
      <c r="H3101" s="11" t="s">
        <v>8437</v>
      </c>
      <c r="I3101" s="10">
        <v>45519</v>
      </c>
    </row>
    <row r="3102" spans="1:9" x14ac:dyDescent="0.15">
      <c r="A3102" s="9">
        <v>3101</v>
      </c>
      <c r="B3102" s="9" t="s">
        <v>9</v>
      </c>
      <c r="C3102" s="9">
        <v>1910</v>
      </c>
      <c r="D3102" s="10">
        <v>45602</v>
      </c>
      <c r="E3102" s="13" t="str">
        <f>+HYPERLINK("http://trademark.i-assist.jp/data/china/image_1910th/80379897.pdf","80379897")</f>
        <v>80379897</v>
      </c>
      <c r="F3102" s="9" t="s">
        <v>8438</v>
      </c>
      <c r="G3102" s="9" t="s">
        <v>8439</v>
      </c>
      <c r="H3102" s="11" t="s">
        <v>8440</v>
      </c>
      <c r="I3102" s="10">
        <v>45519</v>
      </c>
    </row>
    <row r="3103" spans="1:9" x14ac:dyDescent="0.15">
      <c r="A3103" s="9">
        <v>3102</v>
      </c>
      <c r="B3103" s="9" t="s">
        <v>9</v>
      </c>
      <c r="C3103" s="9">
        <v>1910</v>
      </c>
      <c r="D3103" s="10">
        <v>45602</v>
      </c>
      <c r="E3103" s="13" t="str">
        <f>+HYPERLINK("http://trademark.i-assist.jp/data/china/image_1910th/80380183.pdf","80380183")</f>
        <v>80380183</v>
      </c>
      <c r="F3103" s="9" t="s">
        <v>8441</v>
      </c>
      <c r="G3103" s="11" t="s">
        <v>8442</v>
      </c>
      <c r="H3103" s="9" t="s">
        <v>8443</v>
      </c>
      <c r="I3103" s="10">
        <v>45519</v>
      </c>
    </row>
    <row r="3104" spans="1:9" x14ac:dyDescent="0.15">
      <c r="A3104" s="9">
        <v>3103</v>
      </c>
      <c r="B3104" s="9" t="s">
        <v>9</v>
      </c>
      <c r="C3104" s="9">
        <v>1910</v>
      </c>
      <c r="D3104" s="10">
        <v>45602</v>
      </c>
      <c r="E3104" s="13" t="str">
        <f>+HYPERLINK("http://trademark.i-assist.jp/data/china/image_1910th/80380335.pdf","80380335")</f>
        <v>80380335</v>
      </c>
      <c r="F3104" s="9" t="s">
        <v>8444</v>
      </c>
      <c r="G3104" s="11" t="s">
        <v>8445</v>
      </c>
      <c r="H3104" s="9" t="s">
        <v>8446</v>
      </c>
      <c r="I3104" s="10">
        <v>45519</v>
      </c>
    </row>
    <row r="3105" spans="1:9" x14ac:dyDescent="0.15">
      <c r="A3105" s="9">
        <v>3104</v>
      </c>
      <c r="B3105" s="9" t="s">
        <v>9</v>
      </c>
      <c r="C3105" s="9">
        <v>1910</v>
      </c>
      <c r="D3105" s="10">
        <v>45602</v>
      </c>
      <c r="E3105" s="13" t="str">
        <f>+HYPERLINK("http://trademark.i-assist.jp/data/china/image_1910th/80380424.pdf","80380424")</f>
        <v>80380424</v>
      </c>
      <c r="F3105" s="9" t="s">
        <v>8447</v>
      </c>
      <c r="G3105" s="9" t="s">
        <v>8448</v>
      </c>
      <c r="H3105" s="9" t="s">
        <v>8449</v>
      </c>
      <c r="I3105" s="10">
        <v>45519</v>
      </c>
    </row>
    <row r="3106" spans="1:9" x14ac:dyDescent="0.15">
      <c r="A3106" s="9">
        <v>3105</v>
      </c>
      <c r="B3106" s="9" t="s">
        <v>9</v>
      </c>
      <c r="C3106" s="9">
        <v>1910</v>
      </c>
      <c r="D3106" s="10">
        <v>45602</v>
      </c>
      <c r="E3106" s="13" t="str">
        <f>+HYPERLINK("http://trademark.i-assist.jp/data/china/image_1910th/80380497.pdf","80380497")</f>
        <v>80380497</v>
      </c>
      <c r="F3106" s="9" t="s">
        <v>8450</v>
      </c>
      <c r="G3106" s="9" t="s">
        <v>8451</v>
      </c>
      <c r="H3106" s="9" t="s">
        <v>8452</v>
      </c>
      <c r="I3106" s="10">
        <v>45519</v>
      </c>
    </row>
    <row r="3107" spans="1:9" x14ac:dyDescent="0.15">
      <c r="A3107" s="9">
        <v>3106</v>
      </c>
      <c r="B3107" s="9" t="s">
        <v>9</v>
      </c>
      <c r="C3107" s="9">
        <v>1910</v>
      </c>
      <c r="D3107" s="10">
        <v>45602</v>
      </c>
      <c r="E3107" s="13" t="str">
        <f>+HYPERLINK("http://trademark.i-assist.jp/data/china/image_1910th/80380501.pdf","80380501")</f>
        <v>80380501</v>
      </c>
      <c r="F3107" s="9" t="s">
        <v>8453</v>
      </c>
      <c r="G3107" s="9" t="s">
        <v>8454</v>
      </c>
      <c r="H3107" s="9" t="s">
        <v>8455</v>
      </c>
      <c r="I3107" s="10">
        <v>45519</v>
      </c>
    </row>
    <row r="3108" spans="1:9" x14ac:dyDescent="0.15">
      <c r="A3108" s="9">
        <v>3107</v>
      </c>
      <c r="B3108" s="9" t="s">
        <v>9</v>
      </c>
      <c r="C3108" s="9">
        <v>1910</v>
      </c>
      <c r="D3108" s="10">
        <v>45602</v>
      </c>
      <c r="E3108" s="13" t="str">
        <f>+HYPERLINK("http://trademark.i-assist.jp/data/china/image_1910th/80380583.pdf","80380583")</f>
        <v>80380583</v>
      </c>
      <c r="F3108" s="9" t="s">
        <v>8456</v>
      </c>
      <c r="G3108" s="9" t="s">
        <v>8259</v>
      </c>
      <c r="H3108" s="9" t="s">
        <v>8457</v>
      </c>
      <c r="I3108" s="10">
        <v>45519</v>
      </c>
    </row>
    <row r="3109" spans="1:9" x14ac:dyDescent="0.15">
      <c r="A3109" s="9">
        <v>3108</v>
      </c>
      <c r="B3109" s="9" t="s">
        <v>9</v>
      </c>
      <c r="C3109" s="9">
        <v>1910</v>
      </c>
      <c r="D3109" s="10">
        <v>45602</v>
      </c>
      <c r="E3109" s="13" t="str">
        <f>+HYPERLINK("http://trademark.i-assist.jp/data/china/image_1910th/80380677.pdf","80380677")</f>
        <v>80380677</v>
      </c>
      <c r="F3109" s="11" t="s">
        <v>8458</v>
      </c>
      <c r="G3109" s="9" t="s">
        <v>8459</v>
      </c>
      <c r="H3109" s="9" t="s">
        <v>8460</v>
      </c>
      <c r="I3109" s="10">
        <v>45519</v>
      </c>
    </row>
    <row r="3110" spans="1:9" x14ac:dyDescent="0.15">
      <c r="A3110" s="9">
        <v>3109</v>
      </c>
      <c r="B3110" s="9" t="s">
        <v>9</v>
      </c>
      <c r="C3110" s="9">
        <v>1910</v>
      </c>
      <c r="D3110" s="10">
        <v>45602</v>
      </c>
      <c r="E3110" s="13" t="str">
        <f>+HYPERLINK("http://trademark.i-assist.jp/data/china/image_1910th/80380737.pdf","80380737")</f>
        <v>80380737</v>
      </c>
      <c r="F3110" s="9" t="s">
        <v>8461</v>
      </c>
      <c r="G3110" s="9" t="s">
        <v>8461</v>
      </c>
      <c r="H3110" s="9" t="s">
        <v>8462</v>
      </c>
      <c r="I3110" s="10">
        <v>45519</v>
      </c>
    </row>
    <row r="3111" spans="1:9" x14ac:dyDescent="0.15">
      <c r="A3111" s="9">
        <v>3110</v>
      </c>
      <c r="B3111" s="9" t="s">
        <v>9</v>
      </c>
      <c r="C3111" s="9">
        <v>1910</v>
      </c>
      <c r="D3111" s="10">
        <v>45602</v>
      </c>
      <c r="E3111" s="13" t="str">
        <f>+HYPERLINK("http://trademark.i-assist.jp/data/china/image_1910th/80380993.pdf","80380993")</f>
        <v>80380993</v>
      </c>
      <c r="F3111" s="9" t="s">
        <v>8463</v>
      </c>
      <c r="G3111" s="11" t="s">
        <v>8464</v>
      </c>
      <c r="H3111" s="11" t="s">
        <v>8465</v>
      </c>
      <c r="I3111" s="10">
        <v>45519</v>
      </c>
    </row>
    <row r="3112" spans="1:9" x14ac:dyDescent="0.15">
      <c r="A3112" s="9">
        <v>3111</v>
      </c>
      <c r="B3112" s="9" t="s">
        <v>9</v>
      </c>
      <c r="C3112" s="9">
        <v>1910</v>
      </c>
      <c r="D3112" s="10">
        <v>45602</v>
      </c>
      <c r="E3112" s="13" t="str">
        <f>+HYPERLINK("http://trademark.i-assist.jp/data/china/image_1910th/80381160.pdf","80381160")</f>
        <v>80381160</v>
      </c>
      <c r="F3112" s="9" t="s">
        <v>8466</v>
      </c>
      <c r="G3112" s="9" t="s">
        <v>8467</v>
      </c>
      <c r="H3112" s="9" t="s">
        <v>8468</v>
      </c>
      <c r="I3112" s="10">
        <v>45519</v>
      </c>
    </row>
    <row r="3113" spans="1:9" x14ac:dyDescent="0.15">
      <c r="A3113" s="9">
        <v>3112</v>
      </c>
      <c r="B3113" s="9" t="s">
        <v>9</v>
      </c>
      <c r="C3113" s="9">
        <v>1910</v>
      </c>
      <c r="D3113" s="10">
        <v>45602</v>
      </c>
      <c r="E3113" s="13" t="str">
        <f>+HYPERLINK("http://trademark.i-assist.jp/data/china/image_1910th/80381426.pdf","80381426")</f>
        <v>80381426</v>
      </c>
      <c r="F3113" s="9" t="s">
        <v>8469</v>
      </c>
      <c r="G3113" s="9" t="s">
        <v>8470</v>
      </c>
      <c r="H3113" s="11" t="s">
        <v>8471</v>
      </c>
      <c r="I3113" s="10">
        <v>45519</v>
      </c>
    </row>
    <row r="3114" spans="1:9" x14ac:dyDescent="0.15">
      <c r="A3114" s="9">
        <v>3113</v>
      </c>
      <c r="B3114" s="9" t="s">
        <v>9</v>
      </c>
      <c r="C3114" s="9">
        <v>1910</v>
      </c>
      <c r="D3114" s="10">
        <v>45602</v>
      </c>
      <c r="E3114" s="13" t="str">
        <f>+HYPERLINK("http://trademark.i-assist.jp/data/china/image_1910th/80381464.pdf","80381464")</f>
        <v>80381464</v>
      </c>
      <c r="F3114" s="9" t="s">
        <v>8472</v>
      </c>
      <c r="G3114" s="9" t="s">
        <v>8473</v>
      </c>
      <c r="H3114" s="11" t="s">
        <v>8474</v>
      </c>
      <c r="I3114" s="10">
        <v>45519</v>
      </c>
    </row>
    <row r="3115" spans="1:9" x14ac:dyDescent="0.15">
      <c r="A3115" s="9">
        <v>3114</v>
      </c>
      <c r="B3115" s="9" t="s">
        <v>9</v>
      </c>
      <c r="C3115" s="9">
        <v>1910</v>
      </c>
      <c r="D3115" s="10">
        <v>45602</v>
      </c>
      <c r="E3115" s="13" t="str">
        <f>+HYPERLINK("http://trademark.i-assist.jp/data/china/image_1910th/80381721.pdf","80381721")</f>
        <v>80381721</v>
      </c>
      <c r="F3115" s="9" t="s">
        <v>8475</v>
      </c>
      <c r="G3115" s="9" t="s">
        <v>8476</v>
      </c>
      <c r="H3115" s="11" t="s">
        <v>8477</v>
      </c>
      <c r="I3115" s="10">
        <v>45519</v>
      </c>
    </row>
    <row r="3116" spans="1:9" x14ac:dyDescent="0.15">
      <c r="A3116" s="9">
        <v>3115</v>
      </c>
      <c r="B3116" s="9" t="s">
        <v>9</v>
      </c>
      <c r="C3116" s="9">
        <v>1910</v>
      </c>
      <c r="D3116" s="10">
        <v>45602</v>
      </c>
      <c r="E3116" s="13" t="str">
        <f>+HYPERLINK("http://trademark.i-assist.jp/data/china/image_1910th/80382023.pdf","80382023")</f>
        <v>80382023</v>
      </c>
      <c r="F3116" s="9" t="s">
        <v>8478</v>
      </c>
      <c r="G3116" s="9" t="s">
        <v>8419</v>
      </c>
      <c r="H3116" s="9" t="s">
        <v>8479</v>
      </c>
      <c r="I3116" s="10">
        <v>45519</v>
      </c>
    </row>
    <row r="3117" spans="1:9" x14ac:dyDescent="0.15">
      <c r="A3117" s="9">
        <v>3116</v>
      </c>
      <c r="B3117" s="9" t="s">
        <v>9</v>
      </c>
      <c r="C3117" s="9">
        <v>1910</v>
      </c>
      <c r="D3117" s="10">
        <v>45602</v>
      </c>
      <c r="E3117" s="13" t="str">
        <f>+HYPERLINK("http://trademark.i-assist.jp/data/china/image_1910th/80382088.pdf","80382088")</f>
        <v>80382088</v>
      </c>
      <c r="F3117" s="9" t="s">
        <v>8480</v>
      </c>
      <c r="G3117" s="9" t="s">
        <v>8481</v>
      </c>
      <c r="H3117" s="9" t="s">
        <v>8482</v>
      </c>
      <c r="I3117" s="10">
        <v>45519</v>
      </c>
    </row>
    <row r="3118" spans="1:9" x14ac:dyDescent="0.15">
      <c r="A3118" s="9">
        <v>3117</v>
      </c>
      <c r="B3118" s="9" t="s">
        <v>9</v>
      </c>
      <c r="C3118" s="9">
        <v>1910</v>
      </c>
      <c r="D3118" s="10">
        <v>45602</v>
      </c>
      <c r="E3118" s="13" t="str">
        <f>+HYPERLINK("http://trademark.i-assist.jp/data/china/image_1910th/80382090.pdf","80382090")</f>
        <v>80382090</v>
      </c>
      <c r="F3118" s="11" t="s">
        <v>19</v>
      </c>
      <c r="G3118" s="9" t="s">
        <v>8483</v>
      </c>
      <c r="H3118" s="11" t="s">
        <v>8484</v>
      </c>
      <c r="I3118" s="10">
        <v>45519</v>
      </c>
    </row>
    <row r="3119" spans="1:9" x14ac:dyDescent="0.15">
      <c r="A3119" s="9">
        <v>3118</v>
      </c>
      <c r="B3119" s="9" t="s">
        <v>9</v>
      </c>
      <c r="C3119" s="9">
        <v>1910</v>
      </c>
      <c r="D3119" s="10">
        <v>45602</v>
      </c>
      <c r="E3119" s="13" t="str">
        <f>+HYPERLINK("http://trademark.i-assist.jp/data/china/image_1910th/80382125.pdf","80382125")</f>
        <v>80382125</v>
      </c>
      <c r="F3119" s="11" t="s">
        <v>19</v>
      </c>
      <c r="G3119" s="9" t="s">
        <v>8485</v>
      </c>
      <c r="H3119" s="9" t="s">
        <v>8486</v>
      </c>
      <c r="I3119" s="10">
        <v>45519</v>
      </c>
    </row>
    <row r="3120" spans="1:9" x14ac:dyDescent="0.15">
      <c r="A3120" s="9">
        <v>3119</v>
      </c>
      <c r="B3120" s="9" t="s">
        <v>9</v>
      </c>
      <c r="C3120" s="9">
        <v>1910</v>
      </c>
      <c r="D3120" s="10">
        <v>45602</v>
      </c>
      <c r="E3120" s="13" t="str">
        <f>+HYPERLINK("http://trademark.i-assist.jp/data/china/image_1910th/80382282.pdf","80382282")</f>
        <v>80382282</v>
      </c>
      <c r="F3120" s="11" t="s">
        <v>8487</v>
      </c>
      <c r="G3120" s="11" t="s">
        <v>8488</v>
      </c>
      <c r="H3120" s="9" t="s">
        <v>8489</v>
      </c>
      <c r="I3120" s="10">
        <v>45519</v>
      </c>
    </row>
    <row r="3121" spans="1:9" x14ac:dyDescent="0.15">
      <c r="A3121" s="9">
        <v>3120</v>
      </c>
      <c r="B3121" s="9" t="s">
        <v>9</v>
      </c>
      <c r="C3121" s="9">
        <v>1910</v>
      </c>
      <c r="D3121" s="10">
        <v>45602</v>
      </c>
      <c r="E3121" s="13" t="str">
        <f>+HYPERLINK("http://trademark.i-assist.jp/data/china/image_1910th/80382496.pdf","80382496")</f>
        <v>80382496</v>
      </c>
      <c r="F3121" s="11" t="s">
        <v>8490</v>
      </c>
      <c r="G3121" s="11" t="s">
        <v>8491</v>
      </c>
      <c r="H3121" s="9" t="s">
        <v>8492</v>
      </c>
      <c r="I3121" s="10">
        <v>45519</v>
      </c>
    </row>
    <row r="3122" spans="1:9" x14ac:dyDescent="0.15">
      <c r="A3122" s="9">
        <v>3121</v>
      </c>
      <c r="B3122" s="9" t="s">
        <v>9</v>
      </c>
      <c r="C3122" s="9">
        <v>1910</v>
      </c>
      <c r="D3122" s="10">
        <v>45602</v>
      </c>
      <c r="E3122" s="13" t="str">
        <f>+HYPERLINK("http://trademark.i-assist.jp/data/china/image_1910th/80382655.pdf","80382655")</f>
        <v>80382655</v>
      </c>
      <c r="F3122" s="11" t="s">
        <v>8493</v>
      </c>
      <c r="G3122" s="9" t="s">
        <v>8494</v>
      </c>
      <c r="H3122" s="9" t="s">
        <v>8495</v>
      </c>
      <c r="I3122" s="10">
        <v>45519</v>
      </c>
    </row>
    <row r="3123" spans="1:9" x14ac:dyDescent="0.15">
      <c r="A3123" s="9">
        <v>3122</v>
      </c>
      <c r="B3123" s="9" t="s">
        <v>9</v>
      </c>
      <c r="C3123" s="9">
        <v>1910</v>
      </c>
      <c r="D3123" s="10">
        <v>45602</v>
      </c>
      <c r="E3123" s="13" t="str">
        <f>+HYPERLINK("http://trademark.i-assist.jp/data/china/image_1910th/80383055.pdf","80383055")</f>
        <v>80383055</v>
      </c>
      <c r="F3123" s="9" t="s">
        <v>8496</v>
      </c>
      <c r="G3123" s="9" t="s">
        <v>8497</v>
      </c>
      <c r="H3123" s="9" t="s">
        <v>8498</v>
      </c>
      <c r="I3123" s="10">
        <v>45519</v>
      </c>
    </row>
    <row r="3124" spans="1:9" x14ac:dyDescent="0.15">
      <c r="A3124" s="9">
        <v>3123</v>
      </c>
      <c r="B3124" s="9" t="s">
        <v>9</v>
      </c>
      <c r="C3124" s="9">
        <v>1910</v>
      </c>
      <c r="D3124" s="10">
        <v>45602</v>
      </c>
      <c r="E3124" s="13" t="str">
        <f>+HYPERLINK("http://trademark.i-assist.jp/data/china/image_1910th/80383133.pdf","80383133")</f>
        <v>80383133</v>
      </c>
      <c r="F3124" s="9" t="s">
        <v>8499</v>
      </c>
      <c r="G3124" s="9" t="s">
        <v>8500</v>
      </c>
      <c r="H3124" s="9" t="s">
        <v>8501</v>
      </c>
      <c r="I3124" s="10">
        <v>45519</v>
      </c>
    </row>
    <row r="3125" spans="1:9" x14ac:dyDescent="0.15">
      <c r="A3125" s="9">
        <v>3124</v>
      </c>
      <c r="B3125" s="9" t="s">
        <v>9</v>
      </c>
      <c r="C3125" s="9">
        <v>1910</v>
      </c>
      <c r="D3125" s="10">
        <v>45602</v>
      </c>
      <c r="E3125" s="13" t="str">
        <f>+HYPERLINK("http://trademark.i-assist.jp/data/china/image_1910th/80383160.pdf","80383160")</f>
        <v>80383160</v>
      </c>
      <c r="F3125" s="9" t="s">
        <v>8502</v>
      </c>
      <c r="G3125" s="11" t="s">
        <v>8442</v>
      </c>
      <c r="H3125" s="9" t="s">
        <v>8503</v>
      </c>
      <c r="I3125" s="10">
        <v>45519</v>
      </c>
    </row>
    <row r="3126" spans="1:9" x14ac:dyDescent="0.15">
      <c r="A3126" s="9">
        <v>3125</v>
      </c>
      <c r="B3126" s="9" t="s">
        <v>9</v>
      </c>
      <c r="C3126" s="9">
        <v>1910</v>
      </c>
      <c r="D3126" s="10">
        <v>45602</v>
      </c>
      <c r="E3126" s="13" t="str">
        <f>+HYPERLINK("http://trademark.i-assist.jp/data/china/image_1910th/80383419.pdf","80383419")</f>
        <v>80383419</v>
      </c>
      <c r="F3126" s="9" t="s">
        <v>8504</v>
      </c>
      <c r="G3126" s="9" t="s">
        <v>8505</v>
      </c>
      <c r="H3126" s="9" t="s">
        <v>8506</v>
      </c>
      <c r="I3126" s="10">
        <v>45519</v>
      </c>
    </row>
    <row r="3127" spans="1:9" x14ac:dyDescent="0.15">
      <c r="A3127" s="9">
        <v>3126</v>
      </c>
      <c r="B3127" s="9" t="s">
        <v>9</v>
      </c>
      <c r="C3127" s="9">
        <v>1910</v>
      </c>
      <c r="D3127" s="10">
        <v>45602</v>
      </c>
      <c r="E3127" s="13" t="str">
        <f>+HYPERLINK("http://trademark.i-assist.jp/data/china/image_1910th/80383435.pdf","80383435")</f>
        <v>80383435</v>
      </c>
      <c r="F3127" s="9" t="s">
        <v>8507</v>
      </c>
      <c r="G3127" s="9" t="s">
        <v>8262</v>
      </c>
      <c r="H3127" s="9" t="s">
        <v>8508</v>
      </c>
      <c r="I3127" s="10">
        <v>45519</v>
      </c>
    </row>
    <row r="3128" spans="1:9" x14ac:dyDescent="0.15">
      <c r="A3128" s="9">
        <v>3127</v>
      </c>
      <c r="B3128" s="9" t="s">
        <v>9</v>
      </c>
      <c r="C3128" s="9">
        <v>1910</v>
      </c>
      <c r="D3128" s="10">
        <v>45602</v>
      </c>
      <c r="E3128" s="13" t="str">
        <f>+HYPERLINK("http://trademark.i-assist.jp/data/china/image_1910th/80383498.pdf","80383498")</f>
        <v>80383498</v>
      </c>
      <c r="F3128" s="9" t="s">
        <v>8509</v>
      </c>
      <c r="G3128" s="9" t="s">
        <v>8510</v>
      </c>
      <c r="H3128" s="9" t="s">
        <v>8511</v>
      </c>
      <c r="I3128" s="10">
        <v>45519</v>
      </c>
    </row>
    <row r="3129" spans="1:9" x14ac:dyDescent="0.15">
      <c r="A3129" s="9">
        <v>3128</v>
      </c>
      <c r="B3129" s="9" t="s">
        <v>9</v>
      </c>
      <c r="C3129" s="9">
        <v>1910</v>
      </c>
      <c r="D3129" s="10">
        <v>45602</v>
      </c>
      <c r="E3129" s="13" t="str">
        <f>+HYPERLINK("http://trademark.i-assist.jp/data/china/image_1910th/80383574.pdf","80383574")</f>
        <v>80383574</v>
      </c>
      <c r="F3129" s="9" t="s">
        <v>8512</v>
      </c>
      <c r="G3129" s="11" t="s">
        <v>8247</v>
      </c>
      <c r="H3129" s="9" t="s">
        <v>8513</v>
      </c>
      <c r="I3129" s="10">
        <v>45519</v>
      </c>
    </row>
    <row r="3130" spans="1:9" x14ac:dyDescent="0.15">
      <c r="A3130" s="9">
        <v>3129</v>
      </c>
      <c r="B3130" s="9" t="s">
        <v>9</v>
      </c>
      <c r="C3130" s="9">
        <v>1910</v>
      </c>
      <c r="D3130" s="10">
        <v>45602</v>
      </c>
      <c r="E3130" s="13" t="str">
        <f>+HYPERLINK("http://trademark.i-assist.jp/data/china/image_1910th/80384048.pdf","80384048")</f>
        <v>80384048</v>
      </c>
      <c r="F3130" s="9" t="s">
        <v>8514</v>
      </c>
      <c r="G3130" s="9" t="s">
        <v>8515</v>
      </c>
      <c r="H3130" s="9" t="s">
        <v>8516</v>
      </c>
      <c r="I3130" s="10">
        <v>45519</v>
      </c>
    </row>
    <row r="3131" spans="1:9" x14ac:dyDescent="0.15">
      <c r="A3131" s="9">
        <v>3130</v>
      </c>
      <c r="B3131" s="9" t="s">
        <v>9</v>
      </c>
      <c r="C3131" s="9">
        <v>1910</v>
      </c>
      <c r="D3131" s="10">
        <v>45602</v>
      </c>
      <c r="E3131" s="13" t="str">
        <f>+HYPERLINK("http://trademark.i-assist.jp/data/china/image_1910th/80384428.pdf","80384428")</f>
        <v>80384428</v>
      </c>
      <c r="F3131" s="9" t="s">
        <v>8517</v>
      </c>
      <c r="G3131" s="9" t="s">
        <v>8518</v>
      </c>
      <c r="H3131" s="11" t="s">
        <v>8519</v>
      </c>
      <c r="I3131" s="10">
        <v>45519</v>
      </c>
    </row>
    <row r="3132" spans="1:9" x14ac:dyDescent="0.15">
      <c r="A3132" s="9">
        <v>3131</v>
      </c>
      <c r="B3132" s="9" t="s">
        <v>9</v>
      </c>
      <c r="C3132" s="9">
        <v>1910</v>
      </c>
      <c r="D3132" s="10">
        <v>45602</v>
      </c>
      <c r="E3132" s="13" t="str">
        <f>+HYPERLINK("http://trademark.i-assist.jp/data/china/image_1910th/80384555.pdf","80384555")</f>
        <v>80384555</v>
      </c>
      <c r="F3132" s="9" t="s">
        <v>8520</v>
      </c>
      <c r="G3132" s="11" t="s">
        <v>8442</v>
      </c>
      <c r="H3132" s="9" t="s">
        <v>8521</v>
      </c>
      <c r="I3132" s="10">
        <v>45519</v>
      </c>
    </row>
    <row r="3133" spans="1:9" x14ac:dyDescent="0.15">
      <c r="A3133" s="9">
        <v>3132</v>
      </c>
      <c r="B3133" s="9" t="s">
        <v>9</v>
      </c>
      <c r="C3133" s="9">
        <v>1910</v>
      </c>
      <c r="D3133" s="10">
        <v>45602</v>
      </c>
      <c r="E3133" s="13" t="str">
        <f>+HYPERLINK("http://trademark.i-assist.jp/data/china/image_1910th/80384582.pdf","80384582")</f>
        <v>80384582</v>
      </c>
      <c r="F3133" s="9" t="s">
        <v>8522</v>
      </c>
      <c r="G3133" s="11" t="s">
        <v>8523</v>
      </c>
      <c r="H3133" s="9" t="s">
        <v>8524</v>
      </c>
      <c r="I3133" s="10">
        <v>45519</v>
      </c>
    </row>
    <row r="3134" spans="1:9" x14ac:dyDescent="0.15">
      <c r="A3134" s="9">
        <v>3133</v>
      </c>
      <c r="B3134" s="9" t="s">
        <v>9</v>
      </c>
      <c r="C3134" s="9">
        <v>1910</v>
      </c>
      <c r="D3134" s="10">
        <v>45602</v>
      </c>
      <c r="E3134" s="13" t="str">
        <f>+HYPERLINK("http://trademark.i-assist.jp/data/china/image_1910th/80384935.pdf","80384935")</f>
        <v>80384935</v>
      </c>
      <c r="F3134" s="11" t="s">
        <v>8525</v>
      </c>
      <c r="G3134" s="11" t="s">
        <v>8247</v>
      </c>
      <c r="H3134" s="11" t="s">
        <v>8526</v>
      </c>
      <c r="I3134" s="10">
        <v>45519</v>
      </c>
    </row>
    <row r="3135" spans="1:9" x14ac:dyDescent="0.15">
      <c r="A3135" s="9">
        <v>3134</v>
      </c>
      <c r="B3135" s="9" t="s">
        <v>9</v>
      </c>
      <c r="C3135" s="9">
        <v>1910</v>
      </c>
      <c r="D3135" s="10">
        <v>45602</v>
      </c>
      <c r="E3135" s="13" t="str">
        <f>+HYPERLINK("http://trademark.i-assist.jp/data/china/image_1910th/80385053.pdf","80385053")</f>
        <v>80385053</v>
      </c>
      <c r="F3135" s="9" t="s">
        <v>8527</v>
      </c>
      <c r="G3135" s="11" t="s">
        <v>8528</v>
      </c>
      <c r="H3135" s="9" t="s">
        <v>8529</v>
      </c>
      <c r="I3135" s="10">
        <v>45519</v>
      </c>
    </row>
    <row r="3136" spans="1:9" x14ac:dyDescent="0.15">
      <c r="A3136" s="9">
        <v>3135</v>
      </c>
      <c r="B3136" s="9" t="s">
        <v>9</v>
      </c>
      <c r="C3136" s="9">
        <v>1910</v>
      </c>
      <c r="D3136" s="10">
        <v>45602</v>
      </c>
      <c r="E3136" s="13" t="str">
        <f>+HYPERLINK("http://trademark.i-assist.jp/data/china/image_1910th/80385058.pdf","80385058")</f>
        <v>80385058</v>
      </c>
      <c r="F3136" s="9" t="s">
        <v>8530</v>
      </c>
      <c r="G3136" s="9" t="s">
        <v>8531</v>
      </c>
      <c r="H3136" s="9" t="s">
        <v>8532</v>
      </c>
      <c r="I3136" s="10">
        <v>45519</v>
      </c>
    </row>
    <row r="3137" spans="1:9" x14ac:dyDescent="0.15">
      <c r="A3137" s="9">
        <v>3136</v>
      </c>
      <c r="B3137" s="9" t="s">
        <v>9</v>
      </c>
      <c r="C3137" s="9">
        <v>1910</v>
      </c>
      <c r="D3137" s="10">
        <v>45602</v>
      </c>
      <c r="E3137" s="13" t="str">
        <f>+HYPERLINK("http://trademark.i-assist.jp/data/china/image_1910th/80385061.pdf","80385061")</f>
        <v>80385061</v>
      </c>
      <c r="F3137" s="9" t="s">
        <v>8533</v>
      </c>
      <c r="G3137" s="11" t="s">
        <v>8528</v>
      </c>
      <c r="H3137" s="9" t="s">
        <v>8534</v>
      </c>
      <c r="I3137" s="10">
        <v>45519</v>
      </c>
    </row>
    <row r="3138" spans="1:9" x14ac:dyDescent="0.15">
      <c r="A3138" s="9">
        <v>3137</v>
      </c>
      <c r="B3138" s="9" t="s">
        <v>9</v>
      </c>
      <c r="C3138" s="9">
        <v>1910</v>
      </c>
      <c r="D3138" s="10">
        <v>45602</v>
      </c>
      <c r="E3138" s="13" t="str">
        <f>+HYPERLINK("http://trademark.i-assist.jp/data/china/image_1910th/80385075.pdf","80385075")</f>
        <v>80385075</v>
      </c>
      <c r="F3138" s="9" t="s">
        <v>8535</v>
      </c>
      <c r="G3138" s="11" t="s">
        <v>8536</v>
      </c>
      <c r="H3138" s="9" t="s">
        <v>8537</v>
      </c>
      <c r="I3138" s="10">
        <v>45519</v>
      </c>
    </row>
    <row r="3139" spans="1:9" x14ac:dyDescent="0.15">
      <c r="A3139" s="9">
        <v>3138</v>
      </c>
      <c r="B3139" s="9" t="s">
        <v>9</v>
      </c>
      <c r="C3139" s="9">
        <v>1910</v>
      </c>
      <c r="D3139" s="10">
        <v>45602</v>
      </c>
      <c r="E3139" s="13" t="str">
        <f>+HYPERLINK("http://trademark.i-assist.jp/data/china/image_1910th/80385215.pdf","80385215")</f>
        <v>80385215</v>
      </c>
      <c r="F3139" s="9" t="s">
        <v>8538</v>
      </c>
      <c r="G3139" s="11" t="s">
        <v>4319</v>
      </c>
      <c r="H3139" s="9" t="s">
        <v>8539</v>
      </c>
      <c r="I3139" s="10">
        <v>45519</v>
      </c>
    </row>
    <row r="3140" spans="1:9" x14ac:dyDescent="0.15">
      <c r="A3140" s="9">
        <v>3139</v>
      </c>
      <c r="B3140" s="9" t="s">
        <v>9</v>
      </c>
      <c r="C3140" s="9">
        <v>1910</v>
      </c>
      <c r="D3140" s="10">
        <v>45602</v>
      </c>
      <c r="E3140" s="13" t="str">
        <f>+HYPERLINK("http://trademark.i-assist.jp/data/china/image_1910th/80385223.pdf","80385223")</f>
        <v>80385223</v>
      </c>
      <c r="F3140" s="11" t="s">
        <v>8540</v>
      </c>
      <c r="G3140" s="9" t="s">
        <v>8541</v>
      </c>
      <c r="H3140" s="9" t="s">
        <v>8542</v>
      </c>
      <c r="I3140" s="10">
        <v>45519</v>
      </c>
    </row>
    <row r="3141" spans="1:9" x14ac:dyDescent="0.15">
      <c r="A3141" s="9">
        <v>3140</v>
      </c>
      <c r="B3141" s="9" t="s">
        <v>9</v>
      </c>
      <c r="C3141" s="9">
        <v>1910</v>
      </c>
      <c r="D3141" s="10">
        <v>45602</v>
      </c>
      <c r="E3141" s="13" t="str">
        <f>+HYPERLINK("http://trademark.i-assist.jp/data/china/image_1910th/80385231.pdf","80385231")</f>
        <v>80385231</v>
      </c>
      <c r="F3141" s="9" t="s">
        <v>8543</v>
      </c>
      <c r="G3141" s="9" t="s">
        <v>8544</v>
      </c>
      <c r="H3141" s="9" t="s">
        <v>8545</v>
      </c>
      <c r="I3141" s="10">
        <v>45519</v>
      </c>
    </row>
    <row r="3142" spans="1:9" x14ac:dyDescent="0.15">
      <c r="A3142" s="9">
        <v>3141</v>
      </c>
      <c r="B3142" s="9" t="s">
        <v>9</v>
      </c>
      <c r="C3142" s="9">
        <v>1910</v>
      </c>
      <c r="D3142" s="10">
        <v>45602</v>
      </c>
      <c r="E3142" s="13" t="str">
        <f>+HYPERLINK("http://trademark.i-assist.jp/data/china/image_1910th/80385258.pdf","80385258")</f>
        <v>80385258</v>
      </c>
      <c r="F3142" s="9" t="s">
        <v>8546</v>
      </c>
      <c r="G3142" s="9" t="s">
        <v>8347</v>
      </c>
      <c r="H3142" s="11" t="s">
        <v>8547</v>
      </c>
      <c r="I3142" s="10">
        <v>45519</v>
      </c>
    </row>
    <row r="3143" spans="1:9" x14ac:dyDescent="0.15">
      <c r="A3143" s="9">
        <v>3142</v>
      </c>
      <c r="B3143" s="9" t="s">
        <v>9</v>
      </c>
      <c r="C3143" s="9">
        <v>1910</v>
      </c>
      <c r="D3143" s="10">
        <v>45602</v>
      </c>
      <c r="E3143" s="13" t="str">
        <f>+HYPERLINK("http://trademark.i-assist.jp/data/china/image_1910th/80385285.pdf","80385285")</f>
        <v>80385285</v>
      </c>
      <c r="F3143" s="11" t="s">
        <v>8548</v>
      </c>
      <c r="G3143" s="11" t="s">
        <v>8372</v>
      </c>
      <c r="H3143" s="9" t="s">
        <v>8549</v>
      </c>
      <c r="I3143" s="10">
        <v>45519</v>
      </c>
    </row>
    <row r="3144" spans="1:9" x14ac:dyDescent="0.15">
      <c r="A3144" s="9">
        <v>3143</v>
      </c>
      <c r="B3144" s="9" t="s">
        <v>9</v>
      </c>
      <c r="C3144" s="9">
        <v>1910</v>
      </c>
      <c r="D3144" s="10">
        <v>45602</v>
      </c>
      <c r="E3144" s="13" t="str">
        <f>+HYPERLINK("http://trademark.i-assist.jp/data/china/image_1910th/80385487.pdf","80385487")</f>
        <v>80385487</v>
      </c>
      <c r="F3144" s="9" t="s">
        <v>8550</v>
      </c>
      <c r="G3144" s="9" t="s">
        <v>8322</v>
      </c>
      <c r="H3144" s="9" t="s">
        <v>8551</v>
      </c>
      <c r="I3144" s="10">
        <v>45519</v>
      </c>
    </row>
    <row r="3145" spans="1:9" x14ac:dyDescent="0.15">
      <c r="A3145" s="9">
        <v>3144</v>
      </c>
      <c r="B3145" s="9" t="s">
        <v>9</v>
      </c>
      <c r="C3145" s="9">
        <v>1910</v>
      </c>
      <c r="D3145" s="10">
        <v>45602</v>
      </c>
      <c r="E3145" s="13" t="str">
        <f>+HYPERLINK("http://trademark.i-assist.jp/data/china/image_1910th/80385521.pdf","80385521")</f>
        <v>80385521</v>
      </c>
      <c r="F3145" s="9" t="s">
        <v>8552</v>
      </c>
      <c r="G3145" s="9" t="s">
        <v>8282</v>
      </c>
      <c r="H3145" s="9" t="s">
        <v>8553</v>
      </c>
      <c r="I3145" s="10">
        <v>45519</v>
      </c>
    </row>
    <row r="3146" spans="1:9" x14ac:dyDescent="0.15">
      <c r="A3146" s="9">
        <v>3145</v>
      </c>
      <c r="B3146" s="9" t="s">
        <v>9</v>
      </c>
      <c r="C3146" s="9">
        <v>1910</v>
      </c>
      <c r="D3146" s="10">
        <v>45602</v>
      </c>
      <c r="E3146" s="13" t="str">
        <f>+HYPERLINK("http://trademark.i-assist.jp/data/china/image_1910th/80385614.pdf","80385614")</f>
        <v>80385614</v>
      </c>
      <c r="F3146" s="9" t="s">
        <v>8554</v>
      </c>
      <c r="G3146" s="11" t="s">
        <v>8555</v>
      </c>
      <c r="H3146" s="9" t="s">
        <v>8556</v>
      </c>
      <c r="I3146" s="10">
        <v>45519</v>
      </c>
    </row>
    <row r="3147" spans="1:9" x14ac:dyDescent="0.15">
      <c r="A3147" s="9">
        <v>3146</v>
      </c>
      <c r="B3147" s="9" t="s">
        <v>9</v>
      </c>
      <c r="C3147" s="9">
        <v>1910</v>
      </c>
      <c r="D3147" s="10">
        <v>45602</v>
      </c>
      <c r="E3147" s="13" t="str">
        <f>+HYPERLINK("http://trademark.i-assist.jp/data/china/image_1910th/80385863.pdf","80385863")</f>
        <v>80385863</v>
      </c>
      <c r="F3147" s="9" t="s">
        <v>8557</v>
      </c>
      <c r="G3147" s="9" t="s">
        <v>8558</v>
      </c>
      <c r="H3147" s="9" t="s">
        <v>8559</v>
      </c>
      <c r="I3147" s="10">
        <v>45519</v>
      </c>
    </row>
    <row r="3148" spans="1:9" x14ac:dyDescent="0.15">
      <c r="A3148" s="9">
        <v>3147</v>
      </c>
      <c r="B3148" s="9" t="s">
        <v>9</v>
      </c>
      <c r="C3148" s="9">
        <v>1910</v>
      </c>
      <c r="D3148" s="10">
        <v>45602</v>
      </c>
      <c r="E3148" s="13" t="str">
        <f>+HYPERLINK("http://trademark.i-assist.jp/data/china/image_1910th/80386275.pdf","80386275")</f>
        <v>80386275</v>
      </c>
      <c r="F3148" s="11" t="s">
        <v>19</v>
      </c>
      <c r="G3148" s="9" t="s">
        <v>3172</v>
      </c>
      <c r="H3148" s="9" t="s">
        <v>8560</v>
      </c>
      <c r="I3148" s="10">
        <v>45519</v>
      </c>
    </row>
    <row r="3149" spans="1:9" x14ac:dyDescent="0.15">
      <c r="A3149" s="9">
        <v>3148</v>
      </c>
      <c r="B3149" s="9" t="s">
        <v>9</v>
      </c>
      <c r="C3149" s="9">
        <v>1910</v>
      </c>
      <c r="D3149" s="10">
        <v>45602</v>
      </c>
      <c r="E3149" s="13" t="str">
        <f>+HYPERLINK("http://trademark.i-assist.jp/data/china/image_1910th/80386362.pdf","80386362")</f>
        <v>80386362</v>
      </c>
      <c r="F3149" s="9" t="s">
        <v>8561</v>
      </c>
      <c r="G3149" s="9" t="s">
        <v>8562</v>
      </c>
      <c r="H3149" s="9" t="s">
        <v>8563</v>
      </c>
      <c r="I3149" s="10">
        <v>45519</v>
      </c>
    </row>
    <row r="3150" spans="1:9" x14ac:dyDescent="0.15">
      <c r="A3150" s="9">
        <v>3149</v>
      </c>
      <c r="B3150" s="9" t="s">
        <v>9</v>
      </c>
      <c r="C3150" s="9">
        <v>1910</v>
      </c>
      <c r="D3150" s="10">
        <v>45602</v>
      </c>
      <c r="E3150" s="13" t="str">
        <f>+HYPERLINK("http://trademark.i-assist.jp/data/china/image_1910th/80386726.pdf","80386726")</f>
        <v>80386726</v>
      </c>
      <c r="F3150" s="9" t="s">
        <v>8564</v>
      </c>
      <c r="G3150" s="11" t="s">
        <v>112</v>
      </c>
      <c r="H3150" s="9" t="s">
        <v>8565</v>
      </c>
      <c r="I3150" s="10">
        <v>45519</v>
      </c>
    </row>
    <row r="3151" spans="1:9" x14ac:dyDescent="0.15">
      <c r="A3151" s="9">
        <v>3150</v>
      </c>
      <c r="B3151" s="9" t="s">
        <v>9</v>
      </c>
      <c r="C3151" s="9">
        <v>1910</v>
      </c>
      <c r="D3151" s="10">
        <v>45602</v>
      </c>
      <c r="E3151" s="13" t="str">
        <f>+HYPERLINK("http://trademark.i-assist.jp/data/china/image_1910th/80386734.pdf","80386734")</f>
        <v>80386734</v>
      </c>
      <c r="F3151" s="9" t="s">
        <v>8566</v>
      </c>
      <c r="G3151" s="9" t="s">
        <v>8230</v>
      </c>
      <c r="H3151" s="9" t="s">
        <v>8567</v>
      </c>
      <c r="I3151" s="10">
        <v>45519</v>
      </c>
    </row>
    <row r="3152" spans="1:9" x14ac:dyDescent="0.15">
      <c r="A3152" s="9">
        <v>3151</v>
      </c>
      <c r="B3152" s="9" t="s">
        <v>9</v>
      </c>
      <c r="C3152" s="9">
        <v>1910</v>
      </c>
      <c r="D3152" s="10">
        <v>45602</v>
      </c>
      <c r="E3152" s="13" t="str">
        <f>+HYPERLINK("http://trademark.i-assist.jp/data/china/image_1910th/80386855.pdf","80386855")</f>
        <v>80386855</v>
      </c>
      <c r="F3152" s="9" t="s">
        <v>8568</v>
      </c>
      <c r="G3152" s="11" t="s">
        <v>6990</v>
      </c>
      <c r="H3152" s="9" t="s">
        <v>8569</v>
      </c>
      <c r="I3152" s="10">
        <v>45519</v>
      </c>
    </row>
    <row r="3153" spans="1:9" x14ac:dyDescent="0.15">
      <c r="A3153" s="9">
        <v>3152</v>
      </c>
      <c r="B3153" s="9" t="s">
        <v>9</v>
      </c>
      <c r="C3153" s="9">
        <v>1910</v>
      </c>
      <c r="D3153" s="10">
        <v>45602</v>
      </c>
      <c r="E3153" s="13" t="str">
        <f>+HYPERLINK("http://trademark.i-assist.jp/data/china/image_1910th/80386866.pdf","80386866")</f>
        <v>80386866</v>
      </c>
      <c r="F3153" s="9" t="s">
        <v>8570</v>
      </c>
      <c r="G3153" s="9" t="s">
        <v>8571</v>
      </c>
      <c r="H3153" s="11" t="s">
        <v>8572</v>
      </c>
      <c r="I3153" s="10">
        <v>45519</v>
      </c>
    </row>
    <row r="3154" spans="1:9" x14ac:dyDescent="0.15">
      <c r="A3154" s="9">
        <v>3153</v>
      </c>
      <c r="B3154" s="9" t="s">
        <v>9</v>
      </c>
      <c r="C3154" s="9">
        <v>1910</v>
      </c>
      <c r="D3154" s="10">
        <v>45602</v>
      </c>
      <c r="E3154" s="13" t="str">
        <f>+HYPERLINK("http://trademark.i-assist.jp/data/china/image_1910th/80387012.pdf","80387012")</f>
        <v>80387012</v>
      </c>
      <c r="F3154" s="9" t="s">
        <v>8573</v>
      </c>
      <c r="G3154" s="9" t="s">
        <v>8574</v>
      </c>
      <c r="H3154" s="9" t="s">
        <v>8575</v>
      </c>
      <c r="I3154" s="10">
        <v>45519</v>
      </c>
    </row>
    <row r="3155" spans="1:9" x14ac:dyDescent="0.15">
      <c r="A3155" s="9">
        <v>3154</v>
      </c>
      <c r="B3155" s="9" t="s">
        <v>9</v>
      </c>
      <c r="C3155" s="9">
        <v>1910</v>
      </c>
      <c r="D3155" s="10">
        <v>45602</v>
      </c>
      <c r="E3155" s="13" t="str">
        <f>+HYPERLINK("http://trademark.i-assist.jp/data/china/image_1910th/80387439.pdf","80387439")</f>
        <v>80387439</v>
      </c>
      <c r="F3155" s="11" t="s">
        <v>19</v>
      </c>
      <c r="G3155" s="9" t="s">
        <v>8277</v>
      </c>
      <c r="H3155" s="11" t="s">
        <v>8576</v>
      </c>
      <c r="I3155" s="10">
        <v>45519</v>
      </c>
    </row>
    <row r="3156" spans="1:9" x14ac:dyDescent="0.15">
      <c r="A3156" s="9">
        <v>3155</v>
      </c>
      <c r="B3156" s="9" t="s">
        <v>9</v>
      </c>
      <c r="C3156" s="9">
        <v>1910</v>
      </c>
      <c r="D3156" s="10">
        <v>45602</v>
      </c>
      <c r="E3156" s="13" t="str">
        <f>+HYPERLINK("http://trademark.i-assist.jp/data/china/image_1910th/80387441.pdf","80387441")</f>
        <v>80387441</v>
      </c>
      <c r="F3156" s="9" t="s">
        <v>8577</v>
      </c>
      <c r="G3156" s="11" t="s">
        <v>8578</v>
      </c>
      <c r="H3156" s="9" t="s">
        <v>8579</v>
      </c>
      <c r="I3156" s="10">
        <v>45519</v>
      </c>
    </row>
    <row r="3157" spans="1:9" x14ac:dyDescent="0.15">
      <c r="A3157" s="9">
        <v>3156</v>
      </c>
      <c r="B3157" s="9" t="s">
        <v>9</v>
      </c>
      <c r="C3157" s="9">
        <v>1910</v>
      </c>
      <c r="D3157" s="10">
        <v>45602</v>
      </c>
      <c r="E3157" s="13" t="str">
        <f>+HYPERLINK("http://trademark.i-assist.jp/data/china/image_1910th/80387473.pdf","80387473")</f>
        <v>80387473</v>
      </c>
      <c r="F3157" s="9" t="s">
        <v>8580</v>
      </c>
      <c r="G3157" s="9" t="s">
        <v>8518</v>
      </c>
      <c r="H3157" s="9" t="s">
        <v>8581</v>
      </c>
      <c r="I3157" s="10">
        <v>45519</v>
      </c>
    </row>
    <row r="3158" spans="1:9" x14ac:dyDescent="0.15">
      <c r="A3158" s="9">
        <v>3157</v>
      </c>
      <c r="B3158" s="9" t="s">
        <v>9</v>
      </c>
      <c r="C3158" s="9">
        <v>1910</v>
      </c>
      <c r="D3158" s="10">
        <v>45602</v>
      </c>
      <c r="E3158" s="13" t="str">
        <f>+HYPERLINK("http://trademark.i-assist.jp/data/china/image_1910th/80387637.pdf","80387637")</f>
        <v>80387637</v>
      </c>
      <c r="F3158" s="11" t="s">
        <v>8582</v>
      </c>
      <c r="G3158" s="9" t="s">
        <v>8583</v>
      </c>
      <c r="H3158" s="11" t="s">
        <v>8584</v>
      </c>
      <c r="I3158" s="10">
        <v>45519</v>
      </c>
    </row>
    <row r="3159" spans="1:9" x14ac:dyDescent="0.15">
      <c r="A3159" s="9">
        <v>3158</v>
      </c>
      <c r="B3159" s="9" t="s">
        <v>9</v>
      </c>
      <c r="C3159" s="9">
        <v>1910</v>
      </c>
      <c r="D3159" s="10">
        <v>45602</v>
      </c>
      <c r="E3159" s="13" t="str">
        <f>+HYPERLINK("http://trademark.i-assist.jp/data/china/image_1910th/80387866.pdf","80387866")</f>
        <v>80387866</v>
      </c>
      <c r="F3159" s="9" t="s">
        <v>8585</v>
      </c>
      <c r="G3159" s="11" t="s">
        <v>8442</v>
      </c>
      <c r="H3159" s="9" t="s">
        <v>8586</v>
      </c>
      <c r="I3159" s="10">
        <v>45519</v>
      </c>
    </row>
    <row r="3160" spans="1:9" x14ac:dyDescent="0.15">
      <c r="A3160" s="9">
        <v>3159</v>
      </c>
      <c r="B3160" s="9" t="s">
        <v>9</v>
      </c>
      <c r="C3160" s="9">
        <v>1910</v>
      </c>
      <c r="D3160" s="10">
        <v>45602</v>
      </c>
      <c r="E3160" s="13" t="str">
        <f>+HYPERLINK("http://trademark.i-assist.jp/data/china/image_1910th/80387872.pdf","80387872")</f>
        <v>80387872</v>
      </c>
      <c r="F3160" s="9" t="s">
        <v>8587</v>
      </c>
      <c r="G3160" s="11" t="s">
        <v>8442</v>
      </c>
      <c r="H3160" s="9" t="s">
        <v>8588</v>
      </c>
      <c r="I3160" s="10">
        <v>45519</v>
      </c>
    </row>
    <row r="3161" spans="1:9" x14ac:dyDescent="0.15">
      <c r="A3161" s="9">
        <v>3160</v>
      </c>
      <c r="B3161" s="9" t="s">
        <v>9</v>
      </c>
      <c r="C3161" s="9">
        <v>1910</v>
      </c>
      <c r="D3161" s="10">
        <v>45602</v>
      </c>
      <c r="E3161" s="13" t="str">
        <f>+HYPERLINK("http://trademark.i-assist.jp/data/china/image_1910th/80388121.pdf","80388121")</f>
        <v>80388121</v>
      </c>
      <c r="F3161" s="9" t="s">
        <v>8589</v>
      </c>
      <c r="G3161" s="9" t="s">
        <v>8590</v>
      </c>
      <c r="H3161" s="9" t="s">
        <v>8591</v>
      </c>
      <c r="I3161" s="10">
        <v>45519</v>
      </c>
    </row>
    <row r="3162" spans="1:9" x14ac:dyDescent="0.15">
      <c r="A3162" s="9">
        <v>3161</v>
      </c>
      <c r="B3162" s="9" t="s">
        <v>9</v>
      </c>
      <c r="C3162" s="9">
        <v>1910</v>
      </c>
      <c r="D3162" s="10">
        <v>45602</v>
      </c>
      <c r="E3162" s="13" t="str">
        <f>+HYPERLINK("http://trademark.i-assist.jp/data/china/image_1910th/80388498.pdf","80388498")</f>
        <v>80388498</v>
      </c>
      <c r="F3162" s="9" t="s">
        <v>8592</v>
      </c>
      <c r="G3162" s="9" t="s">
        <v>8593</v>
      </c>
      <c r="H3162" s="9" t="s">
        <v>8594</v>
      </c>
      <c r="I3162" s="10">
        <v>45519</v>
      </c>
    </row>
    <row r="3163" spans="1:9" x14ac:dyDescent="0.15">
      <c r="A3163" s="9">
        <v>3162</v>
      </c>
      <c r="B3163" s="9" t="s">
        <v>9</v>
      </c>
      <c r="C3163" s="9">
        <v>1910</v>
      </c>
      <c r="D3163" s="10">
        <v>45602</v>
      </c>
      <c r="E3163" s="13" t="str">
        <f>+HYPERLINK("http://trademark.i-assist.jp/data/china/image_1910th/80388545.pdf","80388545")</f>
        <v>80388545</v>
      </c>
      <c r="F3163" s="9" t="s">
        <v>8595</v>
      </c>
      <c r="G3163" s="9" t="s">
        <v>8596</v>
      </c>
      <c r="H3163" s="9" t="s">
        <v>8597</v>
      </c>
      <c r="I3163" s="10">
        <v>45519</v>
      </c>
    </row>
    <row r="3164" spans="1:9" x14ac:dyDescent="0.15">
      <c r="A3164" s="9">
        <v>3163</v>
      </c>
      <c r="B3164" s="9" t="s">
        <v>9</v>
      </c>
      <c r="C3164" s="9">
        <v>1910</v>
      </c>
      <c r="D3164" s="10">
        <v>45602</v>
      </c>
      <c r="E3164" s="13" t="str">
        <f>+HYPERLINK("http://trademark.i-assist.jp/data/china/image_1910th/80388727.pdf","80388727")</f>
        <v>80388727</v>
      </c>
      <c r="F3164" s="9" t="s">
        <v>8598</v>
      </c>
      <c r="G3164" s="9" t="s">
        <v>8599</v>
      </c>
      <c r="H3164" s="9" t="s">
        <v>8600</v>
      </c>
      <c r="I3164" s="10">
        <v>45519</v>
      </c>
    </row>
    <row r="3165" spans="1:9" x14ac:dyDescent="0.15">
      <c r="A3165" s="9">
        <v>3164</v>
      </c>
      <c r="B3165" s="9" t="s">
        <v>9</v>
      </c>
      <c r="C3165" s="9">
        <v>1910</v>
      </c>
      <c r="D3165" s="10">
        <v>45602</v>
      </c>
      <c r="E3165" s="13" t="str">
        <f>+HYPERLINK("http://trademark.i-assist.jp/data/china/image_1910th/80388773.pdf","80388773")</f>
        <v>80388773</v>
      </c>
      <c r="F3165" s="9" t="s">
        <v>8601</v>
      </c>
      <c r="G3165" s="9" t="s">
        <v>8602</v>
      </c>
      <c r="H3165" s="9" t="s">
        <v>8603</v>
      </c>
      <c r="I3165" s="10">
        <v>45519</v>
      </c>
    </row>
    <row r="3166" spans="1:9" x14ac:dyDescent="0.15">
      <c r="A3166" s="9">
        <v>3165</v>
      </c>
      <c r="B3166" s="9" t="s">
        <v>9</v>
      </c>
      <c r="C3166" s="9">
        <v>1910</v>
      </c>
      <c r="D3166" s="10">
        <v>45602</v>
      </c>
      <c r="E3166" s="13" t="str">
        <f>+HYPERLINK("http://trademark.i-assist.jp/data/china/image_1910th/80388794.pdf","80388794")</f>
        <v>80388794</v>
      </c>
      <c r="F3166" s="9" t="s">
        <v>8604</v>
      </c>
      <c r="G3166" s="9" t="s">
        <v>8605</v>
      </c>
      <c r="H3166" s="9" t="s">
        <v>8606</v>
      </c>
      <c r="I3166" s="10">
        <v>45519</v>
      </c>
    </row>
    <row r="3167" spans="1:9" x14ac:dyDescent="0.15">
      <c r="A3167" s="9">
        <v>3166</v>
      </c>
      <c r="B3167" s="9" t="s">
        <v>9</v>
      </c>
      <c r="C3167" s="9">
        <v>1910</v>
      </c>
      <c r="D3167" s="10">
        <v>45602</v>
      </c>
      <c r="E3167" s="13" t="str">
        <f>+HYPERLINK("http://trademark.i-assist.jp/data/china/image_1910th/80388863.pdf","80388863")</f>
        <v>80388863</v>
      </c>
      <c r="F3167" s="11" t="s">
        <v>8607</v>
      </c>
      <c r="G3167" s="9" t="s">
        <v>8608</v>
      </c>
      <c r="H3167" s="9" t="s">
        <v>8609</v>
      </c>
      <c r="I3167" s="10">
        <v>45519</v>
      </c>
    </row>
    <row r="3168" spans="1:9" x14ac:dyDescent="0.15">
      <c r="A3168" s="9">
        <v>3167</v>
      </c>
      <c r="B3168" s="9" t="s">
        <v>9</v>
      </c>
      <c r="C3168" s="9">
        <v>1910</v>
      </c>
      <c r="D3168" s="10">
        <v>45602</v>
      </c>
      <c r="E3168" s="13" t="str">
        <f>+HYPERLINK("http://trademark.i-assist.jp/data/china/image_1910th/80388916.pdf","80388916")</f>
        <v>80388916</v>
      </c>
      <c r="F3168" s="9" t="s">
        <v>8610</v>
      </c>
      <c r="G3168" s="9" t="s">
        <v>8611</v>
      </c>
      <c r="H3168" s="9" t="s">
        <v>8612</v>
      </c>
      <c r="I3168" s="10">
        <v>45519</v>
      </c>
    </row>
    <row r="3169" spans="1:9" x14ac:dyDescent="0.15">
      <c r="A3169" s="9">
        <v>3168</v>
      </c>
      <c r="B3169" s="9" t="s">
        <v>9</v>
      </c>
      <c r="C3169" s="9">
        <v>1910</v>
      </c>
      <c r="D3169" s="10">
        <v>45602</v>
      </c>
      <c r="E3169" s="13" t="str">
        <f>+HYPERLINK("http://trademark.i-assist.jp/data/china/image_1910th/80389158.pdf","80389158")</f>
        <v>80389158</v>
      </c>
      <c r="F3169" s="9" t="s">
        <v>8613</v>
      </c>
      <c r="G3169" s="9" t="s">
        <v>113</v>
      </c>
      <c r="H3169" s="9" t="s">
        <v>8614</v>
      </c>
      <c r="I3169" s="10">
        <v>45519</v>
      </c>
    </row>
    <row r="3170" spans="1:9" x14ac:dyDescent="0.15">
      <c r="A3170" s="9">
        <v>3169</v>
      </c>
      <c r="B3170" s="9" t="s">
        <v>9</v>
      </c>
      <c r="C3170" s="9">
        <v>1910</v>
      </c>
      <c r="D3170" s="10">
        <v>45602</v>
      </c>
      <c r="E3170" s="13" t="str">
        <f>+HYPERLINK("http://trademark.i-assist.jp/data/china/image_1910th/80389485.pdf","80389485")</f>
        <v>80389485</v>
      </c>
      <c r="F3170" s="11" t="s">
        <v>8615</v>
      </c>
      <c r="G3170" s="9" t="s">
        <v>8583</v>
      </c>
      <c r="H3170" s="9" t="s">
        <v>8616</v>
      </c>
      <c r="I3170" s="10">
        <v>45519</v>
      </c>
    </row>
    <row r="3171" spans="1:9" x14ac:dyDescent="0.15">
      <c r="A3171" s="9">
        <v>3170</v>
      </c>
      <c r="B3171" s="9" t="s">
        <v>9</v>
      </c>
      <c r="C3171" s="9">
        <v>1910</v>
      </c>
      <c r="D3171" s="10">
        <v>45602</v>
      </c>
      <c r="E3171" s="13" t="str">
        <f>+HYPERLINK("http://trademark.i-assist.jp/data/china/image_1910th/80389602.pdf","80389602")</f>
        <v>80389602</v>
      </c>
      <c r="F3171" s="9" t="s">
        <v>8617</v>
      </c>
      <c r="G3171" s="9" t="s">
        <v>8256</v>
      </c>
      <c r="H3171" s="9" t="s">
        <v>8618</v>
      </c>
      <c r="I3171" s="10">
        <v>45519</v>
      </c>
    </row>
    <row r="3172" spans="1:9" x14ac:dyDescent="0.15">
      <c r="A3172" s="9">
        <v>3171</v>
      </c>
      <c r="B3172" s="9" t="s">
        <v>9</v>
      </c>
      <c r="C3172" s="9">
        <v>1910</v>
      </c>
      <c r="D3172" s="10">
        <v>45602</v>
      </c>
      <c r="E3172" s="13" t="str">
        <f>+HYPERLINK("http://trademark.i-assist.jp/data/china/image_1910th/80389655.pdf","80389655")</f>
        <v>80389655</v>
      </c>
      <c r="F3172" s="9" t="s">
        <v>8619</v>
      </c>
      <c r="G3172" s="11" t="s">
        <v>8620</v>
      </c>
      <c r="H3172" s="9" t="s">
        <v>8621</v>
      </c>
      <c r="I3172" s="10">
        <v>45519</v>
      </c>
    </row>
    <row r="3173" spans="1:9" x14ac:dyDescent="0.15">
      <c r="A3173" s="9">
        <v>3172</v>
      </c>
      <c r="B3173" s="9" t="s">
        <v>9</v>
      </c>
      <c r="C3173" s="9">
        <v>1910</v>
      </c>
      <c r="D3173" s="10">
        <v>45602</v>
      </c>
      <c r="E3173" s="13" t="str">
        <f>+HYPERLINK("http://trademark.i-assist.jp/data/china/image_1910th/80389736.pdf","80389736")</f>
        <v>80389736</v>
      </c>
      <c r="F3173" s="9" t="s">
        <v>8622</v>
      </c>
      <c r="G3173" s="11" t="s">
        <v>8375</v>
      </c>
      <c r="H3173" s="9" t="s">
        <v>8623</v>
      </c>
      <c r="I3173" s="10">
        <v>45519</v>
      </c>
    </row>
    <row r="3174" spans="1:9" x14ac:dyDescent="0.15">
      <c r="A3174" s="9">
        <v>3173</v>
      </c>
      <c r="B3174" s="9" t="s">
        <v>9</v>
      </c>
      <c r="C3174" s="9">
        <v>1910</v>
      </c>
      <c r="D3174" s="10">
        <v>45602</v>
      </c>
      <c r="E3174" s="13" t="str">
        <f>+HYPERLINK("http://trademark.i-assist.jp/data/china/image_1910th/80389790.pdf","80389790")</f>
        <v>80389790</v>
      </c>
      <c r="F3174" s="9" t="s">
        <v>8624</v>
      </c>
      <c r="G3174" s="9" t="s">
        <v>8625</v>
      </c>
      <c r="H3174" s="9" t="s">
        <v>8626</v>
      </c>
      <c r="I3174" s="10">
        <v>45519</v>
      </c>
    </row>
    <row r="3175" spans="1:9" x14ac:dyDescent="0.15">
      <c r="A3175" s="9">
        <v>3174</v>
      </c>
      <c r="B3175" s="9" t="s">
        <v>9</v>
      </c>
      <c r="C3175" s="9">
        <v>1910</v>
      </c>
      <c r="D3175" s="10">
        <v>45602</v>
      </c>
      <c r="E3175" s="13" t="str">
        <f>+HYPERLINK("http://trademark.i-assist.jp/data/china/image_1910th/80389994.pdf","80389994")</f>
        <v>80389994</v>
      </c>
      <c r="F3175" s="9" t="s">
        <v>8627</v>
      </c>
      <c r="G3175" s="9" t="s">
        <v>2735</v>
      </c>
      <c r="H3175" s="9" t="s">
        <v>8628</v>
      </c>
      <c r="I3175" s="10">
        <v>45519</v>
      </c>
    </row>
    <row r="3176" spans="1:9" x14ac:dyDescent="0.15">
      <c r="A3176" s="9">
        <v>3175</v>
      </c>
      <c r="B3176" s="9" t="s">
        <v>9</v>
      </c>
      <c r="C3176" s="9">
        <v>1910</v>
      </c>
      <c r="D3176" s="10">
        <v>45602</v>
      </c>
      <c r="E3176" s="13" t="str">
        <f>+HYPERLINK("http://trademark.i-assist.jp/data/china/image_1910th/80390096.pdf","80390096")</f>
        <v>80390096</v>
      </c>
      <c r="F3176" s="9" t="s">
        <v>8629</v>
      </c>
      <c r="G3176" s="11" t="s">
        <v>8630</v>
      </c>
      <c r="H3176" s="9" t="s">
        <v>8631</v>
      </c>
      <c r="I3176" s="10">
        <v>45519</v>
      </c>
    </row>
    <row r="3177" spans="1:9" x14ac:dyDescent="0.15">
      <c r="A3177" s="9">
        <v>3176</v>
      </c>
      <c r="B3177" s="9" t="s">
        <v>9</v>
      </c>
      <c r="C3177" s="9">
        <v>1910</v>
      </c>
      <c r="D3177" s="10">
        <v>45602</v>
      </c>
      <c r="E3177" s="13" t="str">
        <f>+HYPERLINK("http://trademark.i-assist.jp/data/china/image_1910th/80390281.pdf","80390281")</f>
        <v>80390281</v>
      </c>
      <c r="F3177" s="11" t="s">
        <v>19</v>
      </c>
      <c r="G3177" s="9" t="s">
        <v>8632</v>
      </c>
      <c r="H3177" s="9" t="s">
        <v>8633</v>
      </c>
      <c r="I3177" s="10">
        <v>45519</v>
      </c>
    </row>
    <row r="3178" spans="1:9" x14ac:dyDescent="0.15">
      <c r="A3178" s="9">
        <v>3177</v>
      </c>
      <c r="B3178" s="9" t="s">
        <v>9</v>
      </c>
      <c r="C3178" s="9">
        <v>1910</v>
      </c>
      <c r="D3178" s="10">
        <v>45602</v>
      </c>
      <c r="E3178" s="13" t="str">
        <f>+HYPERLINK("http://trademark.i-assist.jp/data/china/image_1910th/80390324.pdf","80390324")</f>
        <v>80390324</v>
      </c>
      <c r="F3178" s="9" t="s">
        <v>8634</v>
      </c>
      <c r="G3178" s="9" t="s">
        <v>8230</v>
      </c>
      <c r="H3178" s="9" t="s">
        <v>8635</v>
      </c>
      <c r="I3178" s="10">
        <v>45519</v>
      </c>
    </row>
    <row r="3179" spans="1:9" x14ac:dyDescent="0.15">
      <c r="A3179" s="9">
        <v>3178</v>
      </c>
      <c r="B3179" s="9" t="s">
        <v>9</v>
      </c>
      <c r="C3179" s="9">
        <v>1910</v>
      </c>
      <c r="D3179" s="10">
        <v>45602</v>
      </c>
      <c r="E3179" s="13" t="str">
        <f>+HYPERLINK("http://trademark.i-assist.jp/data/china/image_1910th/80390762.pdf","80390762")</f>
        <v>80390762</v>
      </c>
      <c r="F3179" s="9" t="s">
        <v>8636</v>
      </c>
      <c r="G3179" s="9" t="s">
        <v>8637</v>
      </c>
      <c r="H3179" s="9" t="s">
        <v>8638</v>
      </c>
      <c r="I3179" s="10">
        <v>45519</v>
      </c>
    </row>
    <row r="3180" spans="1:9" x14ac:dyDescent="0.15">
      <c r="A3180" s="9">
        <v>3179</v>
      </c>
      <c r="B3180" s="9" t="s">
        <v>9</v>
      </c>
      <c r="C3180" s="9">
        <v>1910</v>
      </c>
      <c r="D3180" s="10">
        <v>45602</v>
      </c>
      <c r="E3180" s="13" t="str">
        <f>+HYPERLINK("http://trademark.i-assist.jp/data/china/image_1910th/80390790.pdf","80390790")</f>
        <v>80390790</v>
      </c>
      <c r="F3180" s="11" t="s">
        <v>8639</v>
      </c>
      <c r="G3180" s="9" t="s">
        <v>8640</v>
      </c>
      <c r="H3180" s="9" t="s">
        <v>8641</v>
      </c>
      <c r="I3180" s="10">
        <v>45519</v>
      </c>
    </row>
    <row r="3181" spans="1:9" x14ac:dyDescent="0.15">
      <c r="A3181" s="9">
        <v>3180</v>
      </c>
      <c r="B3181" s="9" t="s">
        <v>9</v>
      </c>
      <c r="C3181" s="9">
        <v>1910</v>
      </c>
      <c r="D3181" s="10">
        <v>45602</v>
      </c>
      <c r="E3181" s="13" t="str">
        <f>+HYPERLINK("http://trademark.i-assist.jp/data/china/image_1910th/80390868.pdf","80390868")</f>
        <v>80390868</v>
      </c>
      <c r="F3181" s="9" t="s">
        <v>8642</v>
      </c>
      <c r="G3181" s="9" t="s">
        <v>8605</v>
      </c>
      <c r="H3181" s="9" t="s">
        <v>8643</v>
      </c>
      <c r="I3181" s="10">
        <v>45519</v>
      </c>
    </row>
    <row r="3182" spans="1:9" x14ac:dyDescent="0.15">
      <c r="A3182" s="9">
        <v>3181</v>
      </c>
      <c r="B3182" s="9" t="s">
        <v>9</v>
      </c>
      <c r="C3182" s="9">
        <v>1910</v>
      </c>
      <c r="D3182" s="10">
        <v>45602</v>
      </c>
      <c r="E3182" s="13" t="str">
        <f>+HYPERLINK("http://trademark.i-assist.jp/data/china/image_1910th/80390919.pdf","80390919")</f>
        <v>80390919</v>
      </c>
      <c r="F3182" s="9" t="s">
        <v>8644</v>
      </c>
      <c r="G3182" s="9" t="s">
        <v>8645</v>
      </c>
      <c r="H3182" s="11" t="s">
        <v>8646</v>
      </c>
      <c r="I3182" s="10">
        <v>45519</v>
      </c>
    </row>
    <row r="3183" spans="1:9" x14ac:dyDescent="0.15">
      <c r="A3183" s="9">
        <v>3182</v>
      </c>
      <c r="B3183" s="9" t="s">
        <v>9</v>
      </c>
      <c r="C3183" s="9">
        <v>1910</v>
      </c>
      <c r="D3183" s="10">
        <v>45602</v>
      </c>
      <c r="E3183" s="13" t="str">
        <f>+HYPERLINK("http://trademark.i-assist.jp/data/china/image_1910th/80391230.pdf","80391230")</f>
        <v>80391230</v>
      </c>
      <c r="F3183" s="9" t="s">
        <v>8647</v>
      </c>
      <c r="G3183" s="9" t="s">
        <v>8454</v>
      </c>
      <c r="H3183" s="11" t="s">
        <v>8648</v>
      </c>
      <c r="I3183" s="10">
        <v>45519</v>
      </c>
    </row>
    <row r="3184" spans="1:9" x14ac:dyDescent="0.15">
      <c r="A3184" s="9">
        <v>3183</v>
      </c>
      <c r="B3184" s="9" t="s">
        <v>9</v>
      </c>
      <c r="C3184" s="9">
        <v>1910</v>
      </c>
      <c r="D3184" s="10">
        <v>45602</v>
      </c>
      <c r="E3184" s="13" t="str">
        <f>+HYPERLINK("http://trademark.i-assist.jp/data/china/image_1910th/80391305.pdf","80391305")</f>
        <v>80391305</v>
      </c>
      <c r="F3184" s="9" t="s">
        <v>8649</v>
      </c>
      <c r="G3184" s="9" t="s">
        <v>113</v>
      </c>
      <c r="H3184" s="9" t="s">
        <v>8650</v>
      </c>
      <c r="I3184" s="10">
        <v>45519</v>
      </c>
    </row>
    <row r="3185" spans="1:9" x14ac:dyDescent="0.15">
      <c r="A3185" s="9">
        <v>3184</v>
      </c>
      <c r="B3185" s="9" t="s">
        <v>9</v>
      </c>
      <c r="C3185" s="9">
        <v>1910</v>
      </c>
      <c r="D3185" s="10">
        <v>45602</v>
      </c>
      <c r="E3185" s="13" t="str">
        <f>+HYPERLINK("http://trademark.i-assist.jp/data/china/image_1910th/80391453.pdf","80391453")</f>
        <v>80391453</v>
      </c>
      <c r="F3185" s="9" t="s">
        <v>8651</v>
      </c>
      <c r="G3185" s="9" t="s">
        <v>8652</v>
      </c>
      <c r="H3185" s="9" t="s">
        <v>8653</v>
      </c>
      <c r="I3185" s="10">
        <v>45519</v>
      </c>
    </row>
    <row r="3186" spans="1:9" x14ac:dyDescent="0.15">
      <c r="A3186" s="9">
        <v>3185</v>
      </c>
      <c r="B3186" s="9" t="s">
        <v>9</v>
      </c>
      <c r="C3186" s="9">
        <v>1910</v>
      </c>
      <c r="D3186" s="10">
        <v>45602</v>
      </c>
      <c r="E3186" s="13" t="str">
        <f>+HYPERLINK("http://trademark.i-assist.jp/data/china/image_1910th/80391501.pdf","80391501")</f>
        <v>80391501</v>
      </c>
      <c r="F3186" s="11" t="s">
        <v>8654</v>
      </c>
      <c r="G3186" s="9" t="s">
        <v>8655</v>
      </c>
      <c r="H3186" s="9" t="s">
        <v>8656</v>
      </c>
      <c r="I3186" s="10">
        <v>45519</v>
      </c>
    </row>
    <row r="3187" spans="1:9" x14ac:dyDescent="0.15">
      <c r="A3187" s="9">
        <v>3186</v>
      </c>
      <c r="B3187" s="9" t="s">
        <v>9</v>
      </c>
      <c r="C3187" s="9">
        <v>1910</v>
      </c>
      <c r="D3187" s="10">
        <v>45602</v>
      </c>
      <c r="E3187" s="13" t="str">
        <f>+HYPERLINK("http://trademark.i-assist.jp/data/china/image_1910th/80391606.pdf","80391606")</f>
        <v>80391606</v>
      </c>
      <c r="F3187" s="9" t="s">
        <v>8657</v>
      </c>
      <c r="G3187" s="9" t="s">
        <v>8658</v>
      </c>
      <c r="H3187" s="9" t="s">
        <v>8659</v>
      </c>
      <c r="I3187" s="10">
        <v>45519</v>
      </c>
    </row>
    <row r="3188" spans="1:9" x14ac:dyDescent="0.15">
      <c r="A3188" s="9">
        <v>3187</v>
      </c>
      <c r="B3188" s="9" t="s">
        <v>9</v>
      </c>
      <c r="C3188" s="9">
        <v>1910</v>
      </c>
      <c r="D3188" s="10">
        <v>45602</v>
      </c>
      <c r="E3188" s="13" t="str">
        <f>+HYPERLINK("http://trademark.i-assist.jp/data/china/image_1910th/80391647.pdf","80391647")</f>
        <v>80391647</v>
      </c>
      <c r="F3188" s="9" t="s">
        <v>8660</v>
      </c>
      <c r="G3188" s="11" t="s">
        <v>8661</v>
      </c>
      <c r="H3188" s="9" t="s">
        <v>8662</v>
      </c>
      <c r="I3188" s="10">
        <v>45519</v>
      </c>
    </row>
    <row r="3189" spans="1:9" x14ac:dyDescent="0.15">
      <c r="A3189" s="9">
        <v>3188</v>
      </c>
      <c r="B3189" s="9" t="s">
        <v>9</v>
      </c>
      <c r="C3189" s="9">
        <v>1910</v>
      </c>
      <c r="D3189" s="10">
        <v>45602</v>
      </c>
      <c r="E3189" s="13" t="str">
        <f>+HYPERLINK("http://trademark.i-assist.jp/data/china/image_1910th/80391659.pdf","80391659")</f>
        <v>80391659</v>
      </c>
      <c r="F3189" s="11" t="s">
        <v>19</v>
      </c>
      <c r="G3189" s="11" t="s">
        <v>8663</v>
      </c>
      <c r="H3189" s="9" t="s">
        <v>8664</v>
      </c>
      <c r="I3189" s="10">
        <v>45519</v>
      </c>
    </row>
    <row r="3190" spans="1:9" x14ac:dyDescent="0.15">
      <c r="A3190" s="9">
        <v>3189</v>
      </c>
      <c r="B3190" s="9" t="s">
        <v>9</v>
      </c>
      <c r="C3190" s="9">
        <v>1910</v>
      </c>
      <c r="D3190" s="10">
        <v>45602</v>
      </c>
      <c r="E3190" s="13" t="str">
        <f>+HYPERLINK("http://trademark.i-assist.jp/data/china/image_1910th/80392038.pdf","80392038")</f>
        <v>80392038</v>
      </c>
      <c r="F3190" s="9" t="s">
        <v>8665</v>
      </c>
      <c r="G3190" s="9" t="s">
        <v>8666</v>
      </c>
      <c r="H3190" s="9" t="s">
        <v>8667</v>
      </c>
      <c r="I3190" s="10">
        <v>45519</v>
      </c>
    </row>
    <row r="3191" spans="1:9" x14ac:dyDescent="0.15">
      <c r="A3191" s="9">
        <v>3190</v>
      </c>
      <c r="B3191" s="9" t="s">
        <v>9</v>
      </c>
      <c r="C3191" s="9">
        <v>1910</v>
      </c>
      <c r="D3191" s="10">
        <v>45602</v>
      </c>
      <c r="E3191" s="13" t="str">
        <f>+HYPERLINK("http://trademark.i-assist.jp/data/china/image_1910th/80392044.pdf","80392044")</f>
        <v>80392044</v>
      </c>
      <c r="F3191" s="11" t="s">
        <v>8668</v>
      </c>
      <c r="G3191" s="11" t="s">
        <v>8669</v>
      </c>
      <c r="H3191" s="11" t="s">
        <v>8670</v>
      </c>
      <c r="I3191" s="10">
        <v>45519</v>
      </c>
    </row>
    <row r="3192" spans="1:9" x14ac:dyDescent="0.15">
      <c r="A3192" s="9">
        <v>3191</v>
      </c>
      <c r="B3192" s="9" t="s">
        <v>9</v>
      </c>
      <c r="C3192" s="9">
        <v>1910</v>
      </c>
      <c r="D3192" s="10">
        <v>45602</v>
      </c>
      <c r="E3192" s="13" t="str">
        <f>+HYPERLINK("http://trademark.i-assist.jp/data/china/image_1910th/80392106.pdf","80392106")</f>
        <v>80392106</v>
      </c>
      <c r="F3192" s="9" t="s">
        <v>8671</v>
      </c>
      <c r="G3192" s="9" t="s">
        <v>8672</v>
      </c>
      <c r="H3192" s="11" t="s">
        <v>8673</v>
      </c>
      <c r="I3192" s="10">
        <v>45519</v>
      </c>
    </row>
    <row r="3193" spans="1:9" x14ac:dyDescent="0.15">
      <c r="A3193" s="9">
        <v>3192</v>
      </c>
      <c r="B3193" s="9" t="s">
        <v>9</v>
      </c>
      <c r="C3193" s="9">
        <v>1910</v>
      </c>
      <c r="D3193" s="10">
        <v>45602</v>
      </c>
      <c r="E3193" s="13" t="str">
        <f>+HYPERLINK("http://trademark.i-assist.jp/data/china/image_1910th/80392488.pdf","80392488")</f>
        <v>80392488</v>
      </c>
      <c r="F3193" s="9" t="s">
        <v>8674</v>
      </c>
      <c r="G3193" s="9" t="s">
        <v>8675</v>
      </c>
      <c r="H3193" s="9" t="s">
        <v>8676</v>
      </c>
      <c r="I3193" s="10">
        <v>45519</v>
      </c>
    </row>
    <row r="3194" spans="1:9" x14ac:dyDescent="0.15">
      <c r="A3194" s="9">
        <v>3193</v>
      </c>
      <c r="B3194" s="9" t="s">
        <v>9</v>
      </c>
      <c r="C3194" s="9">
        <v>1910</v>
      </c>
      <c r="D3194" s="10">
        <v>45602</v>
      </c>
      <c r="E3194" s="13" t="str">
        <f>+HYPERLINK("http://trademark.i-assist.jp/data/china/image_1910th/80392537.pdf","80392537")</f>
        <v>80392537</v>
      </c>
      <c r="F3194" s="9" t="s">
        <v>8677</v>
      </c>
      <c r="G3194" s="11" t="s">
        <v>8408</v>
      </c>
      <c r="H3194" s="11" t="s">
        <v>8678</v>
      </c>
      <c r="I3194" s="10">
        <v>45519</v>
      </c>
    </row>
    <row r="3195" spans="1:9" x14ac:dyDescent="0.15">
      <c r="A3195" s="9">
        <v>3194</v>
      </c>
      <c r="B3195" s="9" t="s">
        <v>9</v>
      </c>
      <c r="C3195" s="9">
        <v>1910</v>
      </c>
      <c r="D3195" s="10">
        <v>45602</v>
      </c>
      <c r="E3195" s="13" t="str">
        <f>+HYPERLINK("http://trademark.i-assist.jp/data/china/image_1910th/80392603.pdf","80392603")</f>
        <v>80392603</v>
      </c>
      <c r="F3195" s="9" t="s">
        <v>8679</v>
      </c>
      <c r="G3195" s="9" t="s">
        <v>8256</v>
      </c>
      <c r="H3195" s="9" t="s">
        <v>8680</v>
      </c>
      <c r="I3195" s="10">
        <v>45519</v>
      </c>
    </row>
    <row r="3196" spans="1:9" x14ac:dyDescent="0.15">
      <c r="A3196" s="9">
        <v>3195</v>
      </c>
      <c r="B3196" s="9" t="s">
        <v>9</v>
      </c>
      <c r="C3196" s="9">
        <v>1910</v>
      </c>
      <c r="D3196" s="10">
        <v>45602</v>
      </c>
      <c r="E3196" s="13" t="str">
        <f>+HYPERLINK("http://trademark.i-assist.jp/data/china/image_1910th/80392744.pdf","80392744")</f>
        <v>80392744</v>
      </c>
      <c r="F3196" s="11" t="s">
        <v>8681</v>
      </c>
      <c r="G3196" s="9" t="s">
        <v>113</v>
      </c>
      <c r="H3196" s="9" t="s">
        <v>8682</v>
      </c>
      <c r="I3196" s="10">
        <v>45519</v>
      </c>
    </row>
    <row r="3197" spans="1:9" x14ac:dyDescent="0.15">
      <c r="A3197" s="9">
        <v>3196</v>
      </c>
      <c r="B3197" s="9" t="s">
        <v>9</v>
      </c>
      <c r="C3197" s="9">
        <v>1910</v>
      </c>
      <c r="D3197" s="10">
        <v>45602</v>
      </c>
      <c r="E3197" s="13" t="str">
        <f>+HYPERLINK("http://trademark.i-assist.jp/data/china/image_1910th/80393086.pdf","80393086")</f>
        <v>80393086</v>
      </c>
      <c r="F3197" s="11" t="s">
        <v>8683</v>
      </c>
      <c r="G3197" s="9" t="s">
        <v>8135</v>
      </c>
      <c r="H3197" s="9" t="s">
        <v>8684</v>
      </c>
      <c r="I3197" s="10">
        <v>45519</v>
      </c>
    </row>
    <row r="3198" spans="1:9" x14ac:dyDescent="0.15">
      <c r="A3198" s="9">
        <v>3197</v>
      </c>
      <c r="B3198" s="9" t="s">
        <v>9</v>
      </c>
      <c r="C3198" s="9">
        <v>1910</v>
      </c>
      <c r="D3198" s="10">
        <v>45602</v>
      </c>
      <c r="E3198" s="13" t="str">
        <f>+HYPERLINK("http://trademark.i-assist.jp/data/china/image_1910th/80393198.pdf","80393198")</f>
        <v>80393198</v>
      </c>
      <c r="F3198" s="9" t="s">
        <v>8685</v>
      </c>
      <c r="G3198" s="9" t="s">
        <v>8686</v>
      </c>
      <c r="H3198" s="9" t="s">
        <v>8687</v>
      </c>
      <c r="I3198" s="10">
        <v>45520</v>
      </c>
    </row>
    <row r="3199" spans="1:9" x14ac:dyDescent="0.15">
      <c r="A3199" s="9">
        <v>3198</v>
      </c>
      <c r="B3199" s="9" t="s">
        <v>9</v>
      </c>
      <c r="C3199" s="9">
        <v>1910</v>
      </c>
      <c r="D3199" s="10">
        <v>45602</v>
      </c>
      <c r="E3199" s="13" t="str">
        <f>+HYPERLINK("http://trademark.i-assist.jp/data/china/image_1910th/80393253.pdf","80393253")</f>
        <v>80393253</v>
      </c>
      <c r="F3199" s="9" t="s">
        <v>8688</v>
      </c>
      <c r="G3199" s="9" t="s">
        <v>8689</v>
      </c>
      <c r="H3199" s="9" t="s">
        <v>8690</v>
      </c>
      <c r="I3199" s="10">
        <v>45520</v>
      </c>
    </row>
    <row r="3200" spans="1:9" x14ac:dyDescent="0.15">
      <c r="A3200" s="9">
        <v>3199</v>
      </c>
      <c r="B3200" s="9" t="s">
        <v>9</v>
      </c>
      <c r="C3200" s="9">
        <v>1910</v>
      </c>
      <c r="D3200" s="10">
        <v>45602</v>
      </c>
      <c r="E3200" s="13" t="str">
        <f>+HYPERLINK("http://trademark.i-assist.jp/data/china/image_1910th/80393367.pdf","80393367")</f>
        <v>80393367</v>
      </c>
      <c r="F3200" s="9" t="s">
        <v>8691</v>
      </c>
      <c r="G3200" s="9" t="s">
        <v>8692</v>
      </c>
      <c r="H3200" s="9" t="s">
        <v>8693</v>
      </c>
      <c r="I3200" s="10">
        <v>45520</v>
      </c>
    </row>
    <row r="3201" spans="1:9" x14ac:dyDescent="0.15">
      <c r="A3201" s="9">
        <v>3200</v>
      </c>
      <c r="B3201" s="9" t="s">
        <v>9</v>
      </c>
      <c r="C3201" s="9">
        <v>1910</v>
      </c>
      <c r="D3201" s="10">
        <v>45602</v>
      </c>
      <c r="E3201" s="13" t="str">
        <f>+HYPERLINK("http://trademark.i-assist.jp/data/china/image_1910th/80394392.pdf","80394392")</f>
        <v>80394392</v>
      </c>
      <c r="F3201" s="9" t="s">
        <v>8694</v>
      </c>
      <c r="G3201" s="9" t="s">
        <v>8695</v>
      </c>
      <c r="H3201" s="9" t="s">
        <v>8696</v>
      </c>
      <c r="I3201" s="10">
        <v>45520</v>
      </c>
    </row>
    <row r="3202" spans="1:9" x14ac:dyDescent="0.15">
      <c r="A3202" s="9">
        <v>3201</v>
      </c>
      <c r="B3202" s="9" t="s">
        <v>9</v>
      </c>
      <c r="C3202" s="9">
        <v>1910</v>
      </c>
      <c r="D3202" s="10">
        <v>45602</v>
      </c>
      <c r="E3202" s="13" t="str">
        <f>+HYPERLINK("http://trademark.i-assist.jp/data/china/image_1910th/80394554.pdf","80394554")</f>
        <v>80394554</v>
      </c>
      <c r="F3202" s="9" t="s">
        <v>8697</v>
      </c>
      <c r="G3202" s="9" t="s">
        <v>8698</v>
      </c>
      <c r="H3202" s="9" t="s">
        <v>10</v>
      </c>
      <c r="I3202" s="10">
        <v>45520</v>
      </c>
    </row>
    <row r="3203" spans="1:9" x14ac:dyDescent="0.15">
      <c r="A3203" s="9">
        <v>3202</v>
      </c>
      <c r="B3203" s="9" t="s">
        <v>9</v>
      </c>
      <c r="C3203" s="9">
        <v>1910</v>
      </c>
      <c r="D3203" s="10">
        <v>45602</v>
      </c>
      <c r="E3203" s="13" t="str">
        <f>+HYPERLINK("http://trademark.i-assist.jp/data/china/image_1910th/80394623.pdf","80394623")</f>
        <v>80394623</v>
      </c>
      <c r="F3203" s="9" t="s">
        <v>8699</v>
      </c>
      <c r="G3203" s="9" t="s">
        <v>8700</v>
      </c>
      <c r="H3203" s="9" t="s">
        <v>8701</v>
      </c>
      <c r="I3203" s="10">
        <v>45520</v>
      </c>
    </row>
    <row r="3204" spans="1:9" x14ac:dyDescent="0.15">
      <c r="A3204" s="9">
        <v>3203</v>
      </c>
      <c r="B3204" s="9" t="s">
        <v>9</v>
      </c>
      <c r="C3204" s="9">
        <v>1910</v>
      </c>
      <c r="D3204" s="10">
        <v>45602</v>
      </c>
      <c r="E3204" s="13" t="str">
        <f>+HYPERLINK("http://trademark.i-assist.jp/data/china/image_1910th/80395262.pdf","80395262")</f>
        <v>80395262</v>
      </c>
      <c r="F3204" s="9" t="s">
        <v>8702</v>
      </c>
      <c r="G3204" s="9" t="s">
        <v>8703</v>
      </c>
      <c r="H3204" s="9" t="s">
        <v>8704</v>
      </c>
      <c r="I3204" s="10">
        <v>45520</v>
      </c>
    </row>
    <row r="3205" spans="1:9" x14ac:dyDescent="0.15">
      <c r="A3205" s="9">
        <v>3204</v>
      </c>
      <c r="B3205" s="9" t="s">
        <v>9</v>
      </c>
      <c r="C3205" s="9">
        <v>1910</v>
      </c>
      <c r="D3205" s="10">
        <v>45602</v>
      </c>
      <c r="E3205" s="13" t="str">
        <f>+HYPERLINK("http://trademark.i-assist.jp/data/china/image_1910th/80395273.pdf","80395273")</f>
        <v>80395273</v>
      </c>
      <c r="F3205" s="9" t="s">
        <v>8705</v>
      </c>
      <c r="G3205" s="9" t="s">
        <v>8706</v>
      </c>
      <c r="H3205" s="9" t="s">
        <v>8707</v>
      </c>
      <c r="I3205" s="10">
        <v>45520</v>
      </c>
    </row>
    <row r="3206" spans="1:9" x14ac:dyDescent="0.15">
      <c r="A3206" s="9">
        <v>3205</v>
      </c>
      <c r="B3206" s="9" t="s">
        <v>9</v>
      </c>
      <c r="C3206" s="9">
        <v>1910</v>
      </c>
      <c r="D3206" s="10">
        <v>45602</v>
      </c>
      <c r="E3206" s="13" t="str">
        <f>+HYPERLINK("http://trademark.i-assist.jp/data/china/image_1910th/80395732.pdf","80395732")</f>
        <v>80395732</v>
      </c>
      <c r="F3206" s="9" t="s">
        <v>8708</v>
      </c>
      <c r="G3206" s="11" t="s">
        <v>8709</v>
      </c>
      <c r="H3206" s="9" t="s">
        <v>8710</v>
      </c>
      <c r="I3206" s="10">
        <v>45520</v>
      </c>
    </row>
    <row r="3207" spans="1:9" x14ac:dyDescent="0.15">
      <c r="A3207" s="9">
        <v>3206</v>
      </c>
      <c r="B3207" s="9" t="s">
        <v>9</v>
      </c>
      <c r="C3207" s="9">
        <v>1910</v>
      </c>
      <c r="D3207" s="10">
        <v>45602</v>
      </c>
      <c r="E3207" s="13" t="str">
        <f>+HYPERLINK("http://trademark.i-assist.jp/data/china/image_1910th/80395914.pdf","80395914")</f>
        <v>80395914</v>
      </c>
      <c r="F3207" s="11" t="s">
        <v>19</v>
      </c>
      <c r="G3207" s="11" t="s">
        <v>8711</v>
      </c>
      <c r="H3207" s="9" t="s">
        <v>8712</v>
      </c>
      <c r="I3207" s="10">
        <v>45520</v>
      </c>
    </row>
    <row r="3208" spans="1:9" x14ac:dyDescent="0.15">
      <c r="A3208" s="9">
        <v>3207</v>
      </c>
      <c r="B3208" s="9" t="s">
        <v>9</v>
      </c>
      <c r="C3208" s="9">
        <v>1910</v>
      </c>
      <c r="D3208" s="10">
        <v>45602</v>
      </c>
      <c r="E3208" s="13" t="str">
        <f>+HYPERLINK("http://trademark.i-assist.jp/data/china/image_1910th/80395983.pdf","80395983")</f>
        <v>80395983</v>
      </c>
      <c r="F3208" s="9" t="s">
        <v>8713</v>
      </c>
      <c r="G3208" s="9" t="s">
        <v>8714</v>
      </c>
      <c r="H3208" s="9" t="s">
        <v>8715</v>
      </c>
      <c r="I3208" s="10">
        <v>45520</v>
      </c>
    </row>
    <row r="3209" spans="1:9" x14ac:dyDescent="0.15">
      <c r="A3209" s="9">
        <v>3208</v>
      </c>
      <c r="B3209" s="9" t="s">
        <v>9</v>
      </c>
      <c r="C3209" s="9">
        <v>1910</v>
      </c>
      <c r="D3209" s="10">
        <v>45602</v>
      </c>
      <c r="E3209" s="13" t="str">
        <f>+HYPERLINK("http://trademark.i-assist.jp/data/china/image_1910th/80396032.pdf","80396032")</f>
        <v>80396032</v>
      </c>
      <c r="F3209" s="9" t="s">
        <v>8716</v>
      </c>
      <c r="G3209" s="9" t="s">
        <v>8717</v>
      </c>
      <c r="H3209" s="9" t="s">
        <v>8718</v>
      </c>
      <c r="I3209" s="10">
        <v>45520</v>
      </c>
    </row>
    <row r="3210" spans="1:9" x14ac:dyDescent="0.15">
      <c r="A3210" s="9">
        <v>3209</v>
      </c>
      <c r="B3210" s="9" t="s">
        <v>9</v>
      </c>
      <c r="C3210" s="9">
        <v>1910</v>
      </c>
      <c r="D3210" s="10">
        <v>45602</v>
      </c>
      <c r="E3210" s="13" t="str">
        <f>+HYPERLINK("http://trademark.i-assist.jp/data/china/image_1910th/80396034.pdf","80396034")</f>
        <v>80396034</v>
      </c>
      <c r="F3210" s="9" t="s">
        <v>8719</v>
      </c>
      <c r="G3210" s="9" t="s">
        <v>8720</v>
      </c>
      <c r="H3210" s="9" t="s">
        <v>8721</v>
      </c>
      <c r="I3210" s="10">
        <v>45520</v>
      </c>
    </row>
    <row r="3211" spans="1:9" x14ac:dyDescent="0.15">
      <c r="A3211" s="9">
        <v>3210</v>
      </c>
      <c r="B3211" s="9" t="s">
        <v>9</v>
      </c>
      <c r="C3211" s="9">
        <v>1910</v>
      </c>
      <c r="D3211" s="10">
        <v>45602</v>
      </c>
      <c r="E3211" s="13" t="str">
        <f>+HYPERLINK("http://trademark.i-assist.jp/data/china/image_1910th/80396210.pdf","80396210")</f>
        <v>80396210</v>
      </c>
      <c r="F3211" s="11" t="s">
        <v>19</v>
      </c>
      <c r="G3211" s="9" t="s">
        <v>8722</v>
      </c>
      <c r="H3211" s="9" t="s">
        <v>8723</v>
      </c>
      <c r="I3211" s="10">
        <v>45520</v>
      </c>
    </row>
    <row r="3212" spans="1:9" x14ac:dyDescent="0.15">
      <c r="A3212" s="9">
        <v>3211</v>
      </c>
      <c r="B3212" s="9" t="s">
        <v>9</v>
      </c>
      <c r="C3212" s="9">
        <v>1910</v>
      </c>
      <c r="D3212" s="10">
        <v>45602</v>
      </c>
      <c r="E3212" s="13" t="str">
        <f>+HYPERLINK("http://trademark.i-assist.jp/data/china/image_1910th/80396284.pdf","80396284")</f>
        <v>80396284</v>
      </c>
      <c r="F3212" s="9" t="s">
        <v>8724</v>
      </c>
      <c r="G3212" s="9" t="s">
        <v>8725</v>
      </c>
      <c r="H3212" s="9" t="s">
        <v>8726</v>
      </c>
      <c r="I3212" s="10">
        <v>45520</v>
      </c>
    </row>
    <row r="3213" spans="1:9" x14ac:dyDescent="0.15">
      <c r="A3213" s="9">
        <v>3212</v>
      </c>
      <c r="B3213" s="9" t="s">
        <v>9</v>
      </c>
      <c r="C3213" s="9">
        <v>1910</v>
      </c>
      <c r="D3213" s="10">
        <v>45602</v>
      </c>
      <c r="E3213" s="13" t="str">
        <f>+HYPERLINK("http://trademark.i-assist.jp/data/china/image_1910th/80396322.pdf","80396322")</f>
        <v>80396322</v>
      </c>
      <c r="F3213" s="9" t="s">
        <v>60</v>
      </c>
      <c r="G3213" s="9" t="s">
        <v>61</v>
      </c>
      <c r="H3213" s="9" t="s">
        <v>8727</v>
      </c>
      <c r="I3213" s="10">
        <v>45520</v>
      </c>
    </row>
    <row r="3214" spans="1:9" x14ac:dyDescent="0.15">
      <c r="A3214" s="9">
        <v>3213</v>
      </c>
      <c r="B3214" s="9" t="s">
        <v>9</v>
      </c>
      <c r="C3214" s="9">
        <v>1910</v>
      </c>
      <c r="D3214" s="10">
        <v>45602</v>
      </c>
      <c r="E3214" s="13" t="str">
        <f>+HYPERLINK("http://trademark.i-assist.jp/data/china/image_1910th/80396551.pdf","80396551")</f>
        <v>80396551</v>
      </c>
      <c r="F3214" s="9" t="s">
        <v>8728</v>
      </c>
      <c r="G3214" s="9" t="s">
        <v>8729</v>
      </c>
      <c r="H3214" s="9" t="s">
        <v>8730</v>
      </c>
      <c r="I3214" s="10">
        <v>45520</v>
      </c>
    </row>
    <row r="3215" spans="1:9" x14ac:dyDescent="0.15">
      <c r="A3215" s="9">
        <v>3214</v>
      </c>
      <c r="B3215" s="9" t="s">
        <v>9</v>
      </c>
      <c r="C3215" s="9">
        <v>1910</v>
      </c>
      <c r="D3215" s="10">
        <v>45602</v>
      </c>
      <c r="E3215" s="13" t="str">
        <f>+HYPERLINK("http://trademark.i-assist.jp/data/china/image_1910th/80397113.pdf","80397113")</f>
        <v>80397113</v>
      </c>
      <c r="F3215" s="11" t="s">
        <v>19</v>
      </c>
      <c r="G3215" s="9" t="s">
        <v>8731</v>
      </c>
      <c r="H3215" s="9" t="s">
        <v>8732</v>
      </c>
      <c r="I3215" s="10">
        <v>45520</v>
      </c>
    </row>
    <row r="3216" spans="1:9" x14ac:dyDescent="0.15">
      <c r="A3216" s="9">
        <v>3215</v>
      </c>
      <c r="B3216" s="9" t="s">
        <v>9</v>
      </c>
      <c r="C3216" s="9">
        <v>1910</v>
      </c>
      <c r="D3216" s="10">
        <v>45602</v>
      </c>
      <c r="E3216" s="13" t="str">
        <f>+HYPERLINK("http://trademark.i-assist.jp/data/china/image_1910th/80397311.pdf","80397311")</f>
        <v>80397311</v>
      </c>
      <c r="F3216" s="9" t="s">
        <v>8733</v>
      </c>
      <c r="G3216" s="9" t="s">
        <v>8734</v>
      </c>
      <c r="H3216" s="9" t="s">
        <v>8735</v>
      </c>
      <c r="I3216" s="10">
        <v>45520</v>
      </c>
    </row>
    <row r="3217" spans="1:9" x14ac:dyDescent="0.15">
      <c r="A3217" s="9">
        <v>3216</v>
      </c>
      <c r="B3217" s="9" t="s">
        <v>9</v>
      </c>
      <c r="C3217" s="9">
        <v>1910</v>
      </c>
      <c r="D3217" s="10">
        <v>45602</v>
      </c>
      <c r="E3217" s="13" t="str">
        <f>+HYPERLINK("http://trademark.i-assist.jp/data/china/image_1910th/80397391.pdf","80397391")</f>
        <v>80397391</v>
      </c>
      <c r="F3217" s="9" t="s">
        <v>8736</v>
      </c>
      <c r="G3217" s="9" t="s">
        <v>8737</v>
      </c>
      <c r="H3217" s="9" t="s">
        <v>8738</v>
      </c>
      <c r="I3217" s="10">
        <v>45520</v>
      </c>
    </row>
    <row r="3218" spans="1:9" x14ac:dyDescent="0.15">
      <c r="A3218" s="9">
        <v>3217</v>
      </c>
      <c r="B3218" s="9" t="s">
        <v>9</v>
      </c>
      <c r="C3218" s="9">
        <v>1910</v>
      </c>
      <c r="D3218" s="10">
        <v>45602</v>
      </c>
      <c r="E3218" s="13" t="str">
        <f>+HYPERLINK("http://trademark.i-assist.jp/data/china/image_1910th/80398453.pdf","80398453")</f>
        <v>80398453</v>
      </c>
      <c r="F3218" s="9" t="s">
        <v>8739</v>
      </c>
      <c r="G3218" s="9" t="s">
        <v>8740</v>
      </c>
      <c r="H3218" s="9" t="s">
        <v>8741</v>
      </c>
      <c r="I3218" s="10">
        <v>45520</v>
      </c>
    </row>
    <row r="3219" spans="1:9" x14ac:dyDescent="0.15">
      <c r="A3219" s="9">
        <v>3218</v>
      </c>
      <c r="B3219" s="9" t="s">
        <v>9</v>
      </c>
      <c r="C3219" s="9">
        <v>1910</v>
      </c>
      <c r="D3219" s="10">
        <v>45602</v>
      </c>
      <c r="E3219" s="13" t="str">
        <f>+HYPERLINK("http://trademark.i-assist.jp/data/china/image_1910th/80399171.pdf","80399171")</f>
        <v>80399171</v>
      </c>
      <c r="F3219" s="9" t="s">
        <v>8742</v>
      </c>
      <c r="G3219" s="9" t="s">
        <v>8743</v>
      </c>
      <c r="H3219" s="9" t="s">
        <v>8744</v>
      </c>
      <c r="I3219" s="10">
        <v>45520</v>
      </c>
    </row>
    <row r="3220" spans="1:9" x14ac:dyDescent="0.15">
      <c r="A3220" s="9">
        <v>3219</v>
      </c>
      <c r="B3220" s="9" t="s">
        <v>9</v>
      </c>
      <c r="C3220" s="9">
        <v>1910</v>
      </c>
      <c r="D3220" s="10">
        <v>45602</v>
      </c>
      <c r="E3220" s="13" t="str">
        <f>+HYPERLINK("http://trademark.i-assist.jp/data/china/image_1910th/80400108.pdf","80400108")</f>
        <v>80400108</v>
      </c>
      <c r="F3220" s="9" t="s">
        <v>8745</v>
      </c>
      <c r="G3220" s="9" t="s">
        <v>8746</v>
      </c>
      <c r="H3220" s="9" t="s">
        <v>8747</v>
      </c>
      <c r="I3220" s="10">
        <v>45520</v>
      </c>
    </row>
    <row r="3221" spans="1:9" x14ac:dyDescent="0.15">
      <c r="A3221" s="9">
        <v>3220</v>
      </c>
      <c r="B3221" s="9" t="s">
        <v>9</v>
      </c>
      <c r="C3221" s="9">
        <v>1910</v>
      </c>
      <c r="D3221" s="10">
        <v>45602</v>
      </c>
      <c r="E3221" s="13" t="str">
        <f>+HYPERLINK("http://trademark.i-assist.jp/data/china/image_1910th/80400224.pdf","80400224")</f>
        <v>80400224</v>
      </c>
      <c r="F3221" s="9" t="s">
        <v>8748</v>
      </c>
      <c r="G3221" s="9" t="s">
        <v>8749</v>
      </c>
      <c r="H3221" s="9" t="s">
        <v>8750</v>
      </c>
      <c r="I3221" s="10">
        <v>45520</v>
      </c>
    </row>
    <row r="3222" spans="1:9" x14ac:dyDescent="0.15">
      <c r="A3222" s="9">
        <v>3221</v>
      </c>
      <c r="B3222" s="9" t="s">
        <v>9</v>
      </c>
      <c r="C3222" s="9">
        <v>1910</v>
      </c>
      <c r="D3222" s="10">
        <v>45602</v>
      </c>
      <c r="E3222" s="13" t="str">
        <f>+HYPERLINK("http://trademark.i-assist.jp/data/china/image_1910th/80400235.pdf","80400235")</f>
        <v>80400235</v>
      </c>
      <c r="F3222" s="9" t="s">
        <v>8751</v>
      </c>
      <c r="G3222" s="9" t="s">
        <v>8749</v>
      </c>
      <c r="H3222" s="11" t="s">
        <v>8752</v>
      </c>
      <c r="I3222" s="10">
        <v>45520</v>
      </c>
    </row>
    <row r="3223" spans="1:9" x14ac:dyDescent="0.15">
      <c r="A3223" s="9">
        <v>3222</v>
      </c>
      <c r="B3223" s="9" t="s">
        <v>9</v>
      </c>
      <c r="C3223" s="9">
        <v>1910</v>
      </c>
      <c r="D3223" s="10">
        <v>45602</v>
      </c>
      <c r="E3223" s="13" t="str">
        <f>+HYPERLINK("http://trademark.i-assist.jp/data/china/image_1910th/80400545.pdf","80400545")</f>
        <v>80400545</v>
      </c>
      <c r="F3223" s="9" t="s">
        <v>8753</v>
      </c>
      <c r="G3223" s="9" t="s">
        <v>118</v>
      </c>
      <c r="H3223" s="9" t="s">
        <v>8754</v>
      </c>
      <c r="I3223" s="10">
        <v>45520</v>
      </c>
    </row>
    <row r="3224" spans="1:9" x14ac:dyDescent="0.15">
      <c r="A3224" s="9">
        <v>3223</v>
      </c>
      <c r="B3224" s="9" t="s">
        <v>9</v>
      </c>
      <c r="C3224" s="9">
        <v>1910</v>
      </c>
      <c r="D3224" s="10">
        <v>45602</v>
      </c>
      <c r="E3224" s="13" t="str">
        <f>+HYPERLINK("http://trademark.i-assist.jp/data/china/image_1910th/80400660.pdf","80400660")</f>
        <v>80400660</v>
      </c>
      <c r="F3224" s="9" t="s">
        <v>8755</v>
      </c>
      <c r="G3224" s="9" t="s">
        <v>8756</v>
      </c>
      <c r="H3224" s="9" t="s">
        <v>8757</v>
      </c>
      <c r="I3224" s="10">
        <v>45520</v>
      </c>
    </row>
    <row r="3225" spans="1:9" x14ac:dyDescent="0.15">
      <c r="A3225" s="9">
        <v>3224</v>
      </c>
      <c r="B3225" s="9" t="s">
        <v>9</v>
      </c>
      <c r="C3225" s="9">
        <v>1910</v>
      </c>
      <c r="D3225" s="10">
        <v>45602</v>
      </c>
      <c r="E3225" s="13" t="str">
        <f>+HYPERLINK("http://trademark.i-assist.jp/data/china/image_1910th/80400693.pdf","80400693")</f>
        <v>80400693</v>
      </c>
      <c r="F3225" s="9" t="s">
        <v>8758</v>
      </c>
      <c r="G3225" s="9" t="s">
        <v>8759</v>
      </c>
      <c r="H3225" s="9" t="s">
        <v>8760</v>
      </c>
      <c r="I3225" s="10">
        <v>45520</v>
      </c>
    </row>
    <row r="3226" spans="1:9" x14ac:dyDescent="0.15">
      <c r="A3226" s="9">
        <v>3225</v>
      </c>
      <c r="B3226" s="9" t="s">
        <v>9</v>
      </c>
      <c r="C3226" s="9">
        <v>1910</v>
      </c>
      <c r="D3226" s="10">
        <v>45602</v>
      </c>
      <c r="E3226" s="13" t="str">
        <f>+HYPERLINK("http://trademark.i-assist.jp/data/china/image_1910th/80401065.pdf","80401065")</f>
        <v>80401065</v>
      </c>
      <c r="F3226" s="9" t="s">
        <v>8761</v>
      </c>
      <c r="G3226" s="9" t="s">
        <v>8762</v>
      </c>
      <c r="H3226" s="9" t="s">
        <v>8763</v>
      </c>
      <c r="I3226" s="10">
        <v>45520</v>
      </c>
    </row>
    <row r="3227" spans="1:9" x14ac:dyDescent="0.15">
      <c r="A3227" s="9">
        <v>3226</v>
      </c>
      <c r="B3227" s="9" t="s">
        <v>9</v>
      </c>
      <c r="C3227" s="9">
        <v>1910</v>
      </c>
      <c r="D3227" s="10">
        <v>45602</v>
      </c>
      <c r="E3227" s="13" t="str">
        <f>+HYPERLINK("http://trademark.i-assist.jp/data/china/image_1910th/80401291.pdf","80401291")</f>
        <v>80401291</v>
      </c>
      <c r="F3227" s="9" t="s">
        <v>8764</v>
      </c>
      <c r="G3227" s="11" t="s">
        <v>8765</v>
      </c>
      <c r="H3227" s="9" t="s">
        <v>8766</v>
      </c>
      <c r="I3227" s="10">
        <v>45520</v>
      </c>
    </row>
    <row r="3228" spans="1:9" x14ac:dyDescent="0.15">
      <c r="A3228" s="9">
        <v>3227</v>
      </c>
      <c r="B3228" s="9" t="s">
        <v>9</v>
      </c>
      <c r="C3228" s="9">
        <v>1910</v>
      </c>
      <c r="D3228" s="10">
        <v>45602</v>
      </c>
      <c r="E3228" s="13" t="str">
        <f>+HYPERLINK("http://trademark.i-assist.jp/data/china/image_1910th/80401462.pdf","80401462")</f>
        <v>80401462</v>
      </c>
      <c r="F3228" s="9" t="s">
        <v>8767</v>
      </c>
      <c r="G3228" s="9" t="s">
        <v>8768</v>
      </c>
      <c r="H3228" s="9" t="s">
        <v>8769</v>
      </c>
      <c r="I3228" s="10">
        <v>45520</v>
      </c>
    </row>
    <row r="3229" spans="1:9" x14ac:dyDescent="0.15">
      <c r="A3229" s="9">
        <v>3228</v>
      </c>
      <c r="B3229" s="9" t="s">
        <v>9</v>
      </c>
      <c r="C3229" s="9">
        <v>1910</v>
      </c>
      <c r="D3229" s="10">
        <v>45602</v>
      </c>
      <c r="E3229" s="13" t="str">
        <f>+HYPERLINK("http://trademark.i-assist.jp/data/china/image_1910th/80401752.pdf","80401752")</f>
        <v>80401752</v>
      </c>
      <c r="F3229" s="9" t="s">
        <v>8770</v>
      </c>
      <c r="G3229" s="11" t="s">
        <v>8711</v>
      </c>
      <c r="H3229" s="9" t="s">
        <v>8771</v>
      </c>
      <c r="I3229" s="10">
        <v>45520</v>
      </c>
    </row>
    <row r="3230" spans="1:9" x14ac:dyDescent="0.15">
      <c r="A3230" s="9">
        <v>3229</v>
      </c>
      <c r="B3230" s="9" t="s">
        <v>9</v>
      </c>
      <c r="C3230" s="9">
        <v>1910</v>
      </c>
      <c r="D3230" s="10">
        <v>45602</v>
      </c>
      <c r="E3230" s="13" t="str">
        <f>+HYPERLINK("http://trademark.i-assist.jp/data/china/image_1910th/80402044.pdf","80402044")</f>
        <v>80402044</v>
      </c>
      <c r="F3230" s="9" t="s">
        <v>8772</v>
      </c>
      <c r="G3230" s="11" t="s">
        <v>8773</v>
      </c>
      <c r="H3230" s="9" t="s">
        <v>8774</v>
      </c>
      <c r="I3230" s="10">
        <v>45520</v>
      </c>
    </row>
    <row r="3231" spans="1:9" x14ac:dyDescent="0.15">
      <c r="A3231" s="9">
        <v>3230</v>
      </c>
      <c r="B3231" s="9" t="s">
        <v>9</v>
      </c>
      <c r="C3231" s="9">
        <v>1910</v>
      </c>
      <c r="D3231" s="10">
        <v>45602</v>
      </c>
      <c r="E3231" s="13" t="str">
        <f>+HYPERLINK("http://trademark.i-assist.jp/data/china/image_1910th/80402137.pdf","80402137")</f>
        <v>80402137</v>
      </c>
      <c r="F3231" s="9" t="s">
        <v>8775</v>
      </c>
      <c r="G3231" s="9" t="s">
        <v>8776</v>
      </c>
      <c r="H3231" s="9" t="s">
        <v>8777</v>
      </c>
      <c r="I3231" s="10">
        <v>45520</v>
      </c>
    </row>
    <row r="3232" spans="1:9" x14ac:dyDescent="0.15">
      <c r="A3232" s="9">
        <v>3231</v>
      </c>
      <c r="B3232" s="9" t="s">
        <v>9</v>
      </c>
      <c r="C3232" s="9">
        <v>1910</v>
      </c>
      <c r="D3232" s="10">
        <v>45602</v>
      </c>
      <c r="E3232" s="13" t="str">
        <f>+HYPERLINK("http://trademark.i-assist.jp/data/china/image_1910th/80402291.pdf","80402291")</f>
        <v>80402291</v>
      </c>
      <c r="F3232" s="11" t="s">
        <v>8778</v>
      </c>
      <c r="G3232" s="9" t="s">
        <v>8779</v>
      </c>
      <c r="H3232" s="11" t="s">
        <v>8780</v>
      </c>
      <c r="I3232" s="10">
        <v>45520</v>
      </c>
    </row>
    <row r="3233" spans="1:9" x14ac:dyDescent="0.15">
      <c r="A3233" s="9">
        <v>3232</v>
      </c>
      <c r="B3233" s="9" t="s">
        <v>9</v>
      </c>
      <c r="C3233" s="9">
        <v>1910</v>
      </c>
      <c r="D3233" s="10">
        <v>45602</v>
      </c>
      <c r="E3233" s="13" t="str">
        <f>+HYPERLINK("http://trademark.i-assist.jp/data/china/image_1910th/80403333.pdf","80403333")</f>
        <v>80403333</v>
      </c>
      <c r="F3233" s="9" t="s">
        <v>8781</v>
      </c>
      <c r="G3233" s="9" t="s">
        <v>8782</v>
      </c>
      <c r="H3233" s="9" t="s">
        <v>8783</v>
      </c>
      <c r="I3233" s="10">
        <v>45520</v>
      </c>
    </row>
    <row r="3234" spans="1:9" x14ac:dyDescent="0.15">
      <c r="A3234" s="9">
        <v>3233</v>
      </c>
      <c r="B3234" s="9" t="s">
        <v>9</v>
      </c>
      <c r="C3234" s="9">
        <v>1910</v>
      </c>
      <c r="D3234" s="10">
        <v>45602</v>
      </c>
      <c r="E3234" s="13" t="str">
        <f>+HYPERLINK("http://trademark.i-assist.jp/data/china/image_1910th/80403881.pdf","80403881")</f>
        <v>80403881</v>
      </c>
      <c r="F3234" s="9" t="s">
        <v>8784</v>
      </c>
      <c r="G3234" s="9" t="s">
        <v>8785</v>
      </c>
      <c r="H3234" s="9" t="s">
        <v>8786</v>
      </c>
      <c r="I3234" s="10">
        <v>45520</v>
      </c>
    </row>
    <row r="3235" spans="1:9" x14ac:dyDescent="0.15">
      <c r="A3235" s="9">
        <v>3234</v>
      </c>
      <c r="B3235" s="9" t="s">
        <v>9</v>
      </c>
      <c r="C3235" s="9">
        <v>1910</v>
      </c>
      <c r="D3235" s="10">
        <v>45602</v>
      </c>
      <c r="E3235" s="13" t="str">
        <f>+HYPERLINK("http://trademark.i-assist.jp/data/china/image_1910th/80404007.pdf","80404007")</f>
        <v>80404007</v>
      </c>
      <c r="F3235" s="9" t="s">
        <v>8787</v>
      </c>
      <c r="G3235" s="9" t="s">
        <v>6216</v>
      </c>
      <c r="H3235" s="9" t="s">
        <v>8788</v>
      </c>
      <c r="I3235" s="10">
        <v>45520</v>
      </c>
    </row>
    <row r="3236" spans="1:9" x14ac:dyDescent="0.15">
      <c r="A3236" s="9">
        <v>3235</v>
      </c>
      <c r="B3236" s="9" t="s">
        <v>9</v>
      </c>
      <c r="C3236" s="9">
        <v>1910</v>
      </c>
      <c r="D3236" s="10">
        <v>45602</v>
      </c>
      <c r="E3236" s="13" t="str">
        <f>+HYPERLINK("http://trademark.i-assist.jp/data/china/image_1910th/80404511.pdf","80404511")</f>
        <v>80404511</v>
      </c>
      <c r="F3236" s="9" t="s">
        <v>8789</v>
      </c>
      <c r="G3236" s="9" t="s">
        <v>8790</v>
      </c>
      <c r="H3236" s="9" t="s">
        <v>8791</v>
      </c>
      <c r="I3236" s="10">
        <v>45520</v>
      </c>
    </row>
    <row r="3237" spans="1:9" x14ac:dyDescent="0.15">
      <c r="A3237" s="9">
        <v>3236</v>
      </c>
      <c r="B3237" s="9" t="s">
        <v>9</v>
      </c>
      <c r="C3237" s="9">
        <v>1910</v>
      </c>
      <c r="D3237" s="10">
        <v>45602</v>
      </c>
      <c r="E3237" s="13" t="str">
        <f>+HYPERLINK("http://trademark.i-assist.jp/data/china/image_1910th/80404546.pdf","80404546")</f>
        <v>80404546</v>
      </c>
      <c r="F3237" s="9" t="s">
        <v>8792</v>
      </c>
      <c r="G3237" s="9" t="s">
        <v>8793</v>
      </c>
      <c r="H3237" s="11" t="s">
        <v>8794</v>
      </c>
      <c r="I3237" s="10">
        <v>45520</v>
      </c>
    </row>
    <row r="3238" spans="1:9" x14ac:dyDescent="0.15">
      <c r="A3238" s="9">
        <v>3237</v>
      </c>
      <c r="B3238" s="9" t="s">
        <v>9</v>
      </c>
      <c r="C3238" s="9">
        <v>1910</v>
      </c>
      <c r="D3238" s="10">
        <v>45602</v>
      </c>
      <c r="E3238" s="13" t="str">
        <f>+HYPERLINK("http://trademark.i-assist.jp/data/china/image_1910th/80404803.pdf","80404803")</f>
        <v>80404803</v>
      </c>
      <c r="F3238" s="9" t="s">
        <v>8795</v>
      </c>
      <c r="G3238" s="9" t="s">
        <v>8796</v>
      </c>
      <c r="H3238" s="9" t="s">
        <v>8797</v>
      </c>
      <c r="I3238" s="10">
        <v>45520</v>
      </c>
    </row>
    <row r="3239" spans="1:9" x14ac:dyDescent="0.15">
      <c r="A3239" s="9">
        <v>3238</v>
      </c>
      <c r="B3239" s="9" t="s">
        <v>9</v>
      </c>
      <c r="C3239" s="9">
        <v>1910</v>
      </c>
      <c r="D3239" s="10">
        <v>45602</v>
      </c>
      <c r="E3239" s="13" t="str">
        <f>+HYPERLINK("http://trademark.i-assist.jp/data/china/image_1910th/80404980.pdf","80404980")</f>
        <v>80404980</v>
      </c>
      <c r="F3239" s="11" t="s">
        <v>8798</v>
      </c>
      <c r="G3239" s="9" t="s">
        <v>8799</v>
      </c>
      <c r="H3239" s="9" t="s">
        <v>8800</v>
      </c>
      <c r="I3239" s="10">
        <v>45520</v>
      </c>
    </row>
    <row r="3240" spans="1:9" x14ac:dyDescent="0.15">
      <c r="A3240" s="9">
        <v>3239</v>
      </c>
      <c r="B3240" s="9" t="s">
        <v>9</v>
      </c>
      <c r="C3240" s="9">
        <v>1910</v>
      </c>
      <c r="D3240" s="10">
        <v>45602</v>
      </c>
      <c r="E3240" s="13" t="str">
        <f>+HYPERLINK("http://trademark.i-assist.jp/data/china/image_1910th/80405310.pdf","80405310")</f>
        <v>80405310</v>
      </c>
      <c r="F3240" s="11" t="s">
        <v>8801</v>
      </c>
      <c r="G3240" s="9" t="s">
        <v>8802</v>
      </c>
      <c r="H3240" s="9" t="s">
        <v>8803</v>
      </c>
      <c r="I3240" s="10">
        <v>45520</v>
      </c>
    </row>
    <row r="3241" spans="1:9" x14ac:dyDescent="0.15">
      <c r="A3241" s="9">
        <v>3240</v>
      </c>
      <c r="B3241" s="9" t="s">
        <v>9</v>
      </c>
      <c r="C3241" s="9">
        <v>1910</v>
      </c>
      <c r="D3241" s="10">
        <v>45602</v>
      </c>
      <c r="E3241" s="13" t="str">
        <f>+HYPERLINK("http://trademark.i-assist.jp/data/china/image_1910th/80405358.pdf","80405358")</f>
        <v>80405358</v>
      </c>
      <c r="F3241" s="9" t="s">
        <v>8804</v>
      </c>
      <c r="G3241" s="9" t="s">
        <v>8805</v>
      </c>
      <c r="H3241" s="9" t="s">
        <v>8806</v>
      </c>
      <c r="I3241" s="10">
        <v>45520</v>
      </c>
    </row>
    <row r="3242" spans="1:9" x14ac:dyDescent="0.15">
      <c r="A3242" s="9">
        <v>3241</v>
      </c>
      <c r="B3242" s="9" t="s">
        <v>9</v>
      </c>
      <c r="C3242" s="9">
        <v>1910</v>
      </c>
      <c r="D3242" s="10">
        <v>45602</v>
      </c>
      <c r="E3242" s="13" t="str">
        <f>+HYPERLINK("http://trademark.i-assist.jp/data/china/image_1910th/80405407.pdf","80405407")</f>
        <v>80405407</v>
      </c>
      <c r="F3242" s="9" t="s">
        <v>8807</v>
      </c>
      <c r="G3242" s="9" t="s">
        <v>8808</v>
      </c>
      <c r="H3242" s="11" t="s">
        <v>8809</v>
      </c>
      <c r="I3242" s="10">
        <v>45520</v>
      </c>
    </row>
    <row r="3243" spans="1:9" x14ac:dyDescent="0.15">
      <c r="A3243" s="9">
        <v>3242</v>
      </c>
      <c r="B3243" s="9" t="s">
        <v>9</v>
      </c>
      <c r="C3243" s="9">
        <v>1910</v>
      </c>
      <c r="D3243" s="10">
        <v>45602</v>
      </c>
      <c r="E3243" s="13" t="str">
        <f>+HYPERLINK("http://trademark.i-assist.jp/data/china/image_1910th/80405450.pdf","80405450")</f>
        <v>80405450</v>
      </c>
      <c r="F3243" s="9" t="s">
        <v>8810</v>
      </c>
      <c r="G3243" s="9" t="s">
        <v>8811</v>
      </c>
      <c r="H3243" s="9" t="s">
        <v>8812</v>
      </c>
      <c r="I3243" s="10">
        <v>45520</v>
      </c>
    </row>
    <row r="3244" spans="1:9" x14ac:dyDescent="0.15">
      <c r="A3244" s="9">
        <v>3243</v>
      </c>
      <c r="B3244" s="9" t="s">
        <v>9</v>
      </c>
      <c r="C3244" s="9">
        <v>1910</v>
      </c>
      <c r="D3244" s="10">
        <v>45602</v>
      </c>
      <c r="E3244" s="13" t="str">
        <f>+HYPERLINK("http://trademark.i-assist.jp/data/china/image_1910th/80406200.pdf","80406200")</f>
        <v>80406200</v>
      </c>
      <c r="F3244" s="9" t="s">
        <v>8813</v>
      </c>
      <c r="G3244" s="11" t="s">
        <v>8814</v>
      </c>
      <c r="H3244" s="9" t="s">
        <v>8815</v>
      </c>
      <c r="I3244" s="10">
        <v>45520</v>
      </c>
    </row>
    <row r="3245" spans="1:9" x14ac:dyDescent="0.15">
      <c r="A3245" s="9">
        <v>3244</v>
      </c>
      <c r="B3245" s="9" t="s">
        <v>9</v>
      </c>
      <c r="C3245" s="9">
        <v>1910</v>
      </c>
      <c r="D3245" s="10">
        <v>45602</v>
      </c>
      <c r="E3245" s="13" t="str">
        <f>+HYPERLINK("http://trademark.i-assist.jp/data/china/image_1910th/80406747.pdf","80406747")</f>
        <v>80406747</v>
      </c>
      <c r="F3245" s="9" t="s">
        <v>8816</v>
      </c>
      <c r="G3245" s="9" t="s">
        <v>8817</v>
      </c>
      <c r="H3245" s="9" t="s">
        <v>8818</v>
      </c>
      <c r="I3245" s="10">
        <v>45520</v>
      </c>
    </row>
    <row r="3246" spans="1:9" x14ac:dyDescent="0.15">
      <c r="A3246" s="9">
        <v>3245</v>
      </c>
      <c r="B3246" s="9" t="s">
        <v>9</v>
      </c>
      <c r="C3246" s="9">
        <v>1910</v>
      </c>
      <c r="D3246" s="10">
        <v>45602</v>
      </c>
      <c r="E3246" s="13" t="str">
        <f>+HYPERLINK("http://trademark.i-assist.jp/data/china/image_1910th/80407173.pdf","80407173")</f>
        <v>80407173</v>
      </c>
      <c r="F3246" s="9" t="s">
        <v>8819</v>
      </c>
      <c r="G3246" s="9" t="s">
        <v>8820</v>
      </c>
      <c r="H3246" s="9" t="s">
        <v>8821</v>
      </c>
      <c r="I3246" s="10">
        <v>45520</v>
      </c>
    </row>
    <row r="3247" spans="1:9" x14ac:dyDescent="0.15">
      <c r="A3247" s="9">
        <v>3246</v>
      </c>
      <c r="B3247" s="9" t="s">
        <v>9</v>
      </c>
      <c r="C3247" s="9">
        <v>1910</v>
      </c>
      <c r="D3247" s="10">
        <v>45602</v>
      </c>
      <c r="E3247" s="13" t="str">
        <f>+HYPERLINK("http://trademark.i-assist.jp/data/china/image_1910th/80407642.pdf","80407642")</f>
        <v>80407642</v>
      </c>
      <c r="F3247" s="9" t="s">
        <v>8822</v>
      </c>
      <c r="G3247" s="11" t="s">
        <v>8814</v>
      </c>
      <c r="H3247" s="9" t="s">
        <v>8823</v>
      </c>
      <c r="I3247" s="10">
        <v>45520</v>
      </c>
    </row>
    <row r="3248" spans="1:9" x14ac:dyDescent="0.15">
      <c r="A3248" s="9">
        <v>3247</v>
      </c>
      <c r="B3248" s="9" t="s">
        <v>9</v>
      </c>
      <c r="C3248" s="9">
        <v>1910</v>
      </c>
      <c r="D3248" s="10">
        <v>45602</v>
      </c>
      <c r="E3248" s="13" t="str">
        <f>+HYPERLINK("http://trademark.i-assist.jp/data/china/image_1910th/80407776.pdf","80407776")</f>
        <v>80407776</v>
      </c>
      <c r="F3248" s="9" t="s">
        <v>8824</v>
      </c>
      <c r="G3248" s="9" t="s">
        <v>8825</v>
      </c>
      <c r="H3248" s="9" t="s">
        <v>8826</v>
      </c>
      <c r="I3248" s="10">
        <v>45520</v>
      </c>
    </row>
    <row r="3249" spans="1:9" x14ac:dyDescent="0.15">
      <c r="A3249" s="9">
        <v>3248</v>
      </c>
      <c r="B3249" s="9" t="s">
        <v>9</v>
      </c>
      <c r="C3249" s="9">
        <v>1910</v>
      </c>
      <c r="D3249" s="10">
        <v>45602</v>
      </c>
      <c r="E3249" s="13" t="str">
        <f>+HYPERLINK("http://trademark.i-assist.jp/data/china/image_1910th/80408117.pdf","80408117")</f>
        <v>80408117</v>
      </c>
      <c r="F3249" s="9" t="s">
        <v>8827</v>
      </c>
      <c r="G3249" s="9" t="s">
        <v>15</v>
      </c>
      <c r="H3249" s="11" t="s">
        <v>8828</v>
      </c>
      <c r="I3249" s="10">
        <v>45520</v>
      </c>
    </row>
    <row r="3250" spans="1:9" x14ac:dyDescent="0.15">
      <c r="A3250" s="9">
        <v>3249</v>
      </c>
      <c r="B3250" s="9" t="s">
        <v>9</v>
      </c>
      <c r="C3250" s="9">
        <v>1910</v>
      </c>
      <c r="D3250" s="10">
        <v>45602</v>
      </c>
      <c r="E3250" s="13" t="str">
        <f>+HYPERLINK("http://trademark.i-assist.jp/data/china/image_1910th/80408121.pdf","80408121")</f>
        <v>80408121</v>
      </c>
      <c r="F3250" s="9" t="s">
        <v>8829</v>
      </c>
      <c r="G3250" s="9" t="s">
        <v>15</v>
      </c>
      <c r="H3250" s="9" t="s">
        <v>8830</v>
      </c>
      <c r="I3250" s="10">
        <v>45520</v>
      </c>
    </row>
    <row r="3251" spans="1:9" x14ac:dyDescent="0.15">
      <c r="A3251" s="9">
        <v>3250</v>
      </c>
      <c r="B3251" s="9" t="s">
        <v>9</v>
      </c>
      <c r="C3251" s="9">
        <v>1910</v>
      </c>
      <c r="D3251" s="10">
        <v>45602</v>
      </c>
      <c r="E3251" s="13" t="str">
        <f>+HYPERLINK("http://trademark.i-assist.jp/data/china/image_1910th/80408392.pdf","80408392")</f>
        <v>80408392</v>
      </c>
      <c r="F3251" s="11" t="s">
        <v>19</v>
      </c>
      <c r="G3251" s="9" t="s">
        <v>8831</v>
      </c>
      <c r="H3251" s="9" t="s">
        <v>8832</v>
      </c>
      <c r="I3251" s="10">
        <v>45520</v>
      </c>
    </row>
    <row r="3252" spans="1:9" x14ac:dyDescent="0.15">
      <c r="A3252" s="9">
        <v>3251</v>
      </c>
      <c r="B3252" s="9" t="s">
        <v>9</v>
      </c>
      <c r="C3252" s="9">
        <v>1910</v>
      </c>
      <c r="D3252" s="10">
        <v>45602</v>
      </c>
      <c r="E3252" s="13" t="str">
        <f>+HYPERLINK("http://trademark.i-assist.jp/data/china/image_1910th/80409061.pdf","80409061")</f>
        <v>80409061</v>
      </c>
      <c r="F3252" s="11" t="s">
        <v>8833</v>
      </c>
      <c r="G3252" s="9" t="s">
        <v>4820</v>
      </c>
      <c r="H3252" s="9" t="s">
        <v>8834</v>
      </c>
      <c r="I3252" s="10">
        <v>45520</v>
      </c>
    </row>
    <row r="3253" spans="1:9" x14ac:dyDescent="0.15">
      <c r="A3253" s="9">
        <v>3252</v>
      </c>
      <c r="B3253" s="9" t="s">
        <v>9</v>
      </c>
      <c r="C3253" s="9">
        <v>1910</v>
      </c>
      <c r="D3253" s="10">
        <v>45602</v>
      </c>
      <c r="E3253" s="13" t="str">
        <f>+HYPERLINK("http://trademark.i-assist.jp/data/china/image_1910th/80409625.pdf","80409625")</f>
        <v>80409625</v>
      </c>
      <c r="F3253" s="9" t="s">
        <v>8835</v>
      </c>
      <c r="G3253" s="11" t="s">
        <v>8426</v>
      </c>
      <c r="H3253" s="11" t="s">
        <v>8836</v>
      </c>
      <c r="I3253" s="10">
        <v>45520</v>
      </c>
    </row>
    <row r="3254" spans="1:9" x14ac:dyDescent="0.15">
      <c r="A3254" s="9">
        <v>3253</v>
      </c>
      <c r="B3254" s="9" t="s">
        <v>9</v>
      </c>
      <c r="C3254" s="9">
        <v>1910</v>
      </c>
      <c r="D3254" s="10">
        <v>45602</v>
      </c>
      <c r="E3254" s="13" t="str">
        <f>+HYPERLINK("http://trademark.i-assist.jp/data/china/image_1910th/80409743.pdf","80409743")</f>
        <v>80409743</v>
      </c>
      <c r="F3254" s="9" t="s">
        <v>8837</v>
      </c>
      <c r="G3254" s="9" t="s">
        <v>8838</v>
      </c>
      <c r="H3254" s="11" t="s">
        <v>8839</v>
      </c>
      <c r="I3254" s="10">
        <v>45520</v>
      </c>
    </row>
    <row r="3255" spans="1:9" x14ac:dyDescent="0.15">
      <c r="A3255" s="9">
        <v>3254</v>
      </c>
      <c r="B3255" s="9" t="s">
        <v>9</v>
      </c>
      <c r="C3255" s="9">
        <v>1910</v>
      </c>
      <c r="D3255" s="10">
        <v>45602</v>
      </c>
      <c r="E3255" s="13" t="str">
        <f>+HYPERLINK("http://trademark.i-assist.jp/data/china/image_1910th/80410143.pdf","80410143")</f>
        <v>80410143</v>
      </c>
      <c r="F3255" s="9" t="s">
        <v>8840</v>
      </c>
      <c r="G3255" s="11" t="s">
        <v>8841</v>
      </c>
      <c r="H3255" s="9" t="s">
        <v>8842</v>
      </c>
      <c r="I3255" s="10">
        <v>45520</v>
      </c>
    </row>
    <row r="3256" spans="1:9" x14ac:dyDescent="0.15">
      <c r="A3256" s="9">
        <v>3255</v>
      </c>
      <c r="B3256" s="9" t="s">
        <v>9</v>
      </c>
      <c r="C3256" s="9">
        <v>1910</v>
      </c>
      <c r="D3256" s="10">
        <v>45602</v>
      </c>
      <c r="E3256" s="13" t="str">
        <f>+HYPERLINK("http://trademark.i-assist.jp/data/china/image_1910th/80410197.pdf","80410197")</f>
        <v>80410197</v>
      </c>
      <c r="F3256" s="11" t="s">
        <v>19</v>
      </c>
      <c r="G3256" s="9" t="s">
        <v>8843</v>
      </c>
      <c r="H3256" s="11" t="s">
        <v>8844</v>
      </c>
      <c r="I3256" s="10">
        <v>45520</v>
      </c>
    </row>
    <row r="3257" spans="1:9" x14ac:dyDescent="0.15">
      <c r="A3257" s="9">
        <v>3256</v>
      </c>
      <c r="B3257" s="9" t="s">
        <v>9</v>
      </c>
      <c r="C3257" s="9">
        <v>1910</v>
      </c>
      <c r="D3257" s="10">
        <v>45602</v>
      </c>
      <c r="E3257" s="13" t="str">
        <f>+HYPERLINK("http://trademark.i-assist.jp/data/china/image_1910th/80410422.pdf","80410422")</f>
        <v>80410422</v>
      </c>
      <c r="F3257" s="11" t="s">
        <v>8845</v>
      </c>
      <c r="G3257" s="9" t="s">
        <v>8729</v>
      </c>
      <c r="H3257" s="11" t="s">
        <v>8846</v>
      </c>
      <c r="I3257" s="10">
        <v>45520</v>
      </c>
    </row>
    <row r="3258" spans="1:9" x14ac:dyDescent="0.15">
      <c r="A3258" s="9">
        <v>3257</v>
      </c>
      <c r="B3258" s="9" t="s">
        <v>9</v>
      </c>
      <c r="C3258" s="9">
        <v>1910</v>
      </c>
      <c r="D3258" s="10">
        <v>45602</v>
      </c>
      <c r="E3258" s="13" t="str">
        <f>+HYPERLINK("http://trademark.i-assist.jp/data/china/image_1910th/80410954.pdf","80410954")</f>
        <v>80410954</v>
      </c>
      <c r="F3258" s="11" t="s">
        <v>8847</v>
      </c>
      <c r="G3258" s="9" t="s">
        <v>133</v>
      </c>
      <c r="H3258" s="9" t="s">
        <v>8848</v>
      </c>
      <c r="I3258" s="10">
        <v>45520</v>
      </c>
    </row>
    <row r="3259" spans="1:9" x14ac:dyDescent="0.15">
      <c r="A3259" s="9">
        <v>3258</v>
      </c>
      <c r="B3259" s="9" t="s">
        <v>9</v>
      </c>
      <c r="C3259" s="9">
        <v>1910</v>
      </c>
      <c r="D3259" s="10">
        <v>45602</v>
      </c>
      <c r="E3259" s="13" t="str">
        <f>+HYPERLINK("http://trademark.i-assist.jp/data/china/image_1910th/80411651.pdf","80411651")</f>
        <v>80411651</v>
      </c>
      <c r="F3259" s="9" t="s">
        <v>8849</v>
      </c>
      <c r="G3259" s="9" t="s">
        <v>8850</v>
      </c>
      <c r="H3259" s="11" t="s">
        <v>8851</v>
      </c>
      <c r="I3259" s="10">
        <v>45520</v>
      </c>
    </row>
    <row r="3260" spans="1:9" x14ac:dyDescent="0.15">
      <c r="A3260" s="9">
        <v>3259</v>
      </c>
      <c r="B3260" s="9" t="s">
        <v>9</v>
      </c>
      <c r="C3260" s="9">
        <v>1910</v>
      </c>
      <c r="D3260" s="10">
        <v>45602</v>
      </c>
      <c r="E3260" s="13" t="str">
        <f>+HYPERLINK("http://trademark.i-assist.jp/data/china/image_1910th/80412375.pdf","80412375")</f>
        <v>80412375</v>
      </c>
      <c r="F3260" s="9" t="s">
        <v>8852</v>
      </c>
      <c r="G3260" s="11" t="s">
        <v>8853</v>
      </c>
      <c r="H3260" s="9" t="s">
        <v>8854</v>
      </c>
      <c r="I3260" s="10">
        <v>45520</v>
      </c>
    </row>
    <row r="3261" spans="1:9" x14ac:dyDescent="0.15">
      <c r="A3261" s="9">
        <v>3260</v>
      </c>
      <c r="B3261" s="9" t="s">
        <v>9</v>
      </c>
      <c r="C3261" s="9">
        <v>1910</v>
      </c>
      <c r="D3261" s="10">
        <v>45602</v>
      </c>
      <c r="E3261" s="13" t="str">
        <f>+HYPERLINK("http://trademark.i-assist.jp/data/china/image_1910th/80412379.pdf","80412379")</f>
        <v>80412379</v>
      </c>
      <c r="F3261" s="9" t="s">
        <v>8855</v>
      </c>
      <c r="G3261" s="9" t="s">
        <v>8856</v>
      </c>
      <c r="H3261" s="9" t="s">
        <v>8857</v>
      </c>
      <c r="I3261" s="10">
        <v>45520</v>
      </c>
    </row>
    <row r="3262" spans="1:9" x14ac:dyDescent="0.15">
      <c r="A3262" s="9">
        <v>3261</v>
      </c>
      <c r="B3262" s="9" t="s">
        <v>9</v>
      </c>
      <c r="C3262" s="9">
        <v>1910</v>
      </c>
      <c r="D3262" s="10">
        <v>45602</v>
      </c>
      <c r="E3262" s="13" t="str">
        <f>+HYPERLINK("http://trademark.i-assist.jp/data/china/image_1910th/80412479.pdf","80412479")</f>
        <v>80412479</v>
      </c>
      <c r="F3262" s="9" t="s">
        <v>8858</v>
      </c>
      <c r="G3262" s="9" t="s">
        <v>8859</v>
      </c>
      <c r="H3262" s="9" t="s">
        <v>8860</v>
      </c>
      <c r="I3262" s="10">
        <v>45520</v>
      </c>
    </row>
    <row r="3263" spans="1:9" x14ac:dyDescent="0.15">
      <c r="A3263" s="9">
        <v>3262</v>
      </c>
      <c r="B3263" s="9" t="s">
        <v>9</v>
      </c>
      <c r="C3263" s="9">
        <v>1910</v>
      </c>
      <c r="D3263" s="10">
        <v>45602</v>
      </c>
      <c r="E3263" s="13" t="str">
        <f>+HYPERLINK("http://trademark.i-assist.jp/data/china/image_1910th/80412730.pdf","80412730")</f>
        <v>80412730</v>
      </c>
      <c r="F3263" s="9" t="s">
        <v>8861</v>
      </c>
      <c r="G3263" s="11" t="s">
        <v>8862</v>
      </c>
      <c r="H3263" s="9" t="s">
        <v>8863</v>
      </c>
      <c r="I3263" s="10">
        <v>45520</v>
      </c>
    </row>
    <row r="3264" spans="1:9" x14ac:dyDescent="0.15">
      <c r="A3264" s="9">
        <v>3263</v>
      </c>
      <c r="B3264" s="9" t="s">
        <v>9</v>
      </c>
      <c r="C3264" s="9">
        <v>1910</v>
      </c>
      <c r="D3264" s="10">
        <v>45602</v>
      </c>
      <c r="E3264" s="13" t="str">
        <f>+HYPERLINK("http://trademark.i-assist.jp/data/china/image_1910th/80413363.pdf","80413363")</f>
        <v>80413363</v>
      </c>
      <c r="F3264" s="9" t="s">
        <v>8864</v>
      </c>
      <c r="G3264" s="9" t="s">
        <v>8865</v>
      </c>
      <c r="H3264" s="9" t="s">
        <v>8866</v>
      </c>
      <c r="I3264" s="10">
        <v>45520</v>
      </c>
    </row>
    <row r="3265" spans="1:9" x14ac:dyDescent="0.15">
      <c r="A3265" s="9">
        <v>3264</v>
      </c>
      <c r="B3265" s="9" t="s">
        <v>9</v>
      </c>
      <c r="C3265" s="9">
        <v>1910</v>
      </c>
      <c r="D3265" s="10">
        <v>45602</v>
      </c>
      <c r="E3265" s="13" t="str">
        <f>+HYPERLINK("http://trademark.i-assist.jp/data/china/image_1910th/80413524.pdf","80413524")</f>
        <v>80413524</v>
      </c>
      <c r="F3265" s="9" t="s">
        <v>8867</v>
      </c>
      <c r="G3265" s="9" t="s">
        <v>8868</v>
      </c>
      <c r="H3265" s="9" t="s">
        <v>8869</v>
      </c>
      <c r="I3265" s="10">
        <v>45520</v>
      </c>
    </row>
    <row r="3266" spans="1:9" x14ac:dyDescent="0.15">
      <c r="A3266" s="9">
        <v>3265</v>
      </c>
      <c r="B3266" s="9" t="s">
        <v>9</v>
      </c>
      <c r="C3266" s="9">
        <v>1910</v>
      </c>
      <c r="D3266" s="10">
        <v>45602</v>
      </c>
      <c r="E3266" s="13" t="str">
        <f>+HYPERLINK("http://trademark.i-assist.jp/data/china/image_1910th/80413805.pdf","80413805")</f>
        <v>80413805</v>
      </c>
      <c r="F3266" s="9" t="s">
        <v>8870</v>
      </c>
      <c r="G3266" s="9" t="s">
        <v>8871</v>
      </c>
      <c r="H3266" s="9" t="s">
        <v>8872</v>
      </c>
      <c r="I3266" s="10">
        <v>45520</v>
      </c>
    </row>
    <row r="3267" spans="1:9" x14ac:dyDescent="0.15">
      <c r="A3267" s="9">
        <v>3266</v>
      </c>
      <c r="B3267" s="9" t="s">
        <v>9</v>
      </c>
      <c r="C3267" s="9">
        <v>1910</v>
      </c>
      <c r="D3267" s="10">
        <v>45602</v>
      </c>
      <c r="E3267" s="13" t="str">
        <f>+HYPERLINK("http://trademark.i-assist.jp/data/china/image_1910th/80414089.pdf","80414089")</f>
        <v>80414089</v>
      </c>
      <c r="F3267" s="9" t="s">
        <v>8873</v>
      </c>
      <c r="G3267" s="9" t="s">
        <v>8874</v>
      </c>
      <c r="H3267" s="9" t="s">
        <v>8875</v>
      </c>
      <c r="I3267" s="10">
        <v>45520</v>
      </c>
    </row>
    <row r="3268" spans="1:9" x14ac:dyDescent="0.15">
      <c r="A3268" s="9">
        <v>3267</v>
      </c>
      <c r="B3268" s="9" t="s">
        <v>9</v>
      </c>
      <c r="C3268" s="9">
        <v>1910</v>
      </c>
      <c r="D3268" s="10">
        <v>45602</v>
      </c>
      <c r="E3268" s="13" t="str">
        <f>+HYPERLINK("http://trademark.i-assist.jp/data/china/image_1910th/80414264.pdf","80414264")</f>
        <v>80414264</v>
      </c>
      <c r="F3268" s="9" t="s">
        <v>8876</v>
      </c>
      <c r="G3268" s="11" t="s">
        <v>8709</v>
      </c>
      <c r="H3268" s="9" t="s">
        <v>8877</v>
      </c>
      <c r="I3268" s="10">
        <v>45520</v>
      </c>
    </row>
    <row r="3269" spans="1:9" x14ac:dyDescent="0.15">
      <c r="A3269" s="9">
        <v>3268</v>
      </c>
      <c r="B3269" s="9" t="s">
        <v>9</v>
      </c>
      <c r="C3269" s="9">
        <v>1910</v>
      </c>
      <c r="D3269" s="10">
        <v>45602</v>
      </c>
      <c r="E3269" s="13" t="str">
        <f>+HYPERLINK("http://trademark.i-assist.jp/data/china/image_1910th/80414499.pdf","80414499")</f>
        <v>80414499</v>
      </c>
      <c r="F3269" s="9" t="s">
        <v>8878</v>
      </c>
      <c r="G3269" s="11" t="s">
        <v>8879</v>
      </c>
      <c r="H3269" s="9" t="s">
        <v>8880</v>
      </c>
      <c r="I3269" s="10">
        <v>45520</v>
      </c>
    </row>
    <row r="3270" spans="1:9" x14ac:dyDescent="0.15">
      <c r="A3270" s="9">
        <v>3269</v>
      </c>
      <c r="B3270" s="9" t="s">
        <v>9</v>
      </c>
      <c r="C3270" s="9">
        <v>1910</v>
      </c>
      <c r="D3270" s="10">
        <v>45602</v>
      </c>
      <c r="E3270" s="13" t="str">
        <f>+HYPERLINK("http://trademark.i-assist.jp/data/china/image_1910th/80414631.pdf","80414631")</f>
        <v>80414631</v>
      </c>
      <c r="F3270" s="9" t="s">
        <v>8881</v>
      </c>
      <c r="G3270" s="11" t="s">
        <v>6977</v>
      </c>
      <c r="H3270" s="9" t="s">
        <v>8882</v>
      </c>
      <c r="I3270" s="10">
        <v>45520</v>
      </c>
    </row>
    <row r="3271" spans="1:9" x14ac:dyDescent="0.15">
      <c r="A3271" s="9">
        <v>3270</v>
      </c>
      <c r="B3271" s="9" t="s">
        <v>9</v>
      </c>
      <c r="C3271" s="9">
        <v>1910</v>
      </c>
      <c r="D3271" s="10">
        <v>45602</v>
      </c>
      <c r="E3271" s="13" t="str">
        <f>+HYPERLINK("http://trademark.i-assist.jp/data/china/image_1910th/80414866.pdf","80414866")</f>
        <v>80414866</v>
      </c>
      <c r="F3271" s="9" t="s">
        <v>8883</v>
      </c>
      <c r="G3271" s="9" t="s">
        <v>8884</v>
      </c>
      <c r="H3271" s="9" t="s">
        <v>8885</v>
      </c>
      <c r="I3271" s="10">
        <v>45520</v>
      </c>
    </row>
    <row r="3272" spans="1:9" x14ac:dyDescent="0.15">
      <c r="A3272" s="9">
        <v>3271</v>
      </c>
      <c r="B3272" s="9" t="s">
        <v>9</v>
      </c>
      <c r="C3272" s="9">
        <v>1910</v>
      </c>
      <c r="D3272" s="10">
        <v>45602</v>
      </c>
      <c r="E3272" s="13" t="str">
        <f>+HYPERLINK("http://trademark.i-assist.jp/data/china/image_1910th/80415179.pdf","80415179")</f>
        <v>80415179</v>
      </c>
      <c r="F3272" s="9" t="s">
        <v>8886</v>
      </c>
      <c r="G3272" s="9" t="s">
        <v>8887</v>
      </c>
      <c r="H3272" s="9" t="s">
        <v>8888</v>
      </c>
      <c r="I3272" s="10">
        <v>45520</v>
      </c>
    </row>
    <row r="3273" spans="1:9" x14ac:dyDescent="0.15">
      <c r="A3273" s="9">
        <v>3272</v>
      </c>
      <c r="B3273" s="9" t="s">
        <v>9</v>
      </c>
      <c r="C3273" s="9">
        <v>1910</v>
      </c>
      <c r="D3273" s="10">
        <v>45602</v>
      </c>
      <c r="E3273" s="13" t="str">
        <f>+HYPERLINK("http://trademark.i-assist.jp/data/china/image_1910th/80415638.pdf","80415638")</f>
        <v>80415638</v>
      </c>
      <c r="F3273" s="9" t="s">
        <v>8889</v>
      </c>
      <c r="G3273" s="9" t="s">
        <v>8890</v>
      </c>
      <c r="H3273" s="9" t="s">
        <v>8891</v>
      </c>
      <c r="I3273" s="10">
        <v>45520</v>
      </c>
    </row>
    <row r="3274" spans="1:9" x14ac:dyDescent="0.15">
      <c r="A3274" s="9">
        <v>3273</v>
      </c>
      <c r="B3274" s="9" t="s">
        <v>9</v>
      </c>
      <c r="C3274" s="9">
        <v>1910</v>
      </c>
      <c r="D3274" s="10">
        <v>45602</v>
      </c>
      <c r="E3274" s="13" t="str">
        <f>+HYPERLINK("http://trademark.i-assist.jp/data/china/image_1910th/80415746.pdf","80415746")</f>
        <v>80415746</v>
      </c>
      <c r="F3274" s="11" t="s">
        <v>8892</v>
      </c>
      <c r="G3274" s="9" t="s">
        <v>4820</v>
      </c>
      <c r="H3274" s="9" t="s">
        <v>8893</v>
      </c>
      <c r="I3274" s="10">
        <v>45520</v>
      </c>
    </row>
    <row r="3275" spans="1:9" x14ac:dyDescent="0.15">
      <c r="A3275" s="9">
        <v>3274</v>
      </c>
      <c r="B3275" s="9" t="s">
        <v>9</v>
      </c>
      <c r="C3275" s="9">
        <v>1910</v>
      </c>
      <c r="D3275" s="10">
        <v>45602</v>
      </c>
      <c r="E3275" s="13" t="str">
        <f>+HYPERLINK("http://trademark.i-assist.jp/data/china/image_1910th/80416653.pdf","80416653")</f>
        <v>80416653</v>
      </c>
      <c r="F3275" s="9" t="s">
        <v>8894</v>
      </c>
      <c r="G3275" s="9" t="s">
        <v>8895</v>
      </c>
      <c r="H3275" s="9" t="s">
        <v>8896</v>
      </c>
      <c r="I3275" s="10">
        <v>45520</v>
      </c>
    </row>
    <row r="3276" spans="1:9" x14ac:dyDescent="0.15">
      <c r="A3276" s="9">
        <v>3275</v>
      </c>
      <c r="B3276" s="9" t="s">
        <v>9</v>
      </c>
      <c r="C3276" s="9">
        <v>1910</v>
      </c>
      <c r="D3276" s="10">
        <v>45602</v>
      </c>
      <c r="E3276" s="13" t="str">
        <f>+HYPERLINK("http://trademark.i-assist.jp/data/china/image_1910th/80416738.pdf","80416738")</f>
        <v>80416738</v>
      </c>
      <c r="F3276" s="11" t="s">
        <v>8897</v>
      </c>
      <c r="G3276" s="9" t="s">
        <v>8605</v>
      </c>
      <c r="H3276" s="9" t="s">
        <v>8898</v>
      </c>
      <c r="I3276" s="10">
        <v>45520</v>
      </c>
    </row>
    <row r="3277" spans="1:9" x14ac:dyDescent="0.15">
      <c r="A3277" s="9">
        <v>3276</v>
      </c>
      <c r="B3277" s="9" t="s">
        <v>9</v>
      </c>
      <c r="C3277" s="9">
        <v>1910</v>
      </c>
      <c r="D3277" s="10">
        <v>45602</v>
      </c>
      <c r="E3277" s="13" t="str">
        <f>+HYPERLINK("http://trademark.i-assist.jp/data/china/image_1910th/80416772.pdf","80416772")</f>
        <v>80416772</v>
      </c>
      <c r="F3277" s="9" t="s">
        <v>8899</v>
      </c>
      <c r="G3277" s="9" t="s">
        <v>8900</v>
      </c>
      <c r="H3277" s="9" t="s">
        <v>8901</v>
      </c>
      <c r="I3277" s="10">
        <v>45520</v>
      </c>
    </row>
    <row r="3278" spans="1:9" x14ac:dyDescent="0.15">
      <c r="A3278" s="9">
        <v>3277</v>
      </c>
      <c r="B3278" s="9" t="s">
        <v>9</v>
      </c>
      <c r="C3278" s="9">
        <v>1910</v>
      </c>
      <c r="D3278" s="10">
        <v>45602</v>
      </c>
      <c r="E3278" s="13" t="str">
        <f>+HYPERLINK("http://trademark.i-assist.jp/data/china/image_1910th/80417214.pdf","80417214")</f>
        <v>80417214</v>
      </c>
      <c r="F3278" s="11" t="s">
        <v>8902</v>
      </c>
      <c r="G3278" s="9" t="s">
        <v>8605</v>
      </c>
      <c r="H3278" s="9" t="s">
        <v>8903</v>
      </c>
      <c r="I3278" s="10">
        <v>45520</v>
      </c>
    </row>
    <row r="3279" spans="1:9" x14ac:dyDescent="0.15">
      <c r="A3279" s="9">
        <v>3278</v>
      </c>
      <c r="B3279" s="9" t="s">
        <v>9</v>
      </c>
      <c r="C3279" s="9">
        <v>1910</v>
      </c>
      <c r="D3279" s="10">
        <v>45602</v>
      </c>
      <c r="E3279" s="13" t="str">
        <f>+HYPERLINK("http://trademark.i-assist.jp/data/china/image_1910th/80417303.pdf","80417303")</f>
        <v>80417303</v>
      </c>
      <c r="F3279" s="9" t="s">
        <v>8904</v>
      </c>
      <c r="G3279" s="9" t="s">
        <v>8905</v>
      </c>
      <c r="H3279" s="9" t="s">
        <v>8906</v>
      </c>
      <c r="I3279" s="10">
        <v>45520</v>
      </c>
    </row>
    <row r="3280" spans="1:9" x14ac:dyDescent="0.15">
      <c r="A3280" s="9">
        <v>3279</v>
      </c>
      <c r="B3280" s="9" t="s">
        <v>9</v>
      </c>
      <c r="C3280" s="9">
        <v>1910</v>
      </c>
      <c r="D3280" s="10">
        <v>45602</v>
      </c>
      <c r="E3280" s="13" t="str">
        <f>+HYPERLINK("http://trademark.i-assist.jp/data/china/image_1910th/80417413.pdf","80417413")</f>
        <v>80417413</v>
      </c>
      <c r="F3280" s="9" t="s">
        <v>8907</v>
      </c>
      <c r="G3280" s="9" t="s">
        <v>7782</v>
      </c>
      <c r="H3280" s="9" t="s">
        <v>8908</v>
      </c>
      <c r="I3280" s="10">
        <v>45520</v>
      </c>
    </row>
    <row r="3281" spans="1:9" x14ac:dyDescent="0.15">
      <c r="A3281" s="9">
        <v>3280</v>
      </c>
      <c r="B3281" s="9" t="s">
        <v>9</v>
      </c>
      <c r="C3281" s="9">
        <v>1910</v>
      </c>
      <c r="D3281" s="10">
        <v>45602</v>
      </c>
      <c r="E3281" s="13" t="str">
        <f>+HYPERLINK("http://trademark.i-assist.jp/data/china/image_1910th/80418196.pdf","80418196")</f>
        <v>80418196</v>
      </c>
      <c r="F3281" s="9" t="s">
        <v>8909</v>
      </c>
      <c r="G3281" s="9" t="s">
        <v>8910</v>
      </c>
      <c r="H3281" s="9" t="s">
        <v>8911</v>
      </c>
      <c r="I3281" s="10">
        <v>45521</v>
      </c>
    </row>
    <row r="3282" spans="1:9" x14ac:dyDescent="0.15">
      <c r="A3282" s="9">
        <v>3281</v>
      </c>
      <c r="B3282" s="9" t="s">
        <v>9</v>
      </c>
      <c r="C3282" s="9">
        <v>1910</v>
      </c>
      <c r="D3282" s="10">
        <v>45602</v>
      </c>
      <c r="E3282" s="13" t="str">
        <f>+HYPERLINK("http://trademark.i-assist.jp/data/china/image_1910th/80418433.pdf","80418433")</f>
        <v>80418433</v>
      </c>
      <c r="F3282" s="9" t="s">
        <v>8912</v>
      </c>
      <c r="G3282" s="9" t="s">
        <v>8913</v>
      </c>
      <c r="H3282" s="9" t="s">
        <v>8914</v>
      </c>
      <c r="I3282" s="10">
        <v>45521</v>
      </c>
    </row>
    <row r="3283" spans="1:9" x14ac:dyDescent="0.15">
      <c r="A3283" s="9">
        <v>3282</v>
      </c>
      <c r="B3283" s="9" t="s">
        <v>9</v>
      </c>
      <c r="C3283" s="9">
        <v>1910</v>
      </c>
      <c r="D3283" s="10">
        <v>45602</v>
      </c>
      <c r="E3283" s="13" t="str">
        <f>+HYPERLINK("http://trademark.i-assist.jp/data/china/image_1910th/80418617.pdf","80418617")</f>
        <v>80418617</v>
      </c>
      <c r="F3283" s="9" t="s">
        <v>8915</v>
      </c>
      <c r="G3283" s="9" t="s">
        <v>8916</v>
      </c>
      <c r="H3283" s="9" t="s">
        <v>8917</v>
      </c>
      <c r="I3283" s="10">
        <v>45521</v>
      </c>
    </row>
    <row r="3284" spans="1:9" x14ac:dyDescent="0.15">
      <c r="A3284" s="9">
        <v>3283</v>
      </c>
      <c r="B3284" s="9" t="s">
        <v>9</v>
      </c>
      <c r="C3284" s="9">
        <v>1910</v>
      </c>
      <c r="D3284" s="10">
        <v>45602</v>
      </c>
      <c r="E3284" s="13" t="str">
        <f>+HYPERLINK("http://trademark.i-assist.jp/data/china/image_1910th/80418775.pdf","80418775")</f>
        <v>80418775</v>
      </c>
      <c r="F3284" s="9" t="s">
        <v>8918</v>
      </c>
      <c r="G3284" s="11" t="s">
        <v>8919</v>
      </c>
      <c r="H3284" s="9" t="s">
        <v>8920</v>
      </c>
      <c r="I3284" s="10">
        <v>45521</v>
      </c>
    </row>
    <row r="3285" spans="1:9" x14ac:dyDescent="0.15">
      <c r="A3285" s="9">
        <v>3284</v>
      </c>
      <c r="B3285" s="9" t="s">
        <v>9</v>
      </c>
      <c r="C3285" s="9">
        <v>1910</v>
      </c>
      <c r="D3285" s="10">
        <v>45602</v>
      </c>
      <c r="E3285" s="13" t="str">
        <f>+HYPERLINK("http://trademark.i-assist.jp/data/china/image_1910th/80419029.pdf","80419029")</f>
        <v>80419029</v>
      </c>
      <c r="F3285" s="9" t="s">
        <v>8921</v>
      </c>
      <c r="G3285" s="9" t="s">
        <v>8922</v>
      </c>
      <c r="H3285" s="9" t="s">
        <v>8923</v>
      </c>
      <c r="I3285" s="10">
        <v>45521</v>
      </c>
    </row>
    <row r="3286" spans="1:9" x14ac:dyDescent="0.15">
      <c r="A3286" s="9">
        <v>3285</v>
      </c>
      <c r="B3286" s="9" t="s">
        <v>9</v>
      </c>
      <c r="C3286" s="9">
        <v>1910</v>
      </c>
      <c r="D3286" s="10">
        <v>45602</v>
      </c>
      <c r="E3286" s="13" t="str">
        <f>+HYPERLINK("http://trademark.i-assist.jp/data/china/image_1910th/80419198.pdf","80419198")</f>
        <v>80419198</v>
      </c>
      <c r="F3286" s="9" t="s">
        <v>8924</v>
      </c>
      <c r="G3286" s="11" t="s">
        <v>8925</v>
      </c>
      <c r="H3286" s="9" t="s">
        <v>8926</v>
      </c>
      <c r="I3286" s="10">
        <v>45521</v>
      </c>
    </row>
    <row r="3287" spans="1:9" x14ac:dyDescent="0.15">
      <c r="A3287" s="9">
        <v>3286</v>
      </c>
      <c r="B3287" s="9" t="s">
        <v>9</v>
      </c>
      <c r="C3287" s="9">
        <v>1910</v>
      </c>
      <c r="D3287" s="10">
        <v>45602</v>
      </c>
      <c r="E3287" s="13" t="str">
        <f>+HYPERLINK("http://trademark.i-assist.jp/data/china/image_1910th/80419488.pdf","80419488")</f>
        <v>80419488</v>
      </c>
      <c r="F3287" s="9" t="s">
        <v>8927</v>
      </c>
      <c r="G3287" s="9" t="s">
        <v>3188</v>
      </c>
      <c r="H3287" s="9" t="s">
        <v>8928</v>
      </c>
      <c r="I3287" s="10">
        <v>45521</v>
      </c>
    </row>
    <row r="3288" spans="1:9" x14ac:dyDescent="0.15">
      <c r="A3288" s="9">
        <v>3287</v>
      </c>
      <c r="B3288" s="9" t="s">
        <v>9</v>
      </c>
      <c r="C3288" s="9">
        <v>1910</v>
      </c>
      <c r="D3288" s="10">
        <v>45602</v>
      </c>
      <c r="E3288" s="13" t="str">
        <f>+HYPERLINK("http://trademark.i-assist.jp/data/china/image_1910th/80419691.pdf","80419691")</f>
        <v>80419691</v>
      </c>
      <c r="F3288" s="9" t="s">
        <v>8929</v>
      </c>
      <c r="G3288" s="9" t="s">
        <v>8922</v>
      </c>
      <c r="H3288" s="9" t="s">
        <v>8930</v>
      </c>
      <c r="I3288" s="10">
        <v>45521</v>
      </c>
    </row>
    <row r="3289" spans="1:9" x14ac:dyDescent="0.15">
      <c r="A3289" s="9">
        <v>3288</v>
      </c>
      <c r="B3289" s="9" t="s">
        <v>9</v>
      </c>
      <c r="C3289" s="9">
        <v>1910</v>
      </c>
      <c r="D3289" s="10">
        <v>45602</v>
      </c>
      <c r="E3289" s="13" t="str">
        <f>+HYPERLINK("http://trademark.i-assist.jp/data/china/image_1910th/80420137.pdf","80420137")</f>
        <v>80420137</v>
      </c>
      <c r="F3289" s="9" t="s">
        <v>8931</v>
      </c>
      <c r="G3289" s="11" t="s">
        <v>2297</v>
      </c>
      <c r="H3289" s="9" t="s">
        <v>8932</v>
      </c>
      <c r="I3289" s="10">
        <v>45521</v>
      </c>
    </row>
    <row r="3290" spans="1:9" x14ac:dyDescent="0.15">
      <c r="A3290" s="9">
        <v>3289</v>
      </c>
      <c r="B3290" s="9" t="s">
        <v>9</v>
      </c>
      <c r="C3290" s="9">
        <v>1910</v>
      </c>
      <c r="D3290" s="10">
        <v>45602</v>
      </c>
      <c r="E3290" s="13" t="str">
        <f>+HYPERLINK("http://trademark.i-assist.jp/data/china/image_1910th/80420916.pdf","80420916")</f>
        <v>80420916</v>
      </c>
      <c r="F3290" s="9" t="s">
        <v>8933</v>
      </c>
      <c r="G3290" s="9" t="s">
        <v>3188</v>
      </c>
      <c r="H3290" s="9" t="s">
        <v>8934</v>
      </c>
      <c r="I3290" s="10">
        <v>45521</v>
      </c>
    </row>
    <row r="3291" spans="1:9" x14ac:dyDescent="0.15">
      <c r="A3291" s="9">
        <v>3290</v>
      </c>
      <c r="B3291" s="9" t="s">
        <v>9</v>
      </c>
      <c r="C3291" s="9">
        <v>1910</v>
      </c>
      <c r="D3291" s="10">
        <v>45602</v>
      </c>
      <c r="E3291" s="13" t="str">
        <f>+HYPERLINK("http://trademark.i-assist.jp/data/china/image_1910th/80421081.pdf","80421081")</f>
        <v>80421081</v>
      </c>
      <c r="F3291" s="9" t="s">
        <v>8935</v>
      </c>
      <c r="G3291" s="9" t="s">
        <v>8936</v>
      </c>
      <c r="H3291" s="9" t="s">
        <v>8937</v>
      </c>
      <c r="I3291" s="10">
        <v>45521</v>
      </c>
    </row>
    <row r="3292" spans="1:9" x14ac:dyDescent="0.15">
      <c r="A3292" s="9">
        <v>3291</v>
      </c>
      <c r="B3292" s="9" t="s">
        <v>9</v>
      </c>
      <c r="C3292" s="9">
        <v>1910</v>
      </c>
      <c r="D3292" s="10">
        <v>45602</v>
      </c>
      <c r="E3292" s="13" t="str">
        <f>+HYPERLINK("http://trademark.i-assist.jp/data/china/image_1910th/80421861.pdf","80421861")</f>
        <v>80421861</v>
      </c>
      <c r="F3292" s="9" t="s">
        <v>8938</v>
      </c>
      <c r="G3292" s="9" t="s">
        <v>8939</v>
      </c>
      <c r="H3292" s="9" t="s">
        <v>8940</v>
      </c>
      <c r="I3292" s="10">
        <v>45521</v>
      </c>
    </row>
    <row r="3293" spans="1:9" x14ac:dyDescent="0.15">
      <c r="A3293" s="9">
        <v>3292</v>
      </c>
      <c r="B3293" s="9" t="s">
        <v>9</v>
      </c>
      <c r="C3293" s="9">
        <v>1910</v>
      </c>
      <c r="D3293" s="10">
        <v>45602</v>
      </c>
      <c r="E3293" s="13" t="str">
        <f>+HYPERLINK("http://trademark.i-assist.jp/data/china/image_1910th/80422170.pdf","80422170")</f>
        <v>80422170</v>
      </c>
      <c r="F3293" s="9" t="s">
        <v>8941</v>
      </c>
      <c r="G3293" s="9" t="s">
        <v>8942</v>
      </c>
      <c r="H3293" s="9" t="s">
        <v>8943</v>
      </c>
      <c r="I3293" s="10">
        <v>45521</v>
      </c>
    </row>
    <row r="3294" spans="1:9" x14ac:dyDescent="0.15">
      <c r="A3294" s="9">
        <v>3293</v>
      </c>
      <c r="B3294" s="9" t="s">
        <v>9</v>
      </c>
      <c r="C3294" s="9">
        <v>1910</v>
      </c>
      <c r="D3294" s="10">
        <v>45602</v>
      </c>
      <c r="E3294" s="13" t="str">
        <f>+HYPERLINK("http://trademark.i-assist.jp/data/china/image_1910th/80422219.pdf","80422219")</f>
        <v>80422219</v>
      </c>
      <c r="F3294" s="11" t="s">
        <v>8944</v>
      </c>
      <c r="G3294" s="9" t="s">
        <v>8945</v>
      </c>
      <c r="H3294" s="9" t="s">
        <v>8946</v>
      </c>
      <c r="I3294" s="10">
        <v>45521</v>
      </c>
    </row>
    <row r="3295" spans="1:9" x14ac:dyDescent="0.15">
      <c r="A3295" s="9">
        <v>3294</v>
      </c>
      <c r="B3295" s="9" t="s">
        <v>9</v>
      </c>
      <c r="C3295" s="9">
        <v>1910</v>
      </c>
      <c r="D3295" s="10">
        <v>45602</v>
      </c>
      <c r="E3295" s="13" t="str">
        <f>+HYPERLINK("http://trademark.i-assist.jp/data/china/image_1910th/80422520.pdf","80422520")</f>
        <v>80422520</v>
      </c>
      <c r="F3295" s="9" t="s">
        <v>8947</v>
      </c>
      <c r="G3295" s="11" t="s">
        <v>8948</v>
      </c>
      <c r="H3295" s="9" t="s">
        <v>8949</v>
      </c>
      <c r="I3295" s="10">
        <v>45521</v>
      </c>
    </row>
    <row r="3296" spans="1:9" x14ac:dyDescent="0.15">
      <c r="A3296" s="9">
        <v>3295</v>
      </c>
      <c r="B3296" s="9" t="s">
        <v>9</v>
      </c>
      <c r="C3296" s="9">
        <v>1910</v>
      </c>
      <c r="D3296" s="10">
        <v>45602</v>
      </c>
      <c r="E3296" s="13" t="str">
        <f>+HYPERLINK("http://trademark.i-assist.jp/data/china/image_1910th/80426389.pdf","80426389")</f>
        <v>80426389</v>
      </c>
      <c r="F3296" s="9" t="s">
        <v>8950</v>
      </c>
      <c r="G3296" s="9" t="s">
        <v>8951</v>
      </c>
      <c r="H3296" s="9" t="s">
        <v>8952</v>
      </c>
      <c r="I3296" s="10">
        <v>45523</v>
      </c>
    </row>
    <row r="3297" spans="1:9" x14ac:dyDescent="0.15">
      <c r="A3297" s="9">
        <v>3296</v>
      </c>
      <c r="B3297" s="9" t="s">
        <v>9</v>
      </c>
      <c r="C3297" s="9">
        <v>1910</v>
      </c>
      <c r="D3297" s="10">
        <v>45602</v>
      </c>
      <c r="E3297" s="13" t="str">
        <f>+HYPERLINK("http://trademark.i-assist.jp/data/china/image_1910th/80427265.pdf","80427265")</f>
        <v>80427265</v>
      </c>
      <c r="F3297" s="9" t="s">
        <v>8953</v>
      </c>
      <c r="G3297" s="9" t="s">
        <v>8954</v>
      </c>
      <c r="H3297" s="9" t="s">
        <v>8955</v>
      </c>
      <c r="I3297" s="10">
        <v>45523</v>
      </c>
    </row>
    <row r="3298" spans="1:9" x14ac:dyDescent="0.15">
      <c r="A3298" s="9">
        <v>3297</v>
      </c>
      <c r="B3298" s="9" t="s">
        <v>9</v>
      </c>
      <c r="C3298" s="9">
        <v>1910</v>
      </c>
      <c r="D3298" s="10">
        <v>45602</v>
      </c>
      <c r="E3298" s="13" t="str">
        <f>+HYPERLINK("http://trademark.i-assist.jp/data/china/image_1910th/80427982.pdf","80427982")</f>
        <v>80427982</v>
      </c>
      <c r="F3298" s="9" t="s">
        <v>8956</v>
      </c>
      <c r="G3298" s="11" t="s">
        <v>8957</v>
      </c>
      <c r="H3298" s="9" t="s">
        <v>8958</v>
      </c>
      <c r="I3298" s="10">
        <v>45523</v>
      </c>
    </row>
    <row r="3299" spans="1:9" x14ac:dyDescent="0.15">
      <c r="A3299" s="9">
        <v>3298</v>
      </c>
      <c r="B3299" s="9" t="s">
        <v>9</v>
      </c>
      <c r="C3299" s="9">
        <v>1910</v>
      </c>
      <c r="D3299" s="10">
        <v>45602</v>
      </c>
      <c r="E3299" s="13" t="str">
        <f>+HYPERLINK("http://trademark.i-assist.jp/data/china/image_1910th/80428051.pdf","80428051")</f>
        <v>80428051</v>
      </c>
      <c r="F3299" s="9" t="s">
        <v>8959</v>
      </c>
      <c r="G3299" s="9" t="s">
        <v>8960</v>
      </c>
      <c r="H3299" s="9" t="s">
        <v>8961</v>
      </c>
      <c r="I3299" s="10">
        <v>45523</v>
      </c>
    </row>
    <row r="3300" spans="1:9" x14ac:dyDescent="0.15">
      <c r="A3300" s="9">
        <v>3299</v>
      </c>
      <c r="B3300" s="9" t="s">
        <v>9</v>
      </c>
      <c r="C3300" s="9">
        <v>1910</v>
      </c>
      <c r="D3300" s="10">
        <v>45602</v>
      </c>
      <c r="E3300" s="13" t="str">
        <f>+HYPERLINK("http://trademark.i-assist.jp/data/china/image_1910th/80428067.pdf","80428067")</f>
        <v>80428067</v>
      </c>
      <c r="F3300" s="9" t="s">
        <v>8962</v>
      </c>
      <c r="G3300" s="9" t="s">
        <v>87</v>
      </c>
      <c r="H3300" s="9" t="s">
        <v>8963</v>
      </c>
      <c r="I3300" s="10">
        <v>45523</v>
      </c>
    </row>
    <row r="3301" spans="1:9" x14ac:dyDescent="0.15">
      <c r="A3301" s="9">
        <v>3300</v>
      </c>
      <c r="B3301" s="9" t="s">
        <v>9</v>
      </c>
      <c r="C3301" s="9">
        <v>1910</v>
      </c>
      <c r="D3301" s="10">
        <v>45602</v>
      </c>
      <c r="E3301" s="13" t="str">
        <f>+HYPERLINK("http://trademark.i-assist.jp/data/china/image_1910th/80428620.pdf","80428620")</f>
        <v>80428620</v>
      </c>
      <c r="F3301" s="9" t="s">
        <v>8964</v>
      </c>
      <c r="G3301" s="9" t="s">
        <v>8965</v>
      </c>
      <c r="H3301" s="9" t="s">
        <v>8966</v>
      </c>
      <c r="I3301" s="10">
        <v>45523</v>
      </c>
    </row>
    <row r="3302" spans="1:9" x14ac:dyDescent="0.15">
      <c r="A3302" s="9">
        <v>3301</v>
      </c>
      <c r="B3302" s="9" t="s">
        <v>9</v>
      </c>
      <c r="C3302" s="9">
        <v>1910</v>
      </c>
      <c r="D3302" s="10">
        <v>45602</v>
      </c>
      <c r="E3302" s="13" t="str">
        <f>+HYPERLINK("http://trademark.i-assist.jp/data/china/image_1910th/80428672.pdf","80428672")</f>
        <v>80428672</v>
      </c>
      <c r="F3302" s="11" t="s">
        <v>8967</v>
      </c>
      <c r="G3302" s="9" t="s">
        <v>6924</v>
      </c>
      <c r="H3302" s="9" t="s">
        <v>8968</v>
      </c>
      <c r="I3302" s="10">
        <v>45523</v>
      </c>
    </row>
    <row r="3303" spans="1:9" x14ac:dyDescent="0.15">
      <c r="A3303" s="9">
        <v>3302</v>
      </c>
      <c r="B3303" s="9" t="s">
        <v>9</v>
      </c>
      <c r="C3303" s="9">
        <v>1910</v>
      </c>
      <c r="D3303" s="10">
        <v>45602</v>
      </c>
      <c r="E3303" s="13" t="str">
        <f>+HYPERLINK("http://trademark.i-assist.jp/data/china/image_1910th/80429194.pdf","80429194")</f>
        <v>80429194</v>
      </c>
      <c r="F3303" s="9" t="s">
        <v>8969</v>
      </c>
      <c r="G3303" s="9" t="s">
        <v>8970</v>
      </c>
      <c r="H3303" s="9" t="s">
        <v>8971</v>
      </c>
      <c r="I3303" s="10">
        <v>45523</v>
      </c>
    </row>
    <row r="3304" spans="1:9" x14ac:dyDescent="0.15">
      <c r="A3304" s="9">
        <v>3303</v>
      </c>
      <c r="B3304" s="9" t="s">
        <v>9</v>
      </c>
      <c r="C3304" s="9">
        <v>1910</v>
      </c>
      <c r="D3304" s="10">
        <v>45602</v>
      </c>
      <c r="E3304" s="13" t="str">
        <f>+HYPERLINK("http://trademark.i-assist.jp/data/china/image_1910th/80429539.pdf","80429539")</f>
        <v>80429539</v>
      </c>
      <c r="F3304" s="9" t="s">
        <v>8972</v>
      </c>
      <c r="G3304" s="11" t="s">
        <v>8973</v>
      </c>
      <c r="H3304" s="9" t="s">
        <v>8974</v>
      </c>
      <c r="I3304" s="10">
        <v>45523</v>
      </c>
    </row>
    <row r="3305" spans="1:9" x14ac:dyDescent="0.15">
      <c r="A3305" s="9">
        <v>3304</v>
      </c>
      <c r="B3305" s="9" t="s">
        <v>9</v>
      </c>
      <c r="C3305" s="9">
        <v>1910</v>
      </c>
      <c r="D3305" s="10">
        <v>45602</v>
      </c>
      <c r="E3305" s="13" t="str">
        <f>+HYPERLINK("http://trademark.i-assist.jp/data/china/image_1910th/80429924.pdf","80429924")</f>
        <v>80429924</v>
      </c>
      <c r="F3305" s="9" t="s">
        <v>8975</v>
      </c>
      <c r="G3305" s="9" t="s">
        <v>171</v>
      </c>
      <c r="H3305" s="9" t="s">
        <v>8976</v>
      </c>
      <c r="I3305" s="10">
        <v>45523</v>
      </c>
    </row>
    <row r="3306" spans="1:9" x14ac:dyDescent="0.15">
      <c r="A3306" s="9">
        <v>3305</v>
      </c>
      <c r="B3306" s="9" t="s">
        <v>9</v>
      </c>
      <c r="C3306" s="9">
        <v>1910</v>
      </c>
      <c r="D3306" s="10">
        <v>45602</v>
      </c>
      <c r="E3306" s="13" t="str">
        <f>+HYPERLINK("http://trademark.i-assist.jp/data/china/image_1910th/80431319.pdf","80431319")</f>
        <v>80431319</v>
      </c>
      <c r="F3306" s="9" t="s">
        <v>8977</v>
      </c>
      <c r="G3306" s="9" t="s">
        <v>8965</v>
      </c>
      <c r="H3306" s="11" t="s">
        <v>8978</v>
      </c>
      <c r="I3306" s="10">
        <v>45523</v>
      </c>
    </row>
    <row r="3307" spans="1:9" x14ac:dyDescent="0.15">
      <c r="A3307" s="9">
        <v>3306</v>
      </c>
      <c r="B3307" s="9" t="s">
        <v>9</v>
      </c>
      <c r="C3307" s="9">
        <v>1910</v>
      </c>
      <c r="D3307" s="10">
        <v>45602</v>
      </c>
      <c r="E3307" s="13" t="str">
        <f>+HYPERLINK("http://trademark.i-assist.jp/data/china/image_1910th/80431363.pdf","80431363")</f>
        <v>80431363</v>
      </c>
      <c r="F3307" s="9" t="s">
        <v>8979</v>
      </c>
      <c r="G3307" s="11" t="s">
        <v>56</v>
      </c>
      <c r="H3307" s="9" t="s">
        <v>8980</v>
      </c>
      <c r="I3307" s="10">
        <v>45523</v>
      </c>
    </row>
    <row r="3308" spans="1:9" x14ac:dyDescent="0.15">
      <c r="A3308" s="9">
        <v>3307</v>
      </c>
      <c r="B3308" s="9" t="s">
        <v>9</v>
      </c>
      <c r="C3308" s="9">
        <v>1910</v>
      </c>
      <c r="D3308" s="10">
        <v>45602</v>
      </c>
      <c r="E3308" s="13" t="str">
        <f>+HYPERLINK("http://trademark.i-assist.jp/data/china/image_1910th/80431719.pdf","80431719")</f>
        <v>80431719</v>
      </c>
      <c r="F3308" s="11" t="s">
        <v>19</v>
      </c>
      <c r="G3308" s="9" t="s">
        <v>8981</v>
      </c>
      <c r="H3308" s="9" t="s">
        <v>8982</v>
      </c>
      <c r="I3308" s="10">
        <v>45523</v>
      </c>
    </row>
    <row r="3309" spans="1:9" x14ac:dyDescent="0.15">
      <c r="A3309" s="9">
        <v>3308</v>
      </c>
      <c r="B3309" s="9" t="s">
        <v>9</v>
      </c>
      <c r="C3309" s="9">
        <v>1910</v>
      </c>
      <c r="D3309" s="10">
        <v>45602</v>
      </c>
      <c r="E3309" s="13" t="str">
        <f>+HYPERLINK("http://trademark.i-assist.jp/data/china/image_1910th/80431773.pdf","80431773")</f>
        <v>80431773</v>
      </c>
      <c r="F3309" s="9" t="s">
        <v>8983</v>
      </c>
      <c r="G3309" s="11" t="s">
        <v>8984</v>
      </c>
      <c r="H3309" s="9" t="s">
        <v>8985</v>
      </c>
      <c r="I3309" s="10">
        <v>45523</v>
      </c>
    </row>
    <row r="3310" spans="1:9" x14ac:dyDescent="0.15">
      <c r="A3310" s="9">
        <v>3309</v>
      </c>
      <c r="B3310" s="9" t="s">
        <v>9</v>
      </c>
      <c r="C3310" s="9">
        <v>1910</v>
      </c>
      <c r="D3310" s="10">
        <v>45602</v>
      </c>
      <c r="E3310" s="13" t="str">
        <f>+HYPERLINK("http://trademark.i-assist.jp/data/china/image_1910th/80431911.pdf","80431911")</f>
        <v>80431911</v>
      </c>
      <c r="F3310" s="11" t="s">
        <v>8986</v>
      </c>
      <c r="G3310" s="9" t="s">
        <v>8987</v>
      </c>
      <c r="H3310" s="9" t="s">
        <v>8988</v>
      </c>
      <c r="I3310" s="10">
        <v>45523</v>
      </c>
    </row>
    <row r="3311" spans="1:9" x14ac:dyDescent="0.15">
      <c r="A3311" s="9">
        <v>3310</v>
      </c>
      <c r="B3311" s="9" t="s">
        <v>9</v>
      </c>
      <c r="C3311" s="9">
        <v>1910</v>
      </c>
      <c r="D3311" s="10">
        <v>45602</v>
      </c>
      <c r="E3311" s="13" t="str">
        <f>+HYPERLINK("http://trademark.i-assist.jp/data/china/image_1910th/80432710.pdf","80432710")</f>
        <v>80432710</v>
      </c>
      <c r="F3311" s="9" t="s">
        <v>8989</v>
      </c>
      <c r="G3311" s="9" t="s">
        <v>8990</v>
      </c>
      <c r="H3311" s="11" t="s">
        <v>8991</v>
      </c>
      <c r="I3311" s="10">
        <v>45523</v>
      </c>
    </row>
    <row r="3312" spans="1:9" x14ac:dyDescent="0.15">
      <c r="A3312" s="9">
        <v>3311</v>
      </c>
      <c r="B3312" s="9" t="s">
        <v>9</v>
      </c>
      <c r="C3312" s="9">
        <v>1910</v>
      </c>
      <c r="D3312" s="10">
        <v>45602</v>
      </c>
      <c r="E3312" s="13" t="str">
        <f>+HYPERLINK("http://trademark.i-assist.jp/data/china/image_1910th/80432863.pdf","80432863")</f>
        <v>80432863</v>
      </c>
      <c r="F3312" s="9" t="s">
        <v>8992</v>
      </c>
      <c r="G3312" s="11" t="s">
        <v>8993</v>
      </c>
      <c r="H3312" s="9" t="s">
        <v>8994</v>
      </c>
      <c r="I3312" s="10">
        <v>45523</v>
      </c>
    </row>
    <row r="3313" spans="1:9" x14ac:dyDescent="0.15">
      <c r="A3313" s="9">
        <v>3312</v>
      </c>
      <c r="B3313" s="9" t="s">
        <v>9</v>
      </c>
      <c r="C3313" s="9">
        <v>1910</v>
      </c>
      <c r="D3313" s="10">
        <v>45602</v>
      </c>
      <c r="E3313" s="13" t="str">
        <f>+HYPERLINK("http://trademark.i-assist.jp/data/china/image_1910th/80433009.pdf","80433009")</f>
        <v>80433009</v>
      </c>
      <c r="F3313" s="11" t="s">
        <v>8995</v>
      </c>
      <c r="G3313" s="9" t="s">
        <v>6924</v>
      </c>
      <c r="H3313" s="11" t="s">
        <v>8996</v>
      </c>
      <c r="I3313" s="10">
        <v>45523</v>
      </c>
    </row>
    <row r="3314" spans="1:9" x14ac:dyDescent="0.15">
      <c r="A3314" s="9">
        <v>3313</v>
      </c>
      <c r="B3314" s="9" t="s">
        <v>9</v>
      </c>
      <c r="C3314" s="9">
        <v>1910</v>
      </c>
      <c r="D3314" s="10">
        <v>45602</v>
      </c>
      <c r="E3314" s="13" t="str">
        <f>+HYPERLINK("http://trademark.i-assist.jp/data/china/image_1910th/80433345.pdf","80433345")</f>
        <v>80433345</v>
      </c>
      <c r="F3314" s="9" t="s">
        <v>8997</v>
      </c>
      <c r="G3314" s="9" t="s">
        <v>8998</v>
      </c>
      <c r="H3314" s="9" t="s">
        <v>8999</v>
      </c>
      <c r="I3314" s="10">
        <v>45523</v>
      </c>
    </row>
    <row r="3315" spans="1:9" x14ac:dyDescent="0.15">
      <c r="A3315" s="9">
        <v>3314</v>
      </c>
      <c r="B3315" s="9" t="s">
        <v>9</v>
      </c>
      <c r="C3315" s="9">
        <v>1910</v>
      </c>
      <c r="D3315" s="10">
        <v>45602</v>
      </c>
      <c r="E3315" s="13" t="str">
        <f>+HYPERLINK("http://trademark.i-assist.jp/data/china/image_1910th/80434064.pdf","80434064")</f>
        <v>80434064</v>
      </c>
      <c r="F3315" s="9" t="s">
        <v>9000</v>
      </c>
      <c r="G3315" s="9" t="s">
        <v>9001</v>
      </c>
      <c r="H3315" s="9" t="s">
        <v>9002</v>
      </c>
      <c r="I3315" s="10">
        <v>45523</v>
      </c>
    </row>
    <row r="3316" spans="1:9" x14ac:dyDescent="0.15">
      <c r="A3316" s="9">
        <v>3315</v>
      </c>
      <c r="B3316" s="9" t="s">
        <v>9</v>
      </c>
      <c r="C3316" s="9">
        <v>1910</v>
      </c>
      <c r="D3316" s="10">
        <v>45602</v>
      </c>
      <c r="E3316" s="13" t="str">
        <f>+HYPERLINK("http://trademark.i-assist.jp/data/china/image_1910th/80434669.pdf","80434669")</f>
        <v>80434669</v>
      </c>
      <c r="F3316" s="11" t="s">
        <v>9003</v>
      </c>
      <c r="G3316" s="9" t="s">
        <v>9004</v>
      </c>
      <c r="H3316" s="9" t="s">
        <v>9005</v>
      </c>
      <c r="I3316" s="10">
        <v>45523</v>
      </c>
    </row>
    <row r="3317" spans="1:9" x14ac:dyDescent="0.15">
      <c r="A3317" s="9">
        <v>3316</v>
      </c>
      <c r="B3317" s="9" t="s">
        <v>9</v>
      </c>
      <c r="C3317" s="9">
        <v>1910</v>
      </c>
      <c r="D3317" s="10">
        <v>45602</v>
      </c>
      <c r="E3317" s="13" t="str">
        <f>+HYPERLINK("http://trademark.i-assist.jp/data/china/image_1910th/80434768.pdf","80434768")</f>
        <v>80434768</v>
      </c>
      <c r="F3317" s="9" t="s">
        <v>9006</v>
      </c>
      <c r="G3317" s="11" t="s">
        <v>9007</v>
      </c>
      <c r="H3317" s="9" t="s">
        <v>9008</v>
      </c>
      <c r="I3317" s="10">
        <v>45523</v>
      </c>
    </row>
    <row r="3318" spans="1:9" x14ac:dyDescent="0.15">
      <c r="A3318" s="9">
        <v>3317</v>
      </c>
      <c r="B3318" s="9" t="s">
        <v>9</v>
      </c>
      <c r="C3318" s="9">
        <v>1910</v>
      </c>
      <c r="D3318" s="10">
        <v>45602</v>
      </c>
      <c r="E3318" s="13" t="str">
        <f>+HYPERLINK("http://trademark.i-assist.jp/data/china/image_1910th/80434772.pdf","80434772")</f>
        <v>80434772</v>
      </c>
      <c r="F3318" s="9" t="s">
        <v>9009</v>
      </c>
      <c r="G3318" s="11" t="s">
        <v>9010</v>
      </c>
      <c r="H3318" s="9" t="s">
        <v>9011</v>
      </c>
      <c r="I3318" s="10">
        <v>45523</v>
      </c>
    </row>
    <row r="3319" spans="1:9" x14ac:dyDescent="0.15">
      <c r="A3319" s="9">
        <v>3318</v>
      </c>
      <c r="B3319" s="9" t="s">
        <v>9</v>
      </c>
      <c r="C3319" s="9">
        <v>1910</v>
      </c>
      <c r="D3319" s="10">
        <v>45602</v>
      </c>
      <c r="E3319" s="13" t="str">
        <f>+HYPERLINK("http://trademark.i-assist.jp/data/china/image_1910th/80434876.pdf","80434876")</f>
        <v>80434876</v>
      </c>
      <c r="F3319" s="9" t="s">
        <v>9012</v>
      </c>
      <c r="G3319" s="9" t="s">
        <v>6924</v>
      </c>
      <c r="H3319" s="9" t="s">
        <v>9013</v>
      </c>
      <c r="I3319" s="10">
        <v>45523</v>
      </c>
    </row>
    <row r="3320" spans="1:9" x14ac:dyDescent="0.15">
      <c r="A3320" s="9">
        <v>3319</v>
      </c>
      <c r="B3320" s="9" t="s">
        <v>9</v>
      </c>
      <c r="C3320" s="9">
        <v>1910</v>
      </c>
      <c r="D3320" s="10">
        <v>45602</v>
      </c>
      <c r="E3320" s="13" t="str">
        <f>+HYPERLINK("http://trademark.i-assist.jp/data/china/image_1910th/80434884.pdf","80434884")</f>
        <v>80434884</v>
      </c>
      <c r="F3320" s="9" t="s">
        <v>9014</v>
      </c>
      <c r="G3320" s="9" t="s">
        <v>6924</v>
      </c>
      <c r="H3320" s="9" t="s">
        <v>9015</v>
      </c>
      <c r="I3320" s="10">
        <v>45523</v>
      </c>
    </row>
    <row r="3321" spans="1:9" x14ac:dyDescent="0.15">
      <c r="A3321" s="9">
        <v>3320</v>
      </c>
      <c r="B3321" s="9" t="s">
        <v>9</v>
      </c>
      <c r="C3321" s="9">
        <v>1910</v>
      </c>
      <c r="D3321" s="10">
        <v>45602</v>
      </c>
      <c r="E3321" s="13" t="str">
        <f>+HYPERLINK("http://trademark.i-assist.jp/data/china/image_1910th/80435034.pdf","80435034")</f>
        <v>80435034</v>
      </c>
      <c r="F3321" s="9" t="s">
        <v>9016</v>
      </c>
      <c r="G3321" s="9" t="s">
        <v>9017</v>
      </c>
      <c r="H3321" s="9" t="s">
        <v>9018</v>
      </c>
      <c r="I3321" s="10">
        <v>45523</v>
      </c>
    </row>
    <row r="3322" spans="1:9" x14ac:dyDescent="0.15">
      <c r="A3322" s="9">
        <v>3321</v>
      </c>
      <c r="B3322" s="9" t="s">
        <v>9</v>
      </c>
      <c r="C3322" s="9">
        <v>1910</v>
      </c>
      <c r="D3322" s="10">
        <v>45602</v>
      </c>
      <c r="E3322" s="13" t="str">
        <f>+HYPERLINK("http://trademark.i-assist.jp/data/china/image_1910th/80436957.pdf","80436957")</f>
        <v>80436957</v>
      </c>
      <c r="F3322" s="11" t="s">
        <v>9019</v>
      </c>
      <c r="G3322" s="9" t="s">
        <v>9020</v>
      </c>
      <c r="H3322" s="9" t="s">
        <v>9021</v>
      </c>
      <c r="I3322" s="10">
        <v>45523</v>
      </c>
    </row>
    <row r="3323" spans="1:9" x14ac:dyDescent="0.15">
      <c r="A3323" s="9">
        <v>3322</v>
      </c>
      <c r="B3323" s="9" t="s">
        <v>9</v>
      </c>
      <c r="C3323" s="9">
        <v>1910</v>
      </c>
      <c r="D3323" s="10">
        <v>45602</v>
      </c>
      <c r="E3323" s="13" t="str">
        <f>+HYPERLINK("http://trademark.i-assist.jp/data/china/image_1910th/80437640.pdf","80437640")</f>
        <v>80437640</v>
      </c>
      <c r="F3323" s="9" t="s">
        <v>9022</v>
      </c>
      <c r="G3323" s="9" t="s">
        <v>6924</v>
      </c>
      <c r="H3323" s="9" t="s">
        <v>9023</v>
      </c>
      <c r="I3323" s="10">
        <v>45523</v>
      </c>
    </row>
    <row r="3324" spans="1:9" x14ac:dyDescent="0.15">
      <c r="A3324" s="9">
        <v>3323</v>
      </c>
      <c r="B3324" s="9" t="s">
        <v>9</v>
      </c>
      <c r="C3324" s="9">
        <v>1910</v>
      </c>
      <c r="D3324" s="10">
        <v>45602</v>
      </c>
      <c r="E3324" s="13" t="str">
        <f>+HYPERLINK("http://trademark.i-assist.jp/data/china/image_1910th/80438219.pdf","80438219")</f>
        <v>80438219</v>
      </c>
      <c r="F3324" s="9" t="s">
        <v>9024</v>
      </c>
      <c r="G3324" s="11" t="s">
        <v>8957</v>
      </c>
      <c r="H3324" s="9" t="s">
        <v>9025</v>
      </c>
      <c r="I3324" s="10">
        <v>45523</v>
      </c>
    </row>
    <row r="3325" spans="1:9" x14ac:dyDescent="0.15">
      <c r="A3325" s="9">
        <v>3324</v>
      </c>
      <c r="B3325" s="9" t="s">
        <v>9</v>
      </c>
      <c r="C3325" s="9">
        <v>1910</v>
      </c>
      <c r="D3325" s="10">
        <v>45602</v>
      </c>
      <c r="E3325" s="13" t="str">
        <f>+HYPERLINK("http://trademark.i-assist.jp/data/china/image_1910th/80438245.pdf","80438245")</f>
        <v>80438245</v>
      </c>
      <c r="F3325" s="9" t="s">
        <v>9026</v>
      </c>
      <c r="G3325" s="9" t="s">
        <v>9027</v>
      </c>
      <c r="H3325" s="9" t="s">
        <v>9028</v>
      </c>
      <c r="I3325" s="10">
        <v>45523</v>
      </c>
    </row>
    <row r="3326" spans="1:9" x14ac:dyDescent="0.15">
      <c r="A3326" s="9">
        <v>3325</v>
      </c>
      <c r="B3326" s="9" t="s">
        <v>9</v>
      </c>
      <c r="C3326" s="9">
        <v>1910</v>
      </c>
      <c r="D3326" s="10">
        <v>45602</v>
      </c>
      <c r="E3326" s="13" t="str">
        <f>+HYPERLINK("http://trademark.i-assist.jp/data/china/image_1910th/80438429.pdf","80438429")</f>
        <v>80438429</v>
      </c>
      <c r="F3326" s="9" t="s">
        <v>9029</v>
      </c>
      <c r="G3326" s="9" t="s">
        <v>7872</v>
      </c>
      <c r="H3326" s="9" t="s">
        <v>9030</v>
      </c>
      <c r="I3326" s="10">
        <v>45523</v>
      </c>
    </row>
    <row r="3327" spans="1:9" x14ac:dyDescent="0.15">
      <c r="A3327" s="9">
        <v>3326</v>
      </c>
      <c r="B3327" s="9" t="s">
        <v>9</v>
      </c>
      <c r="C3327" s="9">
        <v>1910</v>
      </c>
      <c r="D3327" s="10">
        <v>45602</v>
      </c>
      <c r="E3327" s="13" t="str">
        <f>+HYPERLINK("http://trademark.i-assist.jp/data/china/image_1910th/80439333.pdf","80439333")</f>
        <v>80439333</v>
      </c>
      <c r="F3327" s="9" t="s">
        <v>9031</v>
      </c>
      <c r="G3327" s="11" t="s">
        <v>9032</v>
      </c>
      <c r="H3327" s="9" t="s">
        <v>9033</v>
      </c>
      <c r="I3327" s="10">
        <v>45523</v>
      </c>
    </row>
    <row r="3328" spans="1:9" x14ac:dyDescent="0.15">
      <c r="A3328" s="9">
        <v>3327</v>
      </c>
      <c r="B3328" s="9" t="s">
        <v>9</v>
      </c>
      <c r="C3328" s="9">
        <v>1910</v>
      </c>
      <c r="D3328" s="10">
        <v>45602</v>
      </c>
      <c r="E3328" s="13" t="str">
        <f>+HYPERLINK("http://trademark.i-assist.jp/data/china/image_1910th/80440663.pdf","80440663")</f>
        <v>80440663</v>
      </c>
      <c r="F3328" s="9" t="s">
        <v>9034</v>
      </c>
      <c r="G3328" s="11" t="s">
        <v>8957</v>
      </c>
      <c r="H3328" s="9" t="s">
        <v>9035</v>
      </c>
      <c r="I3328" s="10">
        <v>45523</v>
      </c>
    </row>
    <row r="3329" spans="1:9" x14ac:dyDescent="0.15">
      <c r="A3329" s="9">
        <v>3328</v>
      </c>
      <c r="B3329" s="9" t="s">
        <v>9</v>
      </c>
      <c r="C3329" s="9">
        <v>1910</v>
      </c>
      <c r="D3329" s="10">
        <v>45602</v>
      </c>
      <c r="E3329" s="13" t="str">
        <f>+HYPERLINK("http://trademark.i-assist.jp/data/china/image_1910th/80441468.pdf","80441468")</f>
        <v>80441468</v>
      </c>
      <c r="F3329" s="11" t="s">
        <v>9036</v>
      </c>
      <c r="G3329" s="9" t="s">
        <v>9037</v>
      </c>
      <c r="H3329" s="9" t="s">
        <v>9038</v>
      </c>
      <c r="I3329" s="10">
        <v>45523</v>
      </c>
    </row>
    <row r="3330" spans="1:9" x14ac:dyDescent="0.15">
      <c r="A3330" s="9">
        <v>3329</v>
      </c>
      <c r="B3330" s="9" t="s">
        <v>9</v>
      </c>
      <c r="C3330" s="9">
        <v>1910</v>
      </c>
      <c r="D3330" s="10">
        <v>45602</v>
      </c>
      <c r="E3330" s="13" t="str">
        <f>+HYPERLINK("http://trademark.i-assist.jp/data/china/image_1910th/80441537.pdf","80441537")</f>
        <v>80441537</v>
      </c>
      <c r="F3330" s="9" t="s">
        <v>9039</v>
      </c>
      <c r="G3330" s="11" t="s">
        <v>3079</v>
      </c>
      <c r="H3330" s="9" t="s">
        <v>9040</v>
      </c>
      <c r="I3330" s="10">
        <v>45523</v>
      </c>
    </row>
    <row r="3331" spans="1:9" x14ac:dyDescent="0.15">
      <c r="A3331" s="9">
        <v>3330</v>
      </c>
      <c r="B3331" s="9" t="s">
        <v>9</v>
      </c>
      <c r="C3331" s="9">
        <v>1910</v>
      </c>
      <c r="D3331" s="10">
        <v>45602</v>
      </c>
      <c r="E3331" s="13" t="str">
        <f>+HYPERLINK("http://trademark.i-assist.jp/data/china/image_1910th/80441567.pdf","80441567")</f>
        <v>80441567</v>
      </c>
      <c r="F3331" s="9" t="s">
        <v>9041</v>
      </c>
      <c r="G3331" s="11" t="s">
        <v>9010</v>
      </c>
      <c r="H3331" s="11" t="s">
        <v>9042</v>
      </c>
      <c r="I3331" s="10">
        <v>45523</v>
      </c>
    </row>
    <row r="3332" spans="1:9" x14ac:dyDescent="0.15">
      <c r="A3332" s="9">
        <v>3331</v>
      </c>
      <c r="B3332" s="9" t="s">
        <v>9</v>
      </c>
      <c r="C3332" s="9">
        <v>1910</v>
      </c>
      <c r="D3332" s="10">
        <v>45602</v>
      </c>
      <c r="E3332" s="13" t="str">
        <f>+HYPERLINK("http://trademark.i-assist.jp/data/china/image_1910th/80441781.pdf","80441781")</f>
        <v>80441781</v>
      </c>
      <c r="F3332" s="9" t="s">
        <v>9043</v>
      </c>
      <c r="G3332" s="9" t="s">
        <v>9044</v>
      </c>
      <c r="H3332" s="9" t="s">
        <v>9045</v>
      </c>
      <c r="I3332" s="10">
        <v>45523</v>
      </c>
    </row>
    <row r="3333" spans="1:9" x14ac:dyDescent="0.15">
      <c r="A3333" s="9">
        <v>3332</v>
      </c>
      <c r="B3333" s="9" t="s">
        <v>9</v>
      </c>
      <c r="C3333" s="9">
        <v>1910</v>
      </c>
      <c r="D3333" s="10">
        <v>45602</v>
      </c>
      <c r="E3333" s="13" t="str">
        <f>+HYPERLINK("http://trademark.i-assist.jp/data/china/image_1910th/80442131.pdf","80442131")</f>
        <v>80442131</v>
      </c>
      <c r="F3333" s="9" t="s">
        <v>9046</v>
      </c>
      <c r="G3333" s="9" t="s">
        <v>9047</v>
      </c>
      <c r="H3333" s="9" t="s">
        <v>9048</v>
      </c>
      <c r="I3333" s="10">
        <v>45523</v>
      </c>
    </row>
    <row r="3334" spans="1:9" x14ac:dyDescent="0.15">
      <c r="A3334" s="9">
        <v>3333</v>
      </c>
      <c r="B3334" s="9" t="s">
        <v>9</v>
      </c>
      <c r="C3334" s="9">
        <v>1910</v>
      </c>
      <c r="D3334" s="10">
        <v>45602</v>
      </c>
      <c r="E3334" s="13" t="str">
        <f>+HYPERLINK("http://trademark.i-assist.jp/data/china/image_1910th/80442428.pdf","80442428")</f>
        <v>80442428</v>
      </c>
      <c r="F3334" s="9" t="s">
        <v>9049</v>
      </c>
      <c r="G3334" s="11" t="s">
        <v>9050</v>
      </c>
      <c r="H3334" s="11" t="s">
        <v>9051</v>
      </c>
      <c r="I3334" s="10">
        <v>45523</v>
      </c>
    </row>
    <row r="3335" spans="1:9" x14ac:dyDescent="0.15">
      <c r="A3335" s="9">
        <v>3334</v>
      </c>
      <c r="B3335" s="9" t="s">
        <v>9</v>
      </c>
      <c r="C3335" s="9">
        <v>1910</v>
      </c>
      <c r="D3335" s="10">
        <v>45602</v>
      </c>
      <c r="E3335" s="13" t="str">
        <f>+HYPERLINK("http://trademark.i-assist.jp/data/china/image_1910th/80442736.pdf","80442736")</f>
        <v>80442736</v>
      </c>
      <c r="F3335" s="9" t="s">
        <v>9052</v>
      </c>
      <c r="G3335" s="9" t="s">
        <v>9053</v>
      </c>
      <c r="H3335" s="9" t="s">
        <v>9054</v>
      </c>
      <c r="I3335" s="10">
        <v>45523</v>
      </c>
    </row>
    <row r="3336" spans="1:9" x14ac:dyDescent="0.15">
      <c r="A3336" s="9">
        <v>3335</v>
      </c>
      <c r="B3336" s="9" t="s">
        <v>9</v>
      </c>
      <c r="C3336" s="9">
        <v>1910</v>
      </c>
      <c r="D3336" s="10">
        <v>45602</v>
      </c>
      <c r="E3336" s="13" t="str">
        <f>+HYPERLINK("http://trademark.i-assist.jp/data/china/image_1910th/80442853.pdf","80442853")</f>
        <v>80442853</v>
      </c>
      <c r="F3336" s="9" t="s">
        <v>9055</v>
      </c>
      <c r="G3336" s="9" t="s">
        <v>9056</v>
      </c>
      <c r="H3336" s="9" t="s">
        <v>9057</v>
      </c>
      <c r="I3336" s="10">
        <v>45523</v>
      </c>
    </row>
    <row r="3337" spans="1:9" x14ac:dyDescent="0.15">
      <c r="A3337" s="9">
        <v>3336</v>
      </c>
      <c r="B3337" s="9" t="s">
        <v>9</v>
      </c>
      <c r="C3337" s="9">
        <v>1910</v>
      </c>
      <c r="D3337" s="10">
        <v>45602</v>
      </c>
      <c r="E3337" s="13" t="str">
        <f>+HYPERLINK("http://trademark.i-assist.jp/data/china/image_1910th/80444366.pdf","80444366")</f>
        <v>80444366</v>
      </c>
      <c r="F3337" s="9" t="s">
        <v>9058</v>
      </c>
      <c r="G3337" s="9" t="s">
        <v>9059</v>
      </c>
      <c r="H3337" s="11" t="s">
        <v>9060</v>
      </c>
      <c r="I3337" s="10">
        <v>45523</v>
      </c>
    </row>
    <row r="3338" spans="1:9" x14ac:dyDescent="0.15">
      <c r="A3338" s="9">
        <v>3337</v>
      </c>
      <c r="B3338" s="9" t="s">
        <v>9</v>
      </c>
      <c r="C3338" s="9">
        <v>1910</v>
      </c>
      <c r="D3338" s="10">
        <v>45602</v>
      </c>
      <c r="E3338" s="13" t="str">
        <f>+HYPERLINK("http://trademark.i-assist.jp/data/china/image_1910th/80446001.pdf","80446001")</f>
        <v>80446001</v>
      </c>
      <c r="F3338" s="9" t="s">
        <v>9061</v>
      </c>
      <c r="G3338" s="9" t="s">
        <v>8990</v>
      </c>
      <c r="H3338" s="11" t="s">
        <v>9062</v>
      </c>
      <c r="I3338" s="10">
        <v>45523</v>
      </c>
    </row>
    <row r="3339" spans="1:9" x14ac:dyDescent="0.15">
      <c r="A3339" s="9">
        <v>3338</v>
      </c>
      <c r="B3339" s="9" t="s">
        <v>9</v>
      </c>
      <c r="C3339" s="9">
        <v>1910</v>
      </c>
      <c r="D3339" s="10">
        <v>45602</v>
      </c>
      <c r="E3339" s="13" t="str">
        <f>+HYPERLINK("http://trademark.i-assist.jp/data/china/image_1910th/80446044.pdf","80446044")</f>
        <v>80446044</v>
      </c>
      <c r="F3339" s="9" t="s">
        <v>9063</v>
      </c>
      <c r="G3339" s="11" t="s">
        <v>4479</v>
      </c>
      <c r="H3339" s="9" t="s">
        <v>9064</v>
      </c>
      <c r="I3339" s="10">
        <v>45523</v>
      </c>
    </row>
    <row r="3340" spans="1:9" x14ac:dyDescent="0.15">
      <c r="A3340" s="9">
        <v>3339</v>
      </c>
      <c r="B3340" s="9" t="s">
        <v>9</v>
      </c>
      <c r="C3340" s="9">
        <v>1910</v>
      </c>
      <c r="D3340" s="10">
        <v>45602</v>
      </c>
      <c r="E3340" s="13" t="str">
        <f>+HYPERLINK("http://trademark.i-assist.jp/data/china/image_1910th/80446059.pdf","80446059")</f>
        <v>80446059</v>
      </c>
      <c r="F3340" s="9" t="s">
        <v>9065</v>
      </c>
      <c r="G3340" s="11" t="s">
        <v>4479</v>
      </c>
      <c r="H3340" s="9" t="s">
        <v>9066</v>
      </c>
      <c r="I3340" s="10">
        <v>45523</v>
      </c>
    </row>
    <row r="3341" spans="1:9" x14ac:dyDescent="0.15">
      <c r="A3341" s="9">
        <v>3340</v>
      </c>
      <c r="B3341" s="9" t="s">
        <v>9</v>
      </c>
      <c r="C3341" s="9">
        <v>1910</v>
      </c>
      <c r="D3341" s="10">
        <v>45602</v>
      </c>
      <c r="E3341" s="13" t="str">
        <f>+HYPERLINK("http://trademark.i-assist.jp/data/china/image_1910th/80446795.pdf","80446795")</f>
        <v>80446795</v>
      </c>
      <c r="F3341" s="11" t="s">
        <v>9067</v>
      </c>
      <c r="G3341" s="9" t="s">
        <v>9068</v>
      </c>
      <c r="H3341" s="9" t="s">
        <v>9069</v>
      </c>
      <c r="I3341" s="10">
        <v>45523</v>
      </c>
    </row>
    <row r="3342" spans="1:9" x14ac:dyDescent="0.15">
      <c r="A3342" s="9">
        <v>3341</v>
      </c>
      <c r="B3342" s="9" t="s">
        <v>9</v>
      </c>
      <c r="C3342" s="9">
        <v>1910</v>
      </c>
      <c r="D3342" s="10">
        <v>45602</v>
      </c>
      <c r="E3342" s="13" t="str">
        <f>+HYPERLINK("http://trademark.i-assist.jp/data/china/image_1910th/80448075.pdf","80448075")</f>
        <v>80448075</v>
      </c>
      <c r="F3342" s="11" t="s">
        <v>19</v>
      </c>
      <c r="G3342" s="11" t="s">
        <v>9070</v>
      </c>
      <c r="H3342" s="9" t="s">
        <v>9071</v>
      </c>
      <c r="I3342" s="10">
        <v>45523</v>
      </c>
    </row>
    <row r="3343" spans="1:9" x14ac:dyDescent="0.15">
      <c r="A3343" s="9">
        <v>3342</v>
      </c>
      <c r="B3343" s="9" t="s">
        <v>9</v>
      </c>
      <c r="C3343" s="9">
        <v>1910</v>
      </c>
      <c r="D3343" s="10">
        <v>45602</v>
      </c>
      <c r="E3343" s="13" t="str">
        <f>+HYPERLINK("http://trademark.i-assist.jp/data/china/image_1910th/80448462.pdf","80448462")</f>
        <v>80448462</v>
      </c>
      <c r="F3343" s="9" t="s">
        <v>9072</v>
      </c>
      <c r="G3343" s="9" t="s">
        <v>9073</v>
      </c>
      <c r="H3343" s="9" t="s">
        <v>9074</v>
      </c>
      <c r="I3343" s="10">
        <v>45523</v>
      </c>
    </row>
    <row r="3344" spans="1:9" x14ac:dyDescent="0.15">
      <c r="A3344" s="9">
        <v>3343</v>
      </c>
      <c r="B3344" s="9" t="s">
        <v>9</v>
      </c>
      <c r="C3344" s="9">
        <v>1910</v>
      </c>
      <c r="D3344" s="10">
        <v>45602</v>
      </c>
      <c r="E3344" s="13" t="str">
        <f>+HYPERLINK("http://trademark.i-assist.jp/data/china/image_1910th/80448481.pdf","80448481")</f>
        <v>80448481</v>
      </c>
      <c r="F3344" s="11" t="s">
        <v>9075</v>
      </c>
      <c r="G3344" s="9" t="s">
        <v>9020</v>
      </c>
      <c r="H3344" s="11" t="s">
        <v>9076</v>
      </c>
      <c r="I3344" s="10">
        <v>45523</v>
      </c>
    </row>
    <row r="3345" spans="1:9" x14ac:dyDescent="0.15">
      <c r="A3345" s="9">
        <v>3344</v>
      </c>
      <c r="B3345" s="9" t="s">
        <v>9</v>
      </c>
      <c r="C3345" s="9">
        <v>1910</v>
      </c>
      <c r="D3345" s="10">
        <v>45602</v>
      </c>
      <c r="E3345" s="13" t="str">
        <f>+HYPERLINK("http://trademark.i-assist.jp/data/china/image_1910th/80448709.pdf","80448709")</f>
        <v>80448709</v>
      </c>
      <c r="F3345" s="9" t="s">
        <v>9077</v>
      </c>
      <c r="G3345" s="11" t="s">
        <v>9078</v>
      </c>
      <c r="H3345" s="9" t="s">
        <v>9079</v>
      </c>
      <c r="I3345" s="10">
        <v>45523</v>
      </c>
    </row>
    <row r="3346" spans="1:9" x14ac:dyDescent="0.15">
      <c r="A3346" s="9">
        <v>3345</v>
      </c>
      <c r="B3346" s="9" t="s">
        <v>9</v>
      </c>
      <c r="C3346" s="9">
        <v>1910</v>
      </c>
      <c r="D3346" s="10">
        <v>45602</v>
      </c>
      <c r="E3346" s="13" t="str">
        <f>+HYPERLINK("http://trademark.i-assist.jp/data/china/image_1910th/80448794.pdf","80448794")</f>
        <v>80448794</v>
      </c>
      <c r="F3346" s="11" t="s">
        <v>9080</v>
      </c>
      <c r="G3346" s="11" t="s">
        <v>8957</v>
      </c>
      <c r="H3346" s="9" t="s">
        <v>9081</v>
      </c>
      <c r="I3346" s="10">
        <v>45523</v>
      </c>
    </row>
    <row r="3347" spans="1:9" x14ac:dyDescent="0.15">
      <c r="A3347" s="9">
        <v>3346</v>
      </c>
      <c r="B3347" s="9" t="s">
        <v>9</v>
      </c>
      <c r="C3347" s="9">
        <v>1910</v>
      </c>
      <c r="D3347" s="10">
        <v>45602</v>
      </c>
      <c r="E3347" s="13" t="str">
        <f>+HYPERLINK("http://trademark.i-assist.jp/data/china/image_1910th/80448980.pdf","80448980")</f>
        <v>80448980</v>
      </c>
      <c r="F3347" s="9" t="s">
        <v>9082</v>
      </c>
      <c r="G3347" s="9" t="s">
        <v>9027</v>
      </c>
      <c r="H3347" s="9" t="s">
        <v>9083</v>
      </c>
      <c r="I3347" s="10">
        <v>45523</v>
      </c>
    </row>
    <row r="3348" spans="1:9" x14ac:dyDescent="0.15">
      <c r="A3348" s="9">
        <v>3347</v>
      </c>
      <c r="B3348" s="9" t="s">
        <v>9</v>
      </c>
      <c r="C3348" s="9">
        <v>1910</v>
      </c>
      <c r="D3348" s="10">
        <v>45602</v>
      </c>
      <c r="E3348" s="13" t="str">
        <f>+HYPERLINK("http://trademark.i-assist.jp/data/china/image_1910th/80449147.pdf","80449147")</f>
        <v>80449147</v>
      </c>
      <c r="F3348" s="9" t="s">
        <v>9084</v>
      </c>
      <c r="G3348" s="9" t="s">
        <v>9085</v>
      </c>
      <c r="H3348" s="9" t="s">
        <v>9086</v>
      </c>
      <c r="I3348" s="10">
        <v>45523</v>
      </c>
    </row>
    <row r="3349" spans="1:9" x14ac:dyDescent="0.15">
      <c r="A3349" s="9">
        <v>3348</v>
      </c>
      <c r="B3349" s="9" t="s">
        <v>9</v>
      </c>
      <c r="C3349" s="9">
        <v>1910</v>
      </c>
      <c r="D3349" s="10">
        <v>45602</v>
      </c>
      <c r="E3349" s="13" t="str">
        <f>+HYPERLINK("http://trademark.i-assist.jp/data/china/image_1910th/80450121.pdf","80450121")</f>
        <v>80450121</v>
      </c>
      <c r="F3349" s="11" t="s">
        <v>9087</v>
      </c>
      <c r="G3349" s="9" t="s">
        <v>9088</v>
      </c>
      <c r="H3349" s="9" t="s">
        <v>9089</v>
      </c>
      <c r="I3349" s="10">
        <v>45523</v>
      </c>
    </row>
    <row r="3350" spans="1:9" x14ac:dyDescent="0.15">
      <c r="A3350" s="9">
        <v>3349</v>
      </c>
      <c r="B3350" s="9" t="s">
        <v>9</v>
      </c>
      <c r="C3350" s="9">
        <v>1910</v>
      </c>
      <c r="D3350" s="10">
        <v>45602</v>
      </c>
      <c r="E3350" s="13" t="str">
        <f>+HYPERLINK("http://trademark.i-assist.jp/data/china/image_1910th/80450296.pdf","80450296")</f>
        <v>80450296</v>
      </c>
      <c r="F3350" s="9" t="s">
        <v>9090</v>
      </c>
      <c r="G3350" s="9" t="s">
        <v>9091</v>
      </c>
      <c r="H3350" s="9" t="s">
        <v>9092</v>
      </c>
      <c r="I3350" s="10">
        <v>45524</v>
      </c>
    </row>
    <row r="3351" spans="1:9" x14ac:dyDescent="0.15">
      <c r="A3351" s="9">
        <v>3350</v>
      </c>
      <c r="B3351" s="9" t="s">
        <v>9</v>
      </c>
      <c r="C3351" s="9">
        <v>1910</v>
      </c>
      <c r="D3351" s="10">
        <v>45602</v>
      </c>
      <c r="E3351" s="13" t="str">
        <f>+HYPERLINK("http://trademark.i-assist.jp/data/china/image_1910th/80450395.pdf","80450395")</f>
        <v>80450395</v>
      </c>
      <c r="F3351" s="11" t="s">
        <v>9093</v>
      </c>
      <c r="G3351" s="9" t="s">
        <v>9094</v>
      </c>
      <c r="H3351" s="11" t="s">
        <v>9095</v>
      </c>
      <c r="I3351" s="10">
        <v>45524</v>
      </c>
    </row>
    <row r="3352" spans="1:9" x14ac:dyDescent="0.15">
      <c r="A3352" s="9">
        <v>3351</v>
      </c>
      <c r="B3352" s="9" t="s">
        <v>9</v>
      </c>
      <c r="C3352" s="9">
        <v>1910</v>
      </c>
      <c r="D3352" s="10">
        <v>45602</v>
      </c>
      <c r="E3352" s="13" t="str">
        <f>+HYPERLINK("http://trademark.i-assist.jp/data/china/image_1910th/80450424.pdf","80450424")</f>
        <v>80450424</v>
      </c>
      <c r="F3352" s="11" t="s">
        <v>9096</v>
      </c>
      <c r="G3352" s="9" t="s">
        <v>9097</v>
      </c>
      <c r="H3352" s="9" t="s">
        <v>9098</v>
      </c>
      <c r="I3352" s="10">
        <v>45524</v>
      </c>
    </row>
    <row r="3353" spans="1:9" x14ac:dyDescent="0.15">
      <c r="A3353" s="9">
        <v>3352</v>
      </c>
      <c r="B3353" s="9" t="s">
        <v>9</v>
      </c>
      <c r="C3353" s="9">
        <v>1910</v>
      </c>
      <c r="D3353" s="10">
        <v>45602</v>
      </c>
      <c r="E3353" s="13" t="str">
        <f>+HYPERLINK("http://trademark.i-assist.jp/data/china/image_1910th/80450749.pdf","80450749")</f>
        <v>80450749</v>
      </c>
      <c r="F3353" s="9" t="s">
        <v>9099</v>
      </c>
      <c r="G3353" s="9" t="s">
        <v>9094</v>
      </c>
      <c r="H3353" s="9" t="s">
        <v>9100</v>
      </c>
      <c r="I3353" s="10">
        <v>45524</v>
      </c>
    </row>
    <row r="3354" spans="1:9" x14ac:dyDescent="0.15">
      <c r="A3354" s="9">
        <v>3353</v>
      </c>
      <c r="B3354" s="9" t="s">
        <v>9</v>
      </c>
      <c r="C3354" s="9">
        <v>1910</v>
      </c>
      <c r="D3354" s="10">
        <v>45602</v>
      </c>
      <c r="E3354" s="13" t="str">
        <f>+HYPERLINK("http://trademark.i-assist.jp/data/china/image_1910th/80451144.pdf","80451144")</f>
        <v>80451144</v>
      </c>
      <c r="F3354" s="9" t="s">
        <v>9101</v>
      </c>
      <c r="G3354" s="11" t="s">
        <v>9102</v>
      </c>
      <c r="H3354" s="9" t="s">
        <v>9103</v>
      </c>
      <c r="I3354" s="10">
        <v>45524</v>
      </c>
    </row>
    <row r="3355" spans="1:9" x14ac:dyDescent="0.15">
      <c r="A3355" s="9">
        <v>3354</v>
      </c>
      <c r="B3355" s="9" t="s">
        <v>9</v>
      </c>
      <c r="C3355" s="9">
        <v>1910</v>
      </c>
      <c r="D3355" s="10">
        <v>45602</v>
      </c>
      <c r="E3355" s="13" t="str">
        <f>+HYPERLINK("http://trademark.i-assist.jp/data/china/image_1910th/80451565.pdf","80451565")</f>
        <v>80451565</v>
      </c>
      <c r="F3355" s="9" t="s">
        <v>9104</v>
      </c>
      <c r="G3355" s="9" t="s">
        <v>9105</v>
      </c>
      <c r="H3355" s="9" t="s">
        <v>9106</v>
      </c>
      <c r="I3355" s="10">
        <v>45524</v>
      </c>
    </row>
    <row r="3356" spans="1:9" x14ac:dyDescent="0.15">
      <c r="A3356" s="9">
        <v>3355</v>
      </c>
      <c r="B3356" s="9" t="s">
        <v>9</v>
      </c>
      <c r="C3356" s="9">
        <v>1910</v>
      </c>
      <c r="D3356" s="10">
        <v>45602</v>
      </c>
      <c r="E3356" s="13" t="str">
        <f>+HYPERLINK("http://trademark.i-assist.jp/data/china/image_1910th/80452064.pdf","80452064")</f>
        <v>80452064</v>
      </c>
      <c r="F3356" s="11" t="s">
        <v>9107</v>
      </c>
      <c r="G3356" s="9" t="s">
        <v>9108</v>
      </c>
      <c r="H3356" s="9" t="s">
        <v>9109</v>
      </c>
      <c r="I3356" s="10">
        <v>45524</v>
      </c>
    </row>
    <row r="3357" spans="1:9" x14ac:dyDescent="0.15">
      <c r="A3357" s="9">
        <v>3356</v>
      </c>
      <c r="B3357" s="9" t="s">
        <v>9</v>
      </c>
      <c r="C3357" s="9">
        <v>1910</v>
      </c>
      <c r="D3357" s="10">
        <v>45602</v>
      </c>
      <c r="E3357" s="13" t="str">
        <f>+HYPERLINK("http://trademark.i-assist.jp/data/china/image_1910th/80452994.pdf","80452994")</f>
        <v>80452994</v>
      </c>
      <c r="F3357" s="9" t="s">
        <v>9110</v>
      </c>
      <c r="G3357" s="9" t="s">
        <v>9111</v>
      </c>
      <c r="H3357" s="9" t="s">
        <v>9112</v>
      </c>
      <c r="I3357" s="10">
        <v>45524</v>
      </c>
    </row>
    <row r="3358" spans="1:9" x14ac:dyDescent="0.15">
      <c r="A3358" s="9">
        <v>3357</v>
      </c>
      <c r="B3358" s="9" t="s">
        <v>9</v>
      </c>
      <c r="C3358" s="9">
        <v>1910</v>
      </c>
      <c r="D3358" s="10">
        <v>45602</v>
      </c>
      <c r="E3358" s="13" t="str">
        <f>+HYPERLINK("http://trademark.i-assist.jp/data/china/image_1910th/80453581.pdf","80453581")</f>
        <v>80453581</v>
      </c>
      <c r="F3358" s="9" t="s">
        <v>9113</v>
      </c>
      <c r="G3358" s="9" t="s">
        <v>9114</v>
      </c>
      <c r="H3358" s="11" t="s">
        <v>9115</v>
      </c>
      <c r="I3358" s="10">
        <v>45524</v>
      </c>
    </row>
    <row r="3359" spans="1:9" x14ac:dyDescent="0.15">
      <c r="A3359" s="9">
        <v>3358</v>
      </c>
      <c r="B3359" s="9" t="s">
        <v>9</v>
      </c>
      <c r="C3359" s="9">
        <v>1910</v>
      </c>
      <c r="D3359" s="10">
        <v>45602</v>
      </c>
      <c r="E3359" s="13" t="str">
        <f>+HYPERLINK("http://trademark.i-assist.jp/data/china/image_1910th/80453907.pdf","80453907")</f>
        <v>80453907</v>
      </c>
      <c r="F3359" s="9" t="s">
        <v>9116</v>
      </c>
      <c r="G3359" s="9" t="s">
        <v>9117</v>
      </c>
      <c r="H3359" s="9" t="s">
        <v>9118</v>
      </c>
      <c r="I3359" s="10">
        <v>45524</v>
      </c>
    </row>
    <row r="3360" spans="1:9" x14ac:dyDescent="0.15">
      <c r="A3360" s="9">
        <v>3359</v>
      </c>
      <c r="B3360" s="9" t="s">
        <v>9</v>
      </c>
      <c r="C3360" s="9">
        <v>1910</v>
      </c>
      <c r="D3360" s="10">
        <v>45602</v>
      </c>
      <c r="E3360" s="13" t="str">
        <f>+HYPERLINK("http://trademark.i-assist.jp/data/china/image_1910th/80454270.pdf","80454270")</f>
        <v>80454270</v>
      </c>
      <c r="F3360" s="9" t="s">
        <v>9119</v>
      </c>
      <c r="G3360" s="9" t="s">
        <v>9094</v>
      </c>
      <c r="H3360" s="9" t="s">
        <v>9120</v>
      </c>
      <c r="I3360" s="10">
        <v>45524</v>
      </c>
    </row>
    <row r="3361" spans="1:9" x14ac:dyDescent="0.15">
      <c r="A3361" s="9">
        <v>3360</v>
      </c>
      <c r="B3361" s="9" t="s">
        <v>9</v>
      </c>
      <c r="C3361" s="9">
        <v>1910</v>
      </c>
      <c r="D3361" s="10">
        <v>45602</v>
      </c>
      <c r="E3361" s="13" t="str">
        <f>+HYPERLINK("http://trademark.i-assist.jp/data/china/image_1910th/80455116.pdf","80455116")</f>
        <v>80455116</v>
      </c>
      <c r="F3361" s="9" t="s">
        <v>9121</v>
      </c>
      <c r="G3361" s="9" t="s">
        <v>8145</v>
      </c>
      <c r="H3361" s="9" t="s">
        <v>9122</v>
      </c>
      <c r="I3361" s="10">
        <v>45524</v>
      </c>
    </row>
    <row r="3362" spans="1:9" x14ac:dyDescent="0.15">
      <c r="A3362" s="9">
        <v>3361</v>
      </c>
      <c r="B3362" s="9" t="s">
        <v>9</v>
      </c>
      <c r="C3362" s="9">
        <v>1910</v>
      </c>
      <c r="D3362" s="10">
        <v>45602</v>
      </c>
      <c r="E3362" s="13" t="str">
        <f>+HYPERLINK("http://trademark.i-assist.jp/data/china/image_1910th/80456168.pdf","80456168")</f>
        <v>80456168</v>
      </c>
      <c r="F3362" s="11" t="s">
        <v>9123</v>
      </c>
      <c r="G3362" s="9" t="s">
        <v>9124</v>
      </c>
      <c r="H3362" s="9" t="s">
        <v>9125</v>
      </c>
      <c r="I3362" s="10">
        <v>45524</v>
      </c>
    </row>
    <row r="3363" spans="1:9" x14ac:dyDescent="0.15">
      <c r="A3363" s="9">
        <v>3362</v>
      </c>
      <c r="B3363" s="9" t="s">
        <v>9</v>
      </c>
      <c r="C3363" s="9">
        <v>1910</v>
      </c>
      <c r="D3363" s="10">
        <v>45602</v>
      </c>
      <c r="E3363" s="13" t="str">
        <f>+HYPERLINK("http://trademark.i-assist.jp/data/china/image_1910th/80456304.pdf","80456304")</f>
        <v>80456304</v>
      </c>
      <c r="F3363" s="9" t="s">
        <v>9126</v>
      </c>
      <c r="G3363" s="11" t="s">
        <v>9127</v>
      </c>
      <c r="H3363" s="9" t="s">
        <v>9128</v>
      </c>
      <c r="I3363" s="10">
        <v>45524</v>
      </c>
    </row>
    <row r="3364" spans="1:9" x14ac:dyDescent="0.15">
      <c r="A3364" s="9">
        <v>3363</v>
      </c>
      <c r="B3364" s="9" t="s">
        <v>9</v>
      </c>
      <c r="C3364" s="9">
        <v>1910</v>
      </c>
      <c r="D3364" s="10">
        <v>45602</v>
      </c>
      <c r="E3364" s="13" t="str">
        <f>+HYPERLINK("http://trademark.i-assist.jp/data/china/image_1910th/80456755.pdf","80456755")</f>
        <v>80456755</v>
      </c>
      <c r="F3364" s="9" t="s">
        <v>9129</v>
      </c>
      <c r="G3364" s="11" t="s">
        <v>9130</v>
      </c>
      <c r="H3364" s="9" t="s">
        <v>9131</v>
      </c>
      <c r="I3364" s="10">
        <v>45524</v>
      </c>
    </row>
    <row r="3365" spans="1:9" x14ac:dyDescent="0.15">
      <c r="A3365" s="9">
        <v>3364</v>
      </c>
      <c r="B3365" s="9" t="s">
        <v>9</v>
      </c>
      <c r="C3365" s="9">
        <v>1910</v>
      </c>
      <c r="D3365" s="10">
        <v>45602</v>
      </c>
      <c r="E3365" s="13" t="str">
        <f>+HYPERLINK("http://trademark.i-assist.jp/data/china/image_1910th/80457116.pdf","80457116")</f>
        <v>80457116</v>
      </c>
      <c r="F3365" s="9" t="s">
        <v>9132</v>
      </c>
      <c r="G3365" s="9" t="s">
        <v>9133</v>
      </c>
      <c r="H3365" s="9" t="s">
        <v>9134</v>
      </c>
      <c r="I3365" s="10">
        <v>45524</v>
      </c>
    </row>
    <row r="3366" spans="1:9" x14ac:dyDescent="0.15">
      <c r="A3366" s="9">
        <v>3365</v>
      </c>
      <c r="B3366" s="9" t="s">
        <v>9</v>
      </c>
      <c r="C3366" s="9">
        <v>1910</v>
      </c>
      <c r="D3366" s="10">
        <v>45602</v>
      </c>
      <c r="E3366" s="13" t="str">
        <f>+HYPERLINK("http://trademark.i-assist.jp/data/china/image_1910th/80457237.pdf","80457237")</f>
        <v>80457237</v>
      </c>
      <c r="F3366" s="11" t="s">
        <v>9135</v>
      </c>
      <c r="G3366" s="9" t="s">
        <v>9136</v>
      </c>
      <c r="H3366" s="9" t="s">
        <v>9137</v>
      </c>
      <c r="I3366" s="10">
        <v>45524</v>
      </c>
    </row>
    <row r="3367" spans="1:9" x14ac:dyDescent="0.15">
      <c r="A3367" s="9">
        <v>3366</v>
      </c>
      <c r="B3367" s="9" t="s">
        <v>9</v>
      </c>
      <c r="C3367" s="9">
        <v>1910</v>
      </c>
      <c r="D3367" s="10">
        <v>45602</v>
      </c>
      <c r="E3367" s="13" t="str">
        <f>+HYPERLINK("http://trademark.i-assist.jp/data/china/image_1910th/80458466.pdf","80458466")</f>
        <v>80458466</v>
      </c>
      <c r="F3367" s="9" t="s">
        <v>9138</v>
      </c>
      <c r="G3367" s="9" t="s">
        <v>9139</v>
      </c>
      <c r="H3367" s="9" t="s">
        <v>9140</v>
      </c>
      <c r="I3367" s="10">
        <v>45524</v>
      </c>
    </row>
    <row r="3368" spans="1:9" x14ac:dyDescent="0.15">
      <c r="A3368" s="9">
        <v>3367</v>
      </c>
      <c r="B3368" s="9" t="s">
        <v>9</v>
      </c>
      <c r="C3368" s="9">
        <v>1910</v>
      </c>
      <c r="D3368" s="10">
        <v>45602</v>
      </c>
      <c r="E3368" s="13" t="str">
        <f>+HYPERLINK("http://trademark.i-assist.jp/data/china/image_1910th/80458597.pdf","80458597")</f>
        <v>80458597</v>
      </c>
      <c r="F3368" s="9" t="s">
        <v>9141</v>
      </c>
      <c r="G3368" s="9" t="s">
        <v>9142</v>
      </c>
      <c r="H3368" s="9" t="s">
        <v>9143</v>
      </c>
      <c r="I3368" s="10">
        <v>45524</v>
      </c>
    </row>
    <row r="3369" spans="1:9" x14ac:dyDescent="0.15">
      <c r="A3369" s="9">
        <v>3368</v>
      </c>
      <c r="B3369" s="9" t="s">
        <v>9</v>
      </c>
      <c r="C3369" s="9">
        <v>1910</v>
      </c>
      <c r="D3369" s="10">
        <v>45602</v>
      </c>
      <c r="E3369" s="13" t="str">
        <f>+HYPERLINK("http://trademark.i-assist.jp/data/china/image_1910th/80459495.pdf","80459495")</f>
        <v>80459495</v>
      </c>
      <c r="F3369" s="9" t="s">
        <v>9144</v>
      </c>
      <c r="G3369" s="9" t="s">
        <v>9145</v>
      </c>
      <c r="H3369" s="9" t="s">
        <v>9146</v>
      </c>
      <c r="I3369" s="10">
        <v>45524</v>
      </c>
    </row>
    <row r="3370" spans="1:9" x14ac:dyDescent="0.15">
      <c r="A3370" s="9">
        <v>3369</v>
      </c>
      <c r="B3370" s="9" t="s">
        <v>9</v>
      </c>
      <c r="C3370" s="9">
        <v>1910</v>
      </c>
      <c r="D3370" s="10">
        <v>45602</v>
      </c>
      <c r="E3370" s="13" t="str">
        <f>+HYPERLINK("http://trademark.i-assist.jp/data/china/image_1910th/80459508.pdf","80459508")</f>
        <v>80459508</v>
      </c>
      <c r="F3370" s="9" t="s">
        <v>9147</v>
      </c>
      <c r="G3370" s="9" t="s">
        <v>9148</v>
      </c>
      <c r="H3370" s="9" t="s">
        <v>9149</v>
      </c>
      <c r="I3370" s="10">
        <v>45524</v>
      </c>
    </row>
    <row r="3371" spans="1:9" x14ac:dyDescent="0.15">
      <c r="A3371" s="9">
        <v>3370</v>
      </c>
      <c r="B3371" s="9" t="s">
        <v>9</v>
      </c>
      <c r="C3371" s="9">
        <v>1910</v>
      </c>
      <c r="D3371" s="10">
        <v>45602</v>
      </c>
      <c r="E3371" s="13" t="str">
        <f>+HYPERLINK("http://trademark.i-assist.jp/data/china/image_1910th/80460573.pdf","80460573")</f>
        <v>80460573</v>
      </c>
      <c r="F3371" s="12" t="s">
        <v>9150</v>
      </c>
      <c r="G3371" s="9" t="s">
        <v>9151</v>
      </c>
      <c r="H3371" s="11" t="s">
        <v>9152</v>
      </c>
      <c r="I3371" s="10">
        <v>45524</v>
      </c>
    </row>
    <row r="3372" spans="1:9" x14ac:dyDescent="0.15">
      <c r="A3372" s="9">
        <v>3371</v>
      </c>
      <c r="B3372" s="9" t="s">
        <v>9</v>
      </c>
      <c r="C3372" s="9">
        <v>1910</v>
      </c>
      <c r="D3372" s="10">
        <v>45602</v>
      </c>
      <c r="E3372" s="13" t="str">
        <f>+HYPERLINK("http://trademark.i-assist.jp/data/china/image_1910th/80460975.pdf","80460975")</f>
        <v>80460975</v>
      </c>
      <c r="F3372" s="9" t="s">
        <v>9153</v>
      </c>
      <c r="G3372" s="9" t="s">
        <v>9154</v>
      </c>
      <c r="H3372" s="9" t="s">
        <v>9155</v>
      </c>
      <c r="I3372" s="10">
        <v>45524</v>
      </c>
    </row>
    <row r="3373" spans="1:9" x14ac:dyDescent="0.15">
      <c r="A3373" s="9">
        <v>3372</v>
      </c>
      <c r="B3373" s="9" t="s">
        <v>9</v>
      </c>
      <c r="C3373" s="9">
        <v>1910</v>
      </c>
      <c r="D3373" s="10">
        <v>45602</v>
      </c>
      <c r="E3373" s="13" t="str">
        <f>+HYPERLINK("http://trademark.i-assist.jp/data/china/image_1910th/80462293.pdf","80462293")</f>
        <v>80462293</v>
      </c>
      <c r="F3373" s="9" t="s">
        <v>9156</v>
      </c>
      <c r="G3373" s="11" t="s">
        <v>5600</v>
      </c>
      <c r="H3373" s="9" t="s">
        <v>9157</v>
      </c>
      <c r="I3373" s="10">
        <v>45524</v>
      </c>
    </row>
    <row r="3374" spans="1:9" x14ac:dyDescent="0.15">
      <c r="A3374" s="9">
        <v>3373</v>
      </c>
      <c r="B3374" s="9" t="s">
        <v>9</v>
      </c>
      <c r="C3374" s="9">
        <v>1910</v>
      </c>
      <c r="D3374" s="10">
        <v>45602</v>
      </c>
      <c r="E3374" s="13" t="str">
        <f>+HYPERLINK("http://trademark.i-assist.jp/data/china/image_1910th/80462661.pdf","80462661")</f>
        <v>80462661</v>
      </c>
      <c r="F3374" s="11" t="s">
        <v>9158</v>
      </c>
      <c r="G3374" s="9" t="s">
        <v>9094</v>
      </c>
      <c r="H3374" s="11" t="s">
        <v>9159</v>
      </c>
      <c r="I3374" s="10">
        <v>45524</v>
      </c>
    </row>
    <row r="3375" spans="1:9" x14ac:dyDescent="0.15">
      <c r="A3375" s="9">
        <v>3374</v>
      </c>
      <c r="B3375" s="9" t="s">
        <v>9</v>
      </c>
      <c r="C3375" s="9">
        <v>1910</v>
      </c>
      <c r="D3375" s="10">
        <v>45602</v>
      </c>
      <c r="E3375" s="13" t="str">
        <f>+HYPERLINK("http://trademark.i-assist.jp/data/china/image_1910th/80463444.pdf","80463444")</f>
        <v>80463444</v>
      </c>
      <c r="F3375" s="9" t="s">
        <v>9160</v>
      </c>
      <c r="G3375" s="9" t="s">
        <v>9161</v>
      </c>
      <c r="H3375" s="9" t="s">
        <v>9162</v>
      </c>
      <c r="I3375" s="10">
        <v>45524</v>
      </c>
    </row>
    <row r="3376" spans="1:9" x14ac:dyDescent="0.15">
      <c r="A3376" s="9">
        <v>3375</v>
      </c>
      <c r="B3376" s="9" t="s">
        <v>9</v>
      </c>
      <c r="C3376" s="9">
        <v>1910</v>
      </c>
      <c r="D3376" s="10">
        <v>45602</v>
      </c>
      <c r="E3376" s="13" t="str">
        <f>+HYPERLINK("http://trademark.i-assist.jp/data/china/image_1910th/80463939.pdf","80463939")</f>
        <v>80463939</v>
      </c>
      <c r="F3376" s="11" t="s">
        <v>9163</v>
      </c>
      <c r="G3376" s="9" t="s">
        <v>9164</v>
      </c>
      <c r="H3376" s="9" t="s">
        <v>9165</v>
      </c>
      <c r="I3376" s="10">
        <v>45524</v>
      </c>
    </row>
    <row r="3377" spans="1:9" x14ac:dyDescent="0.15">
      <c r="A3377" s="9">
        <v>3376</v>
      </c>
      <c r="B3377" s="9" t="s">
        <v>9</v>
      </c>
      <c r="C3377" s="9">
        <v>1910</v>
      </c>
      <c r="D3377" s="10">
        <v>45602</v>
      </c>
      <c r="E3377" s="13" t="str">
        <f>+HYPERLINK("http://trademark.i-assist.jp/data/china/image_1910th/80464166.pdf","80464166")</f>
        <v>80464166</v>
      </c>
      <c r="F3377" s="9" t="s">
        <v>9166</v>
      </c>
      <c r="G3377" s="9" t="s">
        <v>9167</v>
      </c>
      <c r="H3377" s="9" t="s">
        <v>9168</v>
      </c>
      <c r="I3377" s="10">
        <v>45524</v>
      </c>
    </row>
    <row r="3378" spans="1:9" x14ac:dyDescent="0.15">
      <c r="A3378" s="9">
        <v>3377</v>
      </c>
      <c r="B3378" s="9" t="s">
        <v>9</v>
      </c>
      <c r="C3378" s="9">
        <v>1910</v>
      </c>
      <c r="D3378" s="10">
        <v>45602</v>
      </c>
      <c r="E3378" s="13" t="str">
        <f>+HYPERLINK("http://trademark.i-assist.jp/data/china/image_1910th/80466503.pdf","80466503")</f>
        <v>80466503</v>
      </c>
      <c r="F3378" s="9" t="s">
        <v>9169</v>
      </c>
      <c r="G3378" s="9" t="s">
        <v>9154</v>
      </c>
      <c r="H3378" s="9" t="s">
        <v>9170</v>
      </c>
      <c r="I3378" s="10">
        <v>45524</v>
      </c>
    </row>
    <row r="3379" spans="1:9" x14ac:dyDescent="0.15">
      <c r="A3379" s="9">
        <v>3378</v>
      </c>
      <c r="B3379" s="9" t="s">
        <v>9</v>
      </c>
      <c r="C3379" s="9">
        <v>1910</v>
      </c>
      <c r="D3379" s="10">
        <v>45602</v>
      </c>
      <c r="E3379" s="13" t="str">
        <f>+HYPERLINK("http://trademark.i-assist.jp/data/china/image_1910th/80466612.pdf","80466612")</f>
        <v>80466612</v>
      </c>
      <c r="F3379" s="9" t="s">
        <v>9171</v>
      </c>
      <c r="G3379" s="9" t="s">
        <v>9172</v>
      </c>
      <c r="H3379" s="11" t="s">
        <v>9173</v>
      </c>
      <c r="I3379" s="10">
        <v>45524</v>
      </c>
    </row>
    <row r="3380" spans="1:9" x14ac:dyDescent="0.15">
      <c r="A3380" s="9">
        <v>3379</v>
      </c>
      <c r="B3380" s="9" t="s">
        <v>9</v>
      </c>
      <c r="C3380" s="9">
        <v>1910</v>
      </c>
      <c r="D3380" s="10">
        <v>45602</v>
      </c>
      <c r="E3380" s="13" t="str">
        <f>+HYPERLINK("http://trademark.i-assist.jp/data/china/image_1910th/80467039.pdf","80467039")</f>
        <v>80467039</v>
      </c>
      <c r="F3380" s="9" t="s">
        <v>9174</v>
      </c>
      <c r="G3380" s="9" t="s">
        <v>9175</v>
      </c>
      <c r="H3380" s="9" t="s">
        <v>9176</v>
      </c>
      <c r="I3380" s="10">
        <v>45524</v>
      </c>
    </row>
    <row r="3381" spans="1:9" x14ac:dyDescent="0.15">
      <c r="A3381" s="9">
        <v>3380</v>
      </c>
      <c r="B3381" s="9" t="s">
        <v>9</v>
      </c>
      <c r="C3381" s="9">
        <v>1910</v>
      </c>
      <c r="D3381" s="10">
        <v>45602</v>
      </c>
      <c r="E3381" s="13" t="str">
        <f>+HYPERLINK("http://trademark.i-assist.jp/data/china/image_1910th/80467750.pdf","80467750")</f>
        <v>80467750</v>
      </c>
      <c r="F3381" s="9" t="s">
        <v>9177</v>
      </c>
      <c r="G3381" s="9" t="s">
        <v>9178</v>
      </c>
      <c r="H3381" s="9" t="s">
        <v>9179</v>
      </c>
      <c r="I3381" s="10">
        <v>45524</v>
      </c>
    </row>
    <row r="3382" spans="1:9" x14ac:dyDescent="0.15">
      <c r="A3382" s="9">
        <v>3381</v>
      </c>
      <c r="B3382" s="9" t="s">
        <v>9</v>
      </c>
      <c r="C3382" s="9">
        <v>1910</v>
      </c>
      <c r="D3382" s="10">
        <v>45602</v>
      </c>
      <c r="E3382" s="13" t="str">
        <f>+HYPERLINK("http://trademark.i-assist.jp/data/china/image_1910th/80467938.pdf","80467938")</f>
        <v>80467938</v>
      </c>
      <c r="F3382" s="9" t="s">
        <v>9180</v>
      </c>
      <c r="G3382" s="9" t="s">
        <v>9181</v>
      </c>
      <c r="H3382" s="9" t="s">
        <v>9182</v>
      </c>
      <c r="I3382" s="10">
        <v>45524</v>
      </c>
    </row>
    <row r="3383" spans="1:9" x14ac:dyDescent="0.15">
      <c r="A3383" s="9">
        <v>3382</v>
      </c>
      <c r="B3383" s="9" t="s">
        <v>9</v>
      </c>
      <c r="C3383" s="9">
        <v>1910</v>
      </c>
      <c r="D3383" s="10">
        <v>45602</v>
      </c>
      <c r="E3383" s="13" t="str">
        <f>+HYPERLINK("http://trademark.i-assist.jp/data/china/image_1910th/80468778.pdf","80468778")</f>
        <v>80468778</v>
      </c>
      <c r="F3383" s="9" t="s">
        <v>9183</v>
      </c>
      <c r="G3383" s="9" t="s">
        <v>9184</v>
      </c>
      <c r="H3383" s="9" t="s">
        <v>9185</v>
      </c>
      <c r="I3383" s="10">
        <v>45524</v>
      </c>
    </row>
    <row r="3384" spans="1:9" x14ac:dyDescent="0.15">
      <c r="A3384" s="9">
        <v>3383</v>
      </c>
      <c r="B3384" s="9" t="s">
        <v>9</v>
      </c>
      <c r="C3384" s="9">
        <v>1910</v>
      </c>
      <c r="D3384" s="10">
        <v>45602</v>
      </c>
      <c r="E3384" s="13" t="str">
        <f>+HYPERLINK("http://trademark.i-assist.jp/data/china/image_1910th/80469164.pdf","80469164")</f>
        <v>80469164</v>
      </c>
      <c r="F3384" s="9" t="s">
        <v>9186</v>
      </c>
      <c r="G3384" s="9" t="s">
        <v>9187</v>
      </c>
      <c r="H3384" s="9" t="s">
        <v>9188</v>
      </c>
      <c r="I3384" s="10">
        <v>45524</v>
      </c>
    </row>
    <row r="3385" spans="1:9" x14ac:dyDescent="0.15">
      <c r="A3385" s="9">
        <v>3384</v>
      </c>
      <c r="B3385" s="9" t="s">
        <v>9</v>
      </c>
      <c r="C3385" s="9">
        <v>1910</v>
      </c>
      <c r="D3385" s="10">
        <v>45602</v>
      </c>
      <c r="E3385" s="13" t="str">
        <f>+HYPERLINK("http://trademark.i-assist.jp/data/china/image_1910th/80469658.pdf","80469658")</f>
        <v>80469658</v>
      </c>
      <c r="F3385" s="9" t="s">
        <v>9189</v>
      </c>
      <c r="G3385" s="9" t="s">
        <v>9094</v>
      </c>
      <c r="H3385" s="9" t="s">
        <v>9190</v>
      </c>
      <c r="I3385" s="10">
        <v>45524</v>
      </c>
    </row>
    <row r="3386" spans="1:9" x14ac:dyDescent="0.15">
      <c r="A3386" s="9">
        <v>3385</v>
      </c>
      <c r="B3386" s="9" t="s">
        <v>9</v>
      </c>
      <c r="C3386" s="9">
        <v>1910</v>
      </c>
      <c r="D3386" s="10">
        <v>45602</v>
      </c>
      <c r="E3386" s="13" t="str">
        <f>+HYPERLINK("http://trademark.i-assist.jp/data/china/image_1910th/80470140.pdf","80470140")</f>
        <v>80470140</v>
      </c>
      <c r="F3386" s="11" t="s">
        <v>9191</v>
      </c>
      <c r="G3386" s="11" t="s">
        <v>9192</v>
      </c>
      <c r="H3386" s="9" t="s">
        <v>9193</v>
      </c>
      <c r="I3386" s="10">
        <v>45524</v>
      </c>
    </row>
    <row r="3387" spans="1:9" x14ac:dyDescent="0.15">
      <c r="A3387" s="9">
        <v>3386</v>
      </c>
      <c r="B3387" s="9" t="s">
        <v>9</v>
      </c>
      <c r="C3387" s="9">
        <v>1910</v>
      </c>
      <c r="D3387" s="10">
        <v>45602</v>
      </c>
      <c r="E3387" s="13" t="str">
        <f>+HYPERLINK("http://trademark.i-assist.jp/data/china/image_1910th/80470213.pdf","80470213")</f>
        <v>80470213</v>
      </c>
      <c r="F3387" s="9" t="s">
        <v>9194</v>
      </c>
      <c r="G3387" s="9" t="s">
        <v>9195</v>
      </c>
      <c r="H3387" s="9" t="s">
        <v>9196</v>
      </c>
      <c r="I3387" s="10">
        <v>45524</v>
      </c>
    </row>
    <row r="3388" spans="1:9" x14ac:dyDescent="0.15">
      <c r="A3388" s="9">
        <v>3387</v>
      </c>
      <c r="B3388" s="9" t="s">
        <v>9</v>
      </c>
      <c r="C3388" s="9">
        <v>1910</v>
      </c>
      <c r="D3388" s="10">
        <v>45602</v>
      </c>
      <c r="E3388" s="13" t="str">
        <f>+HYPERLINK("http://trademark.i-assist.jp/data/china/image_1910th/80470669.pdf","80470669")</f>
        <v>80470669</v>
      </c>
      <c r="F3388" s="9" t="s">
        <v>9197</v>
      </c>
      <c r="G3388" s="9" t="s">
        <v>9198</v>
      </c>
      <c r="H3388" s="9" t="s">
        <v>9199</v>
      </c>
      <c r="I3388" s="10">
        <v>45524</v>
      </c>
    </row>
    <row r="3389" spans="1:9" x14ac:dyDescent="0.15">
      <c r="A3389" s="9">
        <v>3388</v>
      </c>
      <c r="B3389" s="9" t="s">
        <v>9</v>
      </c>
      <c r="C3389" s="9">
        <v>1910</v>
      </c>
      <c r="D3389" s="10">
        <v>45602</v>
      </c>
      <c r="E3389" s="13" t="str">
        <f>+HYPERLINK("http://trademark.i-assist.jp/data/china/image_1910th/80471830.pdf","80471830")</f>
        <v>80471830</v>
      </c>
      <c r="F3389" s="9" t="s">
        <v>9200</v>
      </c>
      <c r="G3389" s="11" t="s">
        <v>9201</v>
      </c>
      <c r="H3389" s="9" t="s">
        <v>9202</v>
      </c>
      <c r="I3389" s="10">
        <v>45524</v>
      </c>
    </row>
    <row r="3390" spans="1:9" x14ac:dyDescent="0.15">
      <c r="A3390" s="9">
        <v>3389</v>
      </c>
      <c r="B3390" s="9" t="s">
        <v>9</v>
      </c>
      <c r="C3390" s="9">
        <v>1910</v>
      </c>
      <c r="D3390" s="10">
        <v>45602</v>
      </c>
      <c r="E3390" s="13" t="str">
        <f>+HYPERLINK("http://trademark.i-assist.jp/data/china/image_1910th/80472357.pdf","80472357")</f>
        <v>80472357</v>
      </c>
      <c r="F3390" s="9" t="s">
        <v>9203</v>
      </c>
      <c r="G3390" s="9" t="s">
        <v>9136</v>
      </c>
      <c r="H3390" s="9" t="s">
        <v>9204</v>
      </c>
      <c r="I3390" s="10">
        <v>45524</v>
      </c>
    </row>
    <row r="3391" spans="1:9" x14ac:dyDescent="0.15">
      <c r="A3391" s="9">
        <v>3390</v>
      </c>
      <c r="B3391" s="9" t="s">
        <v>9</v>
      </c>
      <c r="C3391" s="9">
        <v>1910</v>
      </c>
      <c r="D3391" s="10">
        <v>45602</v>
      </c>
      <c r="E3391" s="13" t="str">
        <f>+HYPERLINK("http://trademark.i-assist.jp/data/china/image_1910th/80472529.pdf","80472529")</f>
        <v>80472529</v>
      </c>
      <c r="F3391" s="9" t="s">
        <v>9205</v>
      </c>
      <c r="G3391" s="9" t="s">
        <v>9206</v>
      </c>
      <c r="H3391" s="9" t="s">
        <v>9207</v>
      </c>
      <c r="I3391" s="10">
        <v>45524</v>
      </c>
    </row>
    <row r="3392" spans="1:9" x14ac:dyDescent="0.15">
      <c r="A3392" s="9">
        <v>3391</v>
      </c>
      <c r="B3392" s="9" t="s">
        <v>9</v>
      </c>
      <c r="C3392" s="9">
        <v>1910</v>
      </c>
      <c r="D3392" s="10">
        <v>45602</v>
      </c>
      <c r="E3392" s="13" t="str">
        <f>+HYPERLINK("http://trademark.i-assist.jp/data/china/image_1910th/80472743.pdf","80472743")</f>
        <v>80472743</v>
      </c>
      <c r="F3392" s="9" t="s">
        <v>9208</v>
      </c>
      <c r="G3392" s="9" t="s">
        <v>9133</v>
      </c>
      <c r="H3392" s="9" t="s">
        <v>9209</v>
      </c>
      <c r="I3392" s="10">
        <v>45524</v>
      </c>
    </row>
    <row r="3393" spans="1:9" x14ac:dyDescent="0.15">
      <c r="A3393" s="9">
        <v>3392</v>
      </c>
      <c r="B3393" s="9" t="s">
        <v>9</v>
      </c>
      <c r="C3393" s="9">
        <v>1910</v>
      </c>
      <c r="D3393" s="10">
        <v>45602</v>
      </c>
      <c r="E3393" s="13" t="str">
        <f>+HYPERLINK("http://trademark.i-assist.jp/data/china/image_1910th/80472965.pdf","80472965")</f>
        <v>80472965</v>
      </c>
      <c r="F3393" s="9" t="s">
        <v>9210</v>
      </c>
      <c r="G3393" s="9" t="s">
        <v>9211</v>
      </c>
      <c r="H3393" s="9" t="s">
        <v>9212</v>
      </c>
      <c r="I3393" s="10">
        <v>45524</v>
      </c>
    </row>
    <row r="3394" spans="1:9" x14ac:dyDescent="0.15">
      <c r="A3394" s="9">
        <v>3393</v>
      </c>
      <c r="B3394" s="9" t="s">
        <v>9</v>
      </c>
      <c r="C3394" s="9">
        <v>1910</v>
      </c>
      <c r="D3394" s="10">
        <v>45602</v>
      </c>
      <c r="E3394" s="13" t="str">
        <f>+HYPERLINK("http://trademark.i-assist.jp/data/china/image_1910th/80473235.pdf","80473235")</f>
        <v>80473235</v>
      </c>
      <c r="F3394" s="9" t="s">
        <v>9213</v>
      </c>
      <c r="G3394" s="9" t="s">
        <v>9184</v>
      </c>
      <c r="H3394" s="9" t="s">
        <v>9214</v>
      </c>
      <c r="I3394" s="10">
        <v>45524</v>
      </c>
    </row>
    <row r="3395" spans="1:9" x14ac:dyDescent="0.15">
      <c r="A3395" s="9">
        <v>3394</v>
      </c>
      <c r="B3395" s="9" t="s">
        <v>9</v>
      </c>
      <c r="C3395" s="9">
        <v>1910</v>
      </c>
      <c r="D3395" s="10">
        <v>45602</v>
      </c>
      <c r="E3395" s="13" t="str">
        <f>+HYPERLINK("http://trademark.i-assist.jp/data/china/image_1910th/80473307.pdf","80473307")</f>
        <v>80473307</v>
      </c>
      <c r="F3395" s="9" t="s">
        <v>9215</v>
      </c>
      <c r="G3395" s="9" t="s">
        <v>9216</v>
      </c>
      <c r="H3395" s="11" t="s">
        <v>9217</v>
      </c>
      <c r="I3395" s="10">
        <v>45524</v>
      </c>
    </row>
    <row r="3396" spans="1:9" x14ac:dyDescent="0.15">
      <c r="A3396" s="9">
        <v>3395</v>
      </c>
      <c r="B3396" s="9" t="s">
        <v>9</v>
      </c>
      <c r="C3396" s="9">
        <v>1910</v>
      </c>
      <c r="D3396" s="10">
        <v>45602</v>
      </c>
      <c r="E3396" s="13" t="str">
        <f>+HYPERLINK("http://trademark.i-assist.jp/data/china/image_1910th/80474011.pdf","80474011")</f>
        <v>80474011</v>
      </c>
      <c r="F3396" s="9" t="s">
        <v>9218</v>
      </c>
      <c r="G3396" s="9" t="s">
        <v>9219</v>
      </c>
      <c r="H3396" s="9" t="s">
        <v>9220</v>
      </c>
      <c r="I3396" s="10">
        <v>45524</v>
      </c>
    </row>
    <row r="3397" spans="1:9" x14ac:dyDescent="0.15">
      <c r="A3397" s="9">
        <v>3396</v>
      </c>
      <c r="B3397" s="9" t="s">
        <v>9</v>
      </c>
      <c r="C3397" s="9">
        <v>1910</v>
      </c>
      <c r="D3397" s="10">
        <v>45602</v>
      </c>
      <c r="E3397" s="13" t="str">
        <f>+HYPERLINK("http://trademark.i-assist.jp/data/china/image_1910th/80474205.pdf","80474205")</f>
        <v>80474205</v>
      </c>
      <c r="F3397" s="9" t="s">
        <v>9221</v>
      </c>
      <c r="G3397" s="9" t="s">
        <v>9222</v>
      </c>
      <c r="H3397" s="9" t="s">
        <v>9223</v>
      </c>
      <c r="I3397" s="10">
        <v>45525</v>
      </c>
    </row>
    <row r="3398" spans="1:9" x14ac:dyDescent="0.15">
      <c r="A3398" s="9">
        <v>3397</v>
      </c>
      <c r="B3398" s="9" t="s">
        <v>9</v>
      </c>
      <c r="C3398" s="9">
        <v>1910</v>
      </c>
      <c r="D3398" s="10">
        <v>45602</v>
      </c>
      <c r="E3398" s="13" t="str">
        <f>+HYPERLINK("http://trademark.i-assist.jp/data/china/image_1910th/80475515.pdf","80475515")</f>
        <v>80475515</v>
      </c>
      <c r="F3398" s="9" t="s">
        <v>9224</v>
      </c>
      <c r="G3398" s="9" t="s">
        <v>4464</v>
      </c>
      <c r="H3398" s="9" t="s">
        <v>9225</v>
      </c>
      <c r="I3398" s="10">
        <v>45525</v>
      </c>
    </row>
    <row r="3399" spans="1:9" x14ac:dyDescent="0.15">
      <c r="A3399" s="9">
        <v>3398</v>
      </c>
      <c r="B3399" s="9" t="s">
        <v>9</v>
      </c>
      <c r="C3399" s="9">
        <v>1910</v>
      </c>
      <c r="D3399" s="10">
        <v>45602</v>
      </c>
      <c r="E3399" s="13" t="str">
        <f>+HYPERLINK("http://trademark.i-assist.jp/data/china/image_1910th/80475679.pdf","80475679")</f>
        <v>80475679</v>
      </c>
      <c r="F3399" s="9" t="s">
        <v>9226</v>
      </c>
      <c r="G3399" s="11" t="s">
        <v>9227</v>
      </c>
      <c r="H3399" s="9" t="s">
        <v>9228</v>
      </c>
      <c r="I3399" s="10">
        <v>45525</v>
      </c>
    </row>
    <row r="3400" spans="1:9" x14ac:dyDescent="0.15">
      <c r="A3400" s="9">
        <v>3399</v>
      </c>
      <c r="B3400" s="9" t="s">
        <v>9</v>
      </c>
      <c r="C3400" s="9">
        <v>1910</v>
      </c>
      <c r="D3400" s="10">
        <v>45602</v>
      </c>
      <c r="E3400" s="13" t="str">
        <f>+HYPERLINK("http://trademark.i-assist.jp/data/china/image_1910th/80476467.pdf","80476467")</f>
        <v>80476467</v>
      </c>
      <c r="F3400" s="12" t="s">
        <v>9229</v>
      </c>
      <c r="G3400" s="9" t="s">
        <v>9230</v>
      </c>
      <c r="H3400" s="9" t="s">
        <v>9231</v>
      </c>
      <c r="I3400" s="10">
        <v>45525</v>
      </c>
    </row>
    <row r="3401" spans="1:9" x14ac:dyDescent="0.15">
      <c r="A3401" s="9">
        <v>3400</v>
      </c>
      <c r="B3401" s="9" t="s">
        <v>9</v>
      </c>
      <c r="C3401" s="9">
        <v>1910</v>
      </c>
      <c r="D3401" s="10">
        <v>45602</v>
      </c>
      <c r="E3401" s="13" t="str">
        <f>+HYPERLINK("http://trademark.i-assist.jp/data/china/image_1910th/80476939.pdf","80476939")</f>
        <v>80476939</v>
      </c>
      <c r="F3401" s="9" t="s">
        <v>9232</v>
      </c>
      <c r="G3401" s="9" t="s">
        <v>9233</v>
      </c>
      <c r="H3401" s="11" t="s">
        <v>9234</v>
      </c>
      <c r="I3401" s="10">
        <v>45525</v>
      </c>
    </row>
    <row r="3402" spans="1:9" x14ac:dyDescent="0.15">
      <c r="A3402" s="9">
        <v>3401</v>
      </c>
      <c r="B3402" s="9" t="s">
        <v>9</v>
      </c>
      <c r="C3402" s="9">
        <v>1910</v>
      </c>
      <c r="D3402" s="10">
        <v>45602</v>
      </c>
      <c r="E3402" s="13" t="str">
        <f>+HYPERLINK("http://trademark.i-assist.jp/data/china/image_1910th/80477137.pdf","80477137")</f>
        <v>80477137</v>
      </c>
      <c r="F3402" s="9" t="s">
        <v>9235</v>
      </c>
      <c r="G3402" s="9" t="s">
        <v>9236</v>
      </c>
      <c r="H3402" s="9" t="s">
        <v>9237</v>
      </c>
      <c r="I3402" s="10">
        <v>45525</v>
      </c>
    </row>
    <row r="3403" spans="1:9" x14ac:dyDescent="0.15">
      <c r="A3403" s="9">
        <v>3402</v>
      </c>
      <c r="B3403" s="9" t="s">
        <v>9</v>
      </c>
      <c r="C3403" s="9">
        <v>1910</v>
      </c>
      <c r="D3403" s="10">
        <v>45602</v>
      </c>
      <c r="E3403" s="13" t="str">
        <f>+HYPERLINK("http://trademark.i-assist.jp/data/china/image_1910th/80477327.pdf","80477327")</f>
        <v>80477327</v>
      </c>
      <c r="F3403" s="12" t="s">
        <v>9238</v>
      </c>
      <c r="G3403" s="11" t="s">
        <v>9007</v>
      </c>
      <c r="H3403" s="11" t="s">
        <v>9239</v>
      </c>
      <c r="I3403" s="10">
        <v>45525</v>
      </c>
    </row>
    <row r="3404" spans="1:9" x14ac:dyDescent="0.15">
      <c r="A3404" s="9">
        <v>3403</v>
      </c>
      <c r="B3404" s="9" t="s">
        <v>9</v>
      </c>
      <c r="C3404" s="9">
        <v>1910</v>
      </c>
      <c r="D3404" s="10">
        <v>45602</v>
      </c>
      <c r="E3404" s="13" t="str">
        <f>+HYPERLINK("http://trademark.i-assist.jp/data/china/image_1910th/80478516.pdf","80478516")</f>
        <v>80478516</v>
      </c>
      <c r="F3404" s="9" t="s">
        <v>9240</v>
      </c>
      <c r="G3404" s="9" t="s">
        <v>9241</v>
      </c>
      <c r="H3404" s="9" t="s">
        <v>9242</v>
      </c>
      <c r="I3404" s="10">
        <v>45525</v>
      </c>
    </row>
    <row r="3405" spans="1:9" x14ac:dyDescent="0.15">
      <c r="A3405" s="9">
        <v>3404</v>
      </c>
      <c r="B3405" s="9" t="s">
        <v>9</v>
      </c>
      <c r="C3405" s="9">
        <v>1910</v>
      </c>
      <c r="D3405" s="10">
        <v>45602</v>
      </c>
      <c r="E3405" s="13" t="str">
        <f>+HYPERLINK("http://trademark.i-assist.jp/data/china/image_1910th/80478693.pdf","80478693")</f>
        <v>80478693</v>
      </c>
      <c r="F3405" s="11" t="s">
        <v>9243</v>
      </c>
      <c r="G3405" s="9" t="s">
        <v>9244</v>
      </c>
      <c r="H3405" s="9" t="s">
        <v>9245</v>
      </c>
      <c r="I3405" s="10">
        <v>45525</v>
      </c>
    </row>
    <row r="3406" spans="1:9" x14ac:dyDescent="0.15">
      <c r="A3406" s="9">
        <v>3405</v>
      </c>
      <c r="B3406" s="9" t="s">
        <v>9</v>
      </c>
      <c r="C3406" s="9">
        <v>1910</v>
      </c>
      <c r="D3406" s="10">
        <v>45602</v>
      </c>
      <c r="E3406" s="13" t="str">
        <f>+HYPERLINK("http://trademark.i-assist.jp/data/china/image_1910th/80478743.pdf","80478743")</f>
        <v>80478743</v>
      </c>
      <c r="F3406" s="9" t="s">
        <v>9246</v>
      </c>
      <c r="G3406" s="11" t="s">
        <v>9247</v>
      </c>
      <c r="H3406" s="9" t="s">
        <v>9248</v>
      </c>
      <c r="I3406" s="10">
        <v>45525</v>
      </c>
    </row>
    <row r="3407" spans="1:9" x14ac:dyDescent="0.15">
      <c r="A3407" s="9">
        <v>3406</v>
      </c>
      <c r="B3407" s="9" t="s">
        <v>9</v>
      </c>
      <c r="C3407" s="9">
        <v>1910</v>
      </c>
      <c r="D3407" s="10">
        <v>45602</v>
      </c>
      <c r="E3407" s="13" t="str">
        <f>+HYPERLINK("http://trademark.i-assist.jp/data/china/image_1910th/80478780.pdf","80478780")</f>
        <v>80478780</v>
      </c>
      <c r="F3407" s="9" t="s">
        <v>9249</v>
      </c>
      <c r="G3407" s="9" t="s">
        <v>9094</v>
      </c>
      <c r="H3407" s="9" t="s">
        <v>9250</v>
      </c>
      <c r="I3407" s="10">
        <v>45525</v>
      </c>
    </row>
    <row r="3408" spans="1:9" x14ac:dyDescent="0.15">
      <c r="A3408" s="9">
        <v>3407</v>
      </c>
      <c r="B3408" s="9" t="s">
        <v>9</v>
      </c>
      <c r="C3408" s="9">
        <v>1910</v>
      </c>
      <c r="D3408" s="10">
        <v>45602</v>
      </c>
      <c r="E3408" s="13" t="str">
        <f>+HYPERLINK("http://trademark.i-assist.jp/data/china/image_1910th/80479137.pdf","80479137")</f>
        <v>80479137</v>
      </c>
      <c r="F3408" s="9" t="s">
        <v>9251</v>
      </c>
      <c r="G3408" s="9" t="s">
        <v>9252</v>
      </c>
      <c r="H3408" s="9" t="s">
        <v>9253</v>
      </c>
      <c r="I3408" s="10">
        <v>45525</v>
      </c>
    </row>
    <row r="3409" spans="1:9" x14ac:dyDescent="0.15">
      <c r="A3409" s="9">
        <v>3408</v>
      </c>
      <c r="B3409" s="9" t="s">
        <v>9</v>
      </c>
      <c r="C3409" s="9">
        <v>1910</v>
      </c>
      <c r="D3409" s="10">
        <v>45602</v>
      </c>
      <c r="E3409" s="13" t="str">
        <f>+HYPERLINK("http://trademark.i-assist.jp/data/china/image_1910th/80481192.pdf","80481192")</f>
        <v>80481192</v>
      </c>
      <c r="F3409" s="9" t="s">
        <v>9254</v>
      </c>
      <c r="G3409" s="9" t="s">
        <v>9255</v>
      </c>
      <c r="H3409" s="9" t="s">
        <v>9256</v>
      </c>
      <c r="I3409" s="10">
        <v>45525</v>
      </c>
    </row>
    <row r="3410" spans="1:9" x14ac:dyDescent="0.15">
      <c r="A3410" s="9">
        <v>3409</v>
      </c>
      <c r="B3410" s="9" t="s">
        <v>9</v>
      </c>
      <c r="C3410" s="9">
        <v>1910</v>
      </c>
      <c r="D3410" s="10">
        <v>45602</v>
      </c>
      <c r="E3410" s="13" t="str">
        <f>+HYPERLINK("http://trademark.i-assist.jp/data/china/image_1910th/80483509.pdf","80483509")</f>
        <v>80483509</v>
      </c>
      <c r="F3410" s="9" t="s">
        <v>9257</v>
      </c>
      <c r="G3410" s="9" t="s">
        <v>9258</v>
      </c>
      <c r="H3410" s="9" t="s">
        <v>9259</v>
      </c>
      <c r="I3410" s="10">
        <v>45525</v>
      </c>
    </row>
    <row r="3411" spans="1:9" x14ac:dyDescent="0.15">
      <c r="A3411" s="9">
        <v>3410</v>
      </c>
      <c r="B3411" s="9" t="s">
        <v>9</v>
      </c>
      <c r="C3411" s="9">
        <v>1910</v>
      </c>
      <c r="D3411" s="10">
        <v>45602</v>
      </c>
      <c r="E3411" s="13" t="str">
        <f>+HYPERLINK("http://trademark.i-assist.jp/data/china/image_1910th/80483511.pdf","80483511")</f>
        <v>80483511</v>
      </c>
      <c r="F3411" s="9" t="s">
        <v>9260</v>
      </c>
      <c r="G3411" s="9" t="s">
        <v>4464</v>
      </c>
      <c r="H3411" s="9" t="s">
        <v>9261</v>
      </c>
      <c r="I3411" s="10">
        <v>45525</v>
      </c>
    </row>
    <row r="3412" spans="1:9" x14ac:dyDescent="0.15">
      <c r="A3412" s="9">
        <v>3411</v>
      </c>
      <c r="B3412" s="9" t="s">
        <v>9</v>
      </c>
      <c r="C3412" s="9">
        <v>1910</v>
      </c>
      <c r="D3412" s="10">
        <v>45602</v>
      </c>
      <c r="E3412" s="13" t="str">
        <f>+HYPERLINK("http://trademark.i-assist.jp/data/china/image_1910th/80483700.pdf","80483700")</f>
        <v>80483700</v>
      </c>
      <c r="F3412" s="12" t="s">
        <v>9262</v>
      </c>
      <c r="G3412" s="9" t="s">
        <v>9230</v>
      </c>
      <c r="H3412" s="9" t="s">
        <v>9263</v>
      </c>
      <c r="I3412" s="10">
        <v>45525</v>
      </c>
    </row>
    <row r="3413" spans="1:9" x14ac:dyDescent="0.15">
      <c r="A3413" s="9">
        <v>3412</v>
      </c>
      <c r="B3413" s="9" t="s">
        <v>9</v>
      </c>
      <c r="C3413" s="9">
        <v>1910</v>
      </c>
      <c r="D3413" s="10">
        <v>45602</v>
      </c>
      <c r="E3413" s="13" t="str">
        <f>+HYPERLINK("http://trademark.i-assist.jp/data/china/image_1910th/80483708.pdf","80483708")</f>
        <v>80483708</v>
      </c>
      <c r="F3413" s="9" t="s">
        <v>9264</v>
      </c>
      <c r="G3413" s="11" t="s">
        <v>9265</v>
      </c>
      <c r="H3413" s="9" t="s">
        <v>9266</v>
      </c>
      <c r="I3413" s="10">
        <v>45525</v>
      </c>
    </row>
    <row r="3414" spans="1:9" x14ac:dyDescent="0.15">
      <c r="A3414" s="9">
        <v>3413</v>
      </c>
      <c r="B3414" s="9" t="s">
        <v>9</v>
      </c>
      <c r="C3414" s="9">
        <v>1910</v>
      </c>
      <c r="D3414" s="10">
        <v>45602</v>
      </c>
      <c r="E3414" s="13" t="str">
        <f>+HYPERLINK("http://trademark.i-assist.jp/data/china/image_1910th/80483824.pdf","80483824")</f>
        <v>80483824</v>
      </c>
      <c r="F3414" s="9" t="s">
        <v>9267</v>
      </c>
      <c r="G3414" s="9" t="s">
        <v>4464</v>
      </c>
      <c r="H3414" s="9" t="s">
        <v>9268</v>
      </c>
      <c r="I3414" s="10">
        <v>45525</v>
      </c>
    </row>
    <row r="3415" spans="1:9" x14ac:dyDescent="0.15">
      <c r="A3415" s="9">
        <v>3414</v>
      </c>
      <c r="B3415" s="9" t="s">
        <v>9</v>
      </c>
      <c r="C3415" s="9">
        <v>1910</v>
      </c>
      <c r="D3415" s="10">
        <v>45602</v>
      </c>
      <c r="E3415" s="13" t="str">
        <f>+HYPERLINK("http://trademark.i-assist.jp/data/china/image_1910th/80484031.pdf","80484031")</f>
        <v>80484031</v>
      </c>
      <c r="F3415" s="11" t="s">
        <v>9269</v>
      </c>
      <c r="G3415" s="11" t="s">
        <v>9270</v>
      </c>
      <c r="H3415" s="9" t="s">
        <v>9271</v>
      </c>
      <c r="I3415" s="10">
        <v>45525</v>
      </c>
    </row>
    <row r="3416" spans="1:9" x14ac:dyDescent="0.15">
      <c r="A3416" s="9">
        <v>3415</v>
      </c>
      <c r="B3416" s="9" t="s">
        <v>9</v>
      </c>
      <c r="C3416" s="9">
        <v>1910</v>
      </c>
      <c r="D3416" s="10">
        <v>45602</v>
      </c>
      <c r="E3416" s="13" t="str">
        <f>+HYPERLINK("http://trademark.i-assist.jp/data/china/image_1910th/80484146.pdf","80484146")</f>
        <v>80484146</v>
      </c>
      <c r="F3416" s="9" t="s">
        <v>9272</v>
      </c>
      <c r="G3416" s="9" t="s">
        <v>9273</v>
      </c>
      <c r="H3416" s="9" t="s">
        <v>9274</v>
      </c>
      <c r="I3416" s="10">
        <v>45525</v>
      </c>
    </row>
    <row r="3417" spans="1:9" x14ac:dyDescent="0.15">
      <c r="A3417" s="9">
        <v>3416</v>
      </c>
      <c r="B3417" s="9" t="s">
        <v>9</v>
      </c>
      <c r="C3417" s="9">
        <v>1910</v>
      </c>
      <c r="D3417" s="10">
        <v>45602</v>
      </c>
      <c r="E3417" s="13" t="str">
        <f>+HYPERLINK("http://trademark.i-assist.jp/data/china/image_1910th/80484620.pdf","80484620")</f>
        <v>80484620</v>
      </c>
      <c r="F3417" s="9" t="s">
        <v>9275</v>
      </c>
      <c r="G3417" s="9" t="s">
        <v>4464</v>
      </c>
      <c r="H3417" s="9" t="s">
        <v>9276</v>
      </c>
      <c r="I3417" s="10">
        <v>45525</v>
      </c>
    </row>
    <row r="3418" spans="1:9" x14ac:dyDescent="0.15">
      <c r="A3418" s="9">
        <v>3417</v>
      </c>
      <c r="B3418" s="9" t="s">
        <v>9</v>
      </c>
      <c r="C3418" s="9">
        <v>1910</v>
      </c>
      <c r="D3418" s="10">
        <v>45602</v>
      </c>
      <c r="E3418" s="13" t="str">
        <f>+HYPERLINK("http://trademark.i-assist.jp/data/china/image_1910th/80485652.pdf","80485652")</f>
        <v>80485652</v>
      </c>
      <c r="F3418" s="9" t="s">
        <v>9277</v>
      </c>
      <c r="G3418" s="11" t="s">
        <v>9278</v>
      </c>
      <c r="H3418" s="9" t="s">
        <v>9279</v>
      </c>
      <c r="I3418" s="10">
        <v>45525</v>
      </c>
    </row>
    <row r="3419" spans="1:9" x14ac:dyDescent="0.15">
      <c r="A3419" s="9">
        <v>3418</v>
      </c>
      <c r="B3419" s="9" t="s">
        <v>9</v>
      </c>
      <c r="C3419" s="9">
        <v>1910</v>
      </c>
      <c r="D3419" s="10">
        <v>45602</v>
      </c>
      <c r="E3419" s="13" t="str">
        <f>+HYPERLINK("http://trademark.i-assist.jp/data/china/image_1910th/80487396.pdf","80487396")</f>
        <v>80487396</v>
      </c>
      <c r="F3419" s="9" t="s">
        <v>9280</v>
      </c>
      <c r="G3419" s="9" t="s">
        <v>9281</v>
      </c>
      <c r="H3419" s="9" t="s">
        <v>9282</v>
      </c>
      <c r="I3419" s="10">
        <v>45525</v>
      </c>
    </row>
    <row r="3420" spans="1:9" x14ac:dyDescent="0.15">
      <c r="A3420" s="9">
        <v>3419</v>
      </c>
      <c r="B3420" s="9" t="s">
        <v>9</v>
      </c>
      <c r="C3420" s="9">
        <v>1910</v>
      </c>
      <c r="D3420" s="10">
        <v>45602</v>
      </c>
      <c r="E3420" s="13" t="str">
        <f>+HYPERLINK("http://trademark.i-assist.jp/data/china/image_1910th/80487571.pdf","80487571")</f>
        <v>80487571</v>
      </c>
      <c r="F3420" s="9" t="s">
        <v>9283</v>
      </c>
      <c r="G3420" s="9" t="s">
        <v>9284</v>
      </c>
      <c r="H3420" s="9" t="s">
        <v>9285</v>
      </c>
      <c r="I3420" s="10">
        <v>45525</v>
      </c>
    </row>
    <row r="3421" spans="1:9" x14ac:dyDescent="0.15">
      <c r="A3421" s="9">
        <v>3420</v>
      </c>
      <c r="B3421" s="9" t="s">
        <v>9</v>
      </c>
      <c r="C3421" s="9">
        <v>1910</v>
      </c>
      <c r="D3421" s="10">
        <v>45602</v>
      </c>
      <c r="E3421" s="13" t="str">
        <f>+HYPERLINK("http://trademark.i-assist.jp/data/china/image_1910th/80487807.pdf","80487807")</f>
        <v>80487807</v>
      </c>
      <c r="F3421" s="9" t="s">
        <v>9286</v>
      </c>
      <c r="G3421" s="9" t="s">
        <v>4464</v>
      </c>
      <c r="H3421" s="9" t="s">
        <v>9287</v>
      </c>
      <c r="I3421" s="10">
        <v>45525</v>
      </c>
    </row>
    <row r="3422" spans="1:9" x14ac:dyDescent="0.15">
      <c r="A3422" s="9">
        <v>3421</v>
      </c>
      <c r="B3422" s="9" t="s">
        <v>9</v>
      </c>
      <c r="C3422" s="9">
        <v>1910</v>
      </c>
      <c r="D3422" s="10">
        <v>45602</v>
      </c>
      <c r="E3422" s="13" t="str">
        <f>+HYPERLINK("http://trademark.i-assist.jp/data/china/image_1910th/80489070.pdf","80489070")</f>
        <v>80489070</v>
      </c>
      <c r="F3422" s="11" t="s">
        <v>9288</v>
      </c>
      <c r="G3422" s="11" t="s">
        <v>9289</v>
      </c>
      <c r="H3422" s="9" t="s">
        <v>9290</v>
      </c>
      <c r="I3422" s="10">
        <v>45525</v>
      </c>
    </row>
    <row r="3423" spans="1:9" x14ac:dyDescent="0.15">
      <c r="A3423" s="9">
        <v>3422</v>
      </c>
      <c r="B3423" s="9" t="s">
        <v>9</v>
      </c>
      <c r="C3423" s="9">
        <v>1910</v>
      </c>
      <c r="D3423" s="10">
        <v>45602</v>
      </c>
      <c r="E3423" s="13" t="str">
        <f>+HYPERLINK("http://trademark.i-assist.jp/data/china/image_1910th/80489465.pdf","80489465")</f>
        <v>80489465</v>
      </c>
      <c r="F3423" s="9" t="s">
        <v>9291</v>
      </c>
      <c r="G3423" s="9" t="s">
        <v>9292</v>
      </c>
      <c r="H3423" s="9" t="s">
        <v>9293</v>
      </c>
      <c r="I3423" s="10">
        <v>45525</v>
      </c>
    </row>
    <row r="3424" spans="1:9" x14ac:dyDescent="0.15">
      <c r="A3424" s="9">
        <v>3423</v>
      </c>
      <c r="B3424" s="9" t="s">
        <v>9</v>
      </c>
      <c r="C3424" s="9">
        <v>1910</v>
      </c>
      <c r="D3424" s="10">
        <v>45602</v>
      </c>
      <c r="E3424" s="13" t="str">
        <f>+HYPERLINK("http://trademark.i-assist.jp/data/china/image_1910th/80489621.pdf","80489621")</f>
        <v>80489621</v>
      </c>
      <c r="F3424" s="12" t="s">
        <v>9294</v>
      </c>
      <c r="G3424" s="9" t="s">
        <v>9230</v>
      </c>
      <c r="H3424" s="9" t="s">
        <v>9295</v>
      </c>
      <c r="I3424" s="10">
        <v>45525</v>
      </c>
    </row>
    <row r="3425" spans="1:9" x14ac:dyDescent="0.15">
      <c r="A3425" s="9">
        <v>3424</v>
      </c>
      <c r="B3425" s="9" t="s">
        <v>9</v>
      </c>
      <c r="C3425" s="9">
        <v>1910</v>
      </c>
      <c r="D3425" s="10">
        <v>45602</v>
      </c>
      <c r="E3425" s="13" t="str">
        <f>+HYPERLINK("http://trademark.i-assist.jp/data/china/image_1910th/80490042.pdf","80490042")</f>
        <v>80490042</v>
      </c>
      <c r="F3425" s="9" t="s">
        <v>9296</v>
      </c>
      <c r="G3425" s="9" t="s">
        <v>9297</v>
      </c>
      <c r="H3425" s="9" t="s">
        <v>9298</v>
      </c>
      <c r="I3425" s="10">
        <v>45525</v>
      </c>
    </row>
    <row r="3426" spans="1:9" x14ac:dyDescent="0.15">
      <c r="A3426" s="9">
        <v>3425</v>
      </c>
      <c r="B3426" s="9" t="s">
        <v>9</v>
      </c>
      <c r="C3426" s="9">
        <v>1910</v>
      </c>
      <c r="D3426" s="10">
        <v>45602</v>
      </c>
      <c r="E3426" s="13" t="str">
        <f>+HYPERLINK("http://trademark.i-assist.jp/data/china/image_1910th/80490188.pdf","80490188")</f>
        <v>80490188</v>
      </c>
      <c r="F3426" s="9" t="s">
        <v>9299</v>
      </c>
      <c r="G3426" s="9" t="s">
        <v>9300</v>
      </c>
      <c r="H3426" s="11" t="s">
        <v>9301</v>
      </c>
      <c r="I3426" s="10">
        <v>45525</v>
      </c>
    </row>
    <row r="3427" spans="1:9" x14ac:dyDescent="0.15">
      <c r="A3427" s="9">
        <v>3426</v>
      </c>
      <c r="B3427" s="9" t="s">
        <v>9</v>
      </c>
      <c r="C3427" s="9">
        <v>1910</v>
      </c>
      <c r="D3427" s="10">
        <v>45602</v>
      </c>
      <c r="E3427" s="13" t="str">
        <f>+HYPERLINK("http://trademark.i-assist.jp/data/china/image_1910th/80490596.pdf","80490596")</f>
        <v>80490596</v>
      </c>
      <c r="F3427" s="9" t="s">
        <v>9302</v>
      </c>
      <c r="G3427" s="9" t="s">
        <v>9303</v>
      </c>
      <c r="H3427" s="11" t="s">
        <v>9304</v>
      </c>
      <c r="I3427" s="10">
        <v>45525</v>
      </c>
    </row>
    <row r="3428" spans="1:9" x14ac:dyDescent="0.15">
      <c r="A3428" s="9">
        <v>3427</v>
      </c>
      <c r="B3428" s="9" t="s">
        <v>9</v>
      </c>
      <c r="C3428" s="9">
        <v>1910</v>
      </c>
      <c r="D3428" s="10">
        <v>45602</v>
      </c>
      <c r="E3428" s="13" t="str">
        <f>+HYPERLINK("http://trademark.i-assist.jp/data/china/image_1910th/80490996.pdf","80490996")</f>
        <v>80490996</v>
      </c>
      <c r="F3428" s="9" t="s">
        <v>9305</v>
      </c>
      <c r="G3428" s="11" t="s">
        <v>9306</v>
      </c>
      <c r="H3428" s="9" t="s">
        <v>9307</v>
      </c>
      <c r="I3428" s="10">
        <v>45525</v>
      </c>
    </row>
    <row r="3429" spans="1:9" x14ac:dyDescent="0.15">
      <c r="A3429" s="9">
        <v>3428</v>
      </c>
      <c r="B3429" s="9" t="s">
        <v>9</v>
      </c>
      <c r="C3429" s="9">
        <v>1910</v>
      </c>
      <c r="D3429" s="10">
        <v>45602</v>
      </c>
      <c r="E3429" s="13" t="str">
        <f>+HYPERLINK("http://trademark.i-assist.jp/data/china/image_1910th/80491042.pdf","80491042")</f>
        <v>80491042</v>
      </c>
      <c r="F3429" s="9" t="s">
        <v>9308</v>
      </c>
      <c r="G3429" s="9" t="s">
        <v>9309</v>
      </c>
      <c r="H3429" s="9" t="s">
        <v>9310</v>
      </c>
      <c r="I3429" s="10">
        <v>45525</v>
      </c>
    </row>
    <row r="3430" spans="1:9" x14ac:dyDescent="0.15">
      <c r="A3430" s="9">
        <v>3429</v>
      </c>
      <c r="B3430" s="9" t="s">
        <v>9</v>
      </c>
      <c r="C3430" s="9">
        <v>1910</v>
      </c>
      <c r="D3430" s="10">
        <v>45602</v>
      </c>
      <c r="E3430" s="13" t="str">
        <f>+HYPERLINK("http://trademark.i-assist.jp/data/china/image_1910th/80491511.pdf","80491511")</f>
        <v>80491511</v>
      </c>
      <c r="F3430" s="9" t="s">
        <v>9311</v>
      </c>
      <c r="G3430" s="9" t="s">
        <v>4464</v>
      </c>
      <c r="H3430" s="9" t="s">
        <v>9312</v>
      </c>
      <c r="I3430" s="10">
        <v>45525</v>
      </c>
    </row>
    <row r="3431" spans="1:9" x14ac:dyDescent="0.15">
      <c r="A3431" s="9">
        <v>3430</v>
      </c>
      <c r="B3431" s="9" t="s">
        <v>9</v>
      </c>
      <c r="C3431" s="9">
        <v>1910</v>
      </c>
      <c r="D3431" s="10">
        <v>45602</v>
      </c>
      <c r="E3431" s="13" t="str">
        <f>+HYPERLINK("http://trademark.i-assist.jp/data/china/image_1910th/80491592.pdf","80491592")</f>
        <v>80491592</v>
      </c>
      <c r="F3431" s="9" t="s">
        <v>9313</v>
      </c>
      <c r="G3431" s="9" t="s">
        <v>9241</v>
      </c>
      <c r="H3431" s="9" t="s">
        <v>9314</v>
      </c>
      <c r="I3431" s="10">
        <v>45525</v>
      </c>
    </row>
    <row r="3432" spans="1:9" x14ac:dyDescent="0.15">
      <c r="A3432" s="9">
        <v>3431</v>
      </c>
      <c r="B3432" s="9" t="s">
        <v>9</v>
      </c>
      <c r="C3432" s="9">
        <v>1910</v>
      </c>
      <c r="D3432" s="10">
        <v>45602</v>
      </c>
      <c r="E3432" s="13" t="str">
        <f>+HYPERLINK("http://trademark.i-assist.jp/data/china/image_1910th/80491890.pdf","80491890")</f>
        <v>80491890</v>
      </c>
      <c r="F3432" s="9" t="s">
        <v>9315</v>
      </c>
      <c r="G3432" s="9" t="s">
        <v>4464</v>
      </c>
      <c r="H3432" s="9" t="s">
        <v>9316</v>
      </c>
      <c r="I3432" s="10">
        <v>45525</v>
      </c>
    </row>
    <row r="3433" spans="1:9" x14ac:dyDescent="0.15">
      <c r="A3433" s="9">
        <v>3432</v>
      </c>
      <c r="B3433" s="9" t="s">
        <v>9</v>
      </c>
      <c r="C3433" s="9">
        <v>1910</v>
      </c>
      <c r="D3433" s="10">
        <v>45602</v>
      </c>
      <c r="E3433" s="13" t="str">
        <f>+HYPERLINK("http://trademark.i-assist.jp/data/china/image_1910th/80492015.pdf","80492015")</f>
        <v>80492015</v>
      </c>
      <c r="F3433" s="9" t="s">
        <v>9317</v>
      </c>
      <c r="G3433" s="9" t="s">
        <v>9318</v>
      </c>
      <c r="H3433" s="9" t="s">
        <v>9319</v>
      </c>
      <c r="I3433" s="10">
        <v>45525</v>
      </c>
    </row>
    <row r="3434" spans="1:9" x14ac:dyDescent="0.15">
      <c r="A3434" s="9">
        <v>3433</v>
      </c>
      <c r="B3434" s="9" t="s">
        <v>9</v>
      </c>
      <c r="C3434" s="9">
        <v>1910</v>
      </c>
      <c r="D3434" s="10">
        <v>45602</v>
      </c>
      <c r="E3434" s="13" t="str">
        <f>+HYPERLINK("http://trademark.i-assist.jp/data/china/image_1910th/80492439.pdf","80492439")</f>
        <v>80492439</v>
      </c>
      <c r="F3434" s="9" t="s">
        <v>9320</v>
      </c>
      <c r="G3434" s="9" t="s">
        <v>26</v>
      </c>
      <c r="H3434" s="9" t="s">
        <v>9321</v>
      </c>
      <c r="I3434" s="10">
        <v>45525</v>
      </c>
    </row>
    <row r="3435" spans="1:9" x14ac:dyDescent="0.15">
      <c r="A3435" s="9">
        <v>3434</v>
      </c>
      <c r="B3435" s="9" t="s">
        <v>9</v>
      </c>
      <c r="C3435" s="9">
        <v>1910</v>
      </c>
      <c r="D3435" s="10">
        <v>45602</v>
      </c>
      <c r="E3435" s="13" t="str">
        <f>+HYPERLINK("http://trademark.i-assist.jp/data/china/image_1910th/80493870.pdf","80493870")</f>
        <v>80493870</v>
      </c>
      <c r="F3435" s="9" t="s">
        <v>9322</v>
      </c>
      <c r="G3435" s="11" t="s">
        <v>9323</v>
      </c>
      <c r="H3435" s="9" t="s">
        <v>9324</v>
      </c>
      <c r="I3435" s="10">
        <v>45525</v>
      </c>
    </row>
    <row r="3436" spans="1:9" x14ac:dyDescent="0.15">
      <c r="A3436" s="9">
        <v>3435</v>
      </c>
      <c r="B3436" s="9" t="s">
        <v>9</v>
      </c>
      <c r="C3436" s="9">
        <v>1910</v>
      </c>
      <c r="D3436" s="10">
        <v>45602</v>
      </c>
      <c r="E3436" s="13" t="str">
        <f>+HYPERLINK("http://trademark.i-assist.jp/data/china/image_1910th/80493992.pdf","80493992")</f>
        <v>80493992</v>
      </c>
      <c r="F3436" s="9" t="s">
        <v>9325</v>
      </c>
      <c r="G3436" s="9" t="s">
        <v>9326</v>
      </c>
      <c r="H3436" s="11" t="s">
        <v>9327</v>
      </c>
      <c r="I3436" s="10">
        <v>45525</v>
      </c>
    </row>
    <row r="3437" spans="1:9" x14ac:dyDescent="0.15">
      <c r="A3437" s="9">
        <v>3436</v>
      </c>
      <c r="B3437" s="9" t="s">
        <v>9</v>
      </c>
      <c r="C3437" s="9">
        <v>1910</v>
      </c>
      <c r="D3437" s="10">
        <v>45602</v>
      </c>
      <c r="E3437" s="13" t="str">
        <f>+HYPERLINK("http://trademark.i-assist.jp/data/china/image_1910th/80494438.pdf","80494438")</f>
        <v>80494438</v>
      </c>
      <c r="F3437" s="9" t="s">
        <v>9328</v>
      </c>
      <c r="G3437" s="9" t="s">
        <v>9329</v>
      </c>
      <c r="H3437" s="9" t="s">
        <v>9330</v>
      </c>
      <c r="I3437" s="10">
        <v>45525</v>
      </c>
    </row>
    <row r="3438" spans="1:9" x14ac:dyDescent="0.15">
      <c r="A3438" s="9">
        <v>3437</v>
      </c>
      <c r="B3438" s="9" t="s">
        <v>9</v>
      </c>
      <c r="C3438" s="9">
        <v>1910</v>
      </c>
      <c r="D3438" s="10">
        <v>45602</v>
      </c>
      <c r="E3438" s="13" t="str">
        <f>+HYPERLINK("http://trademark.i-assist.jp/data/china/image_1910th/80494574.pdf","80494574")</f>
        <v>80494574</v>
      </c>
      <c r="F3438" s="9" t="s">
        <v>9331</v>
      </c>
      <c r="G3438" s="9" t="s">
        <v>4464</v>
      </c>
      <c r="H3438" s="9" t="s">
        <v>9332</v>
      </c>
      <c r="I3438" s="10">
        <v>45525</v>
      </c>
    </row>
    <row r="3439" spans="1:9" x14ac:dyDescent="0.15">
      <c r="A3439" s="9">
        <v>3438</v>
      </c>
      <c r="B3439" s="9" t="s">
        <v>9</v>
      </c>
      <c r="C3439" s="9">
        <v>1910</v>
      </c>
      <c r="D3439" s="10">
        <v>45602</v>
      </c>
      <c r="E3439" s="13" t="str">
        <f>+HYPERLINK("http://trademark.i-assist.jp/data/china/image_1910th/80494730.pdf","80494730")</f>
        <v>80494730</v>
      </c>
      <c r="F3439" s="9" t="s">
        <v>9333</v>
      </c>
      <c r="G3439" s="9" t="s">
        <v>9334</v>
      </c>
      <c r="H3439" s="9" t="s">
        <v>9335</v>
      </c>
      <c r="I3439" s="10">
        <v>45525</v>
      </c>
    </row>
    <row r="3440" spans="1:9" x14ac:dyDescent="0.15">
      <c r="A3440" s="9">
        <v>3439</v>
      </c>
      <c r="B3440" s="9" t="s">
        <v>9</v>
      </c>
      <c r="C3440" s="9">
        <v>1910</v>
      </c>
      <c r="D3440" s="10">
        <v>45602</v>
      </c>
      <c r="E3440" s="13" t="str">
        <f>+HYPERLINK("http://trademark.i-assist.jp/data/china/image_1910th/80495286.pdf","80495286")</f>
        <v>80495286</v>
      </c>
      <c r="F3440" s="9" t="s">
        <v>9336</v>
      </c>
      <c r="G3440" s="9" t="s">
        <v>9281</v>
      </c>
      <c r="H3440" s="9" t="s">
        <v>9337</v>
      </c>
      <c r="I3440" s="10">
        <v>45525</v>
      </c>
    </row>
    <row r="3441" spans="1:9" x14ac:dyDescent="0.15">
      <c r="A3441" s="9">
        <v>3440</v>
      </c>
      <c r="B3441" s="9" t="s">
        <v>9</v>
      </c>
      <c r="C3441" s="9">
        <v>1910</v>
      </c>
      <c r="D3441" s="10">
        <v>45602</v>
      </c>
      <c r="E3441" s="13" t="str">
        <f>+HYPERLINK("http://trademark.i-assist.jp/data/china/image_1910th/80495519.pdf","80495519")</f>
        <v>80495519</v>
      </c>
      <c r="F3441" s="9" t="s">
        <v>9338</v>
      </c>
      <c r="G3441" s="9" t="s">
        <v>9339</v>
      </c>
      <c r="H3441" s="9" t="s">
        <v>9340</v>
      </c>
      <c r="I3441" s="10">
        <v>45525</v>
      </c>
    </row>
    <row r="3442" spans="1:9" x14ac:dyDescent="0.15">
      <c r="A3442" s="9">
        <v>3441</v>
      </c>
      <c r="B3442" s="9" t="s">
        <v>9</v>
      </c>
      <c r="C3442" s="9">
        <v>1910</v>
      </c>
      <c r="D3442" s="10">
        <v>45602</v>
      </c>
      <c r="E3442" s="13" t="str">
        <f>+HYPERLINK("http://trademark.i-assist.jp/data/china/image_1910th/80496771.pdf","80496771")</f>
        <v>80496771</v>
      </c>
      <c r="F3442" s="9" t="s">
        <v>9336</v>
      </c>
      <c r="G3442" s="9" t="s">
        <v>9281</v>
      </c>
      <c r="H3442" s="9" t="s">
        <v>9282</v>
      </c>
      <c r="I3442" s="10">
        <v>45525</v>
      </c>
    </row>
    <row r="3443" spans="1:9" x14ac:dyDescent="0.15">
      <c r="A3443" s="9">
        <v>3442</v>
      </c>
      <c r="B3443" s="9" t="s">
        <v>9</v>
      </c>
      <c r="C3443" s="9">
        <v>1910</v>
      </c>
      <c r="D3443" s="10">
        <v>45602</v>
      </c>
      <c r="E3443" s="13" t="str">
        <f>+HYPERLINK("http://trademark.i-assist.jp/data/china/image_1910th/80497214.pdf","80497214")</f>
        <v>80497214</v>
      </c>
      <c r="F3443" s="9" t="s">
        <v>9341</v>
      </c>
      <c r="G3443" s="9" t="s">
        <v>9342</v>
      </c>
      <c r="H3443" s="9" t="s">
        <v>9343</v>
      </c>
      <c r="I3443" s="10">
        <v>45525</v>
      </c>
    </row>
    <row r="3444" spans="1:9" x14ac:dyDescent="0.15">
      <c r="A3444" s="9">
        <v>3443</v>
      </c>
      <c r="B3444" s="9" t="s">
        <v>9</v>
      </c>
      <c r="C3444" s="9">
        <v>1910</v>
      </c>
      <c r="D3444" s="10">
        <v>45602</v>
      </c>
      <c r="E3444" s="13" t="str">
        <f>+HYPERLINK("http://trademark.i-assist.jp/data/china/image_1910th/80498137.pdf","80498137")</f>
        <v>80498137</v>
      </c>
      <c r="F3444" s="9" t="s">
        <v>9344</v>
      </c>
      <c r="G3444" s="9" t="s">
        <v>9345</v>
      </c>
      <c r="H3444" s="9" t="s">
        <v>9346</v>
      </c>
      <c r="I3444" s="10">
        <v>45526</v>
      </c>
    </row>
    <row r="3445" spans="1:9" x14ac:dyDescent="0.15">
      <c r="A3445" s="9">
        <v>3444</v>
      </c>
      <c r="B3445" s="9" t="s">
        <v>9</v>
      </c>
      <c r="C3445" s="9">
        <v>1910</v>
      </c>
      <c r="D3445" s="10">
        <v>45602</v>
      </c>
      <c r="E3445" s="13" t="str">
        <f>+HYPERLINK("http://trademark.i-assist.jp/data/china/image_1910th/80498146.pdf","80498146")</f>
        <v>80498146</v>
      </c>
      <c r="F3445" s="9" t="s">
        <v>9347</v>
      </c>
      <c r="G3445" s="9" t="s">
        <v>9348</v>
      </c>
      <c r="H3445" s="9" t="s">
        <v>9349</v>
      </c>
      <c r="I3445" s="10">
        <v>45526</v>
      </c>
    </row>
    <row r="3446" spans="1:9" x14ac:dyDescent="0.15">
      <c r="A3446" s="9">
        <v>3445</v>
      </c>
      <c r="B3446" s="9" t="s">
        <v>9</v>
      </c>
      <c r="C3446" s="9">
        <v>1910</v>
      </c>
      <c r="D3446" s="10">
        <v>45602</v>
      </c>
      <c r="E3446" s="13" t="str">
        <f>+HYPERLINK("http://trademark.i-assist.jp/data/china/image_1910th/80498745.pdf","80498745")</f>
        <v>80498745</v>
      </c>
      <c r="F3446" s="9" t="s">
        <v>9350</v>
      </c>
      <c r="G3446" s="11" t="s">
        <v>9351</v>
      </c>
      <c r="H3446" s="9" t="s">
        <v>9352</v>
      </c>
      <c r="I3446" s="10">
        <v>45526</v>
      </c>
    </row>
    <row r="3447" spans="1:9" x14ac:dyDescent="0.15">
      <c r="A3447" s="9">
        <v>3446</v>
      </c>
      <c r="B3447" s="9" t="s">
        <v>9</v>
      </c>
      <c r="C3447" s="9">
        <v>1910</v>
      </c>
      <c r="D3447" s="10">
        <v>45602</v>
      </c>
      <c r="E3447" s="13" t="str">
        <f>+HYPERLINK("http://trademark.i-assist.jp/data/china/image_1910th/80500762.pdf","80500762")</f>
        <v>80500762</v>
      </c>
      <c r="F3447" s="9" t="s">
        <v>9353</v>
      </c>
      <c r="G3447" s="9" t="s">
        <v>11</v>
      </c>
      <c r="H3447" s="9" t="s">
        <v>9354</v>
      </c>
      <c r="I3447" s="10">
        <v>45526</v>
      </c>
    </row>
    <row r="3448" spans="1:9" x14ac:dyDescent="0.15">
      <c r="A3448" s="9">
        <v>3447</v>
      </c>
      <c r="B3448" s="9" t="s">
        <v>9</v>
      </c>
      <c r="C3448" s="9">
        <v>1910</v>
      </c>
      <c r="D3448" s="10">
        <v>45602</v>
      </c>
      <c r="E3448" s="13" t="str">
        <f>+HYPERLINK("http://trademark.i-assist.jp/data/china/image_1910th/80500898.pdf","80500898")</f>
        <v>80500898</v>
      </c>
      <c r="F3448" s="11" t="s">
        <v>19</v>
      </c>
      <c r="G3448" s="9" t="s">
        <v>9355</v>
      </c>
      <c r="H3448" s="9" t="s">
        <v>9356</v>
      </c>
      <c r="I3448" s="10">
        <v>45526</v>
      </c>
    </row>
    <row r="3449" spans="1:9" x14ac:dyDescent="0.15">
      <c r="A3449" s="9">
        <v>3448</v>
      </c>
      <c r="B3449" s="9" t="s">
        <v>9</v>
      </c>
      <c r="C3449" s="9">
        <v>1910</v>
      </c>
      <c r="D3449" s="10">
        <v>45602</v>
      </c>
      <c r="E3449" s="13" t="str">
        <f>+HYPERLINK("http://trademark.i-assist.jp/data/china/image_1910th/80502233.pdf","80502233")</f>
        <v>80502233</v>
      </c>
      <c r="F3449" s="9" t="s">
        <v>9357</v>
      </c>
      <c r="G3449" s="9" t="s">
        <v>9358</v>
      </c>
      <c r="H3449" s="9" t="s">
        <v>9359</v>
      </c>
      <c r="I3449" s="10">
        <v>45526</v>
      </c>
    </row>
    <row r="3450" spans="1:9" x14ac:dyDescent="0.15">
      <c r="A3450" s="9">
        <v>3449</v>
      </c>
      <c r="B3450" s="9" t="s">
        <v>9</v>
      </c>
      <c r="C3450" s="9">
        <v>1910</v>
      </c>
      <c r="D3450" s="10">
        <v>45602</v>
      </c>
      <c r="E3450" s="13" t="str">
        <f>+HYPERLINK("http://trademark.i-assist.jp/data/china/image_1910th/80502438.pdf","80502438")</f>
        <v>80502438</v>
      </c>
      <c r="F3450" s="9" t="s">
        <v>9360</v>
      </c>
      <c r="G3450" s="9" t="s">
        <v>11</v>
      </c>
      <c r="H3450" s="9" t="s">
        <v>9361</v>
      </c>
      <c r="I3450" s="10">
        <v>45526</v>
      </c>
    </row>
    <row r="3451" spans="1:9" x14ac:dyDescent="0.15">
      <c r="A3451" s="9">
        <v>3450</v>
      </c>
      <c r="B3451" s="9" t="s">
        <v>9</v>
      </c>
      <c r="C3451" s="9">
        <v>1910</v>
      </c>
      <c r="D3451" s="10">
        <v>45602</v>
      </c>
      <c r="E3451" s="13" t="str">
        <f>+HYPERLINK("http://trademark.i-assist.jp/data/china/image_1910th/80502866.pdf","80502866")</f>
        <v>80502866</v>
      </c>
      <c r="F3451" s="9" t="s">
        <v>9362</v>
      </c>
      <c r="G3451" s="9" t="s">
        <v>9363</v>
      </c>
      <c r="H3451" s="11" t="s">
        <v>9364</v>
      </c>
      <c r="I3451" s="10">
        <v>45526</v>
      </c>
    </row>
    <row r="3452" spans="1:9" x14ac:dyDescent="0.15">
      <c r="A3452" s="9">
        <v>3451</v>
      </c>
      <c r="B3452" s="9" t="s">
        <v>9</v>
      </c>
      <c r="C3452" s="9">
        <v>1910</v>
      </c>
      <c r="D3452" s="10">
        <v>45602</v>
      </c>
      <c r="E3452" s="13" t="str">
        <f>+HYPERLINK("http://trademark.i-assist.jp/data/china/image_1910th/80502921.pdf","80502921")</f>
        <v>80502921</v>
      </c>
      <c r="F3452" s="9" t="s">
        <v>9365</v>
      </c>
      <c r="G3452" s="11" t="s">
        <v>9366</v>
      </c>
      <c r="H3452" s="9" t="s">
        <v>9367</v>
      </c>
      <c r="I3452" s="10">
        <v>45526</v>
      </c>
    </row>
    <row r="3453" spans="1:9" x14ac:dyDescent="0.15">
      <c r="A3453" s="9">
        <v>3452</v>
      </c>
      <c r="B3453" s="9" t="s">
        <v>9</v>
      </c>
      <c r="C3453" s="9">
        <v>1910</v>
      </c>
      <c r="D3453" s="10">
        <v>45602</v>
      </c>
      <c r="E3453" s="13" t="str">
        <f>+HYPERLINK("http://trademark.i-assist.jp/data/china/image_1910th/80503891.pdf","80503891")</f>
        <v>80503891</v>
      </c>
      <c r="F3453" s="9" t="s">
        <v>9368</v>
      </c>
      <c r="G3453" s="9" t="s">
        <v>9369</v>
      </c>
      <c r="H3453" s="9" t="s">
        <v>9370</v>
      </c>
      <c r="I3453" s="10">
        <v>45526</v>
      </c>
    </row>
    <row r="3454" spans="1:9" x14ac:dyDescent="0.15">
      <c r="A3454" s="9">
        <v>3453</v>
      </c>
      <c r="B3454" s="9" t="s">
        <v>9</v>
      </c>
      <c r="C3454" s="9">
        <v>1910</v>
      </c>
      <c r="D3454" s="10">
        <v>45602</v>
      </c>
      <c r="E3454" s="13" t="str">
        <f>+HYPERLINK("http://trademark.i-assist.jp/data/china/image_1910th/80504465.pdf","80504465")</f>
        <v>80504465</v>
      </c>
      <c r="F3454" s="11" t="s">
        <v>9371</v>
      </c>
      <c r="G3454" s="11" t="s">
        <v>9372</v>
      </c>
      <c r="H3454" s="9" t="s">
        <v>9373</v>
      </c>
      <c r="I3454" s="10">
        <v>45526</v>
      </c>
    </row>
    <row r="3455" spans="1:9" x14ac:dyDescent="0.15">
      <c r="A3455" s="9">
        <v>3454</v>
      </c>
      <c r="B3455" s="9" t="s">
        <v>9</v>
      </c>
      <c r="C3455" s="9">
        <v>1910</v>
      </c>
      <c r="D3455" s="10">
        <v>45602</v>
      </c>
      <c r="E3455" s="13" t="str">
        <f>+HYPERLINK("http://trademark.i-assist.jp/data/china/image_1910th/80504563.pdf","80504563")</f>
        <v>80504563</v>
      </c>
      <c r="F3455" s="9" t="s">
        <v>9374</v>
      </c>
      <c r="G3455" s="9" t="s">
        <v>9375</v>
      </c>
      <c r="H3455" s="9" t="s">
        <v>9376</v>
      </c>
      <c r="I3455" s="10">
        <v>45526</v>
      </c>
    </row>
    <row r="3456" spans="1:9" x14ac:dyDescent="0.15">
      <c r="A3456" s="9">
        <v>3455</v>
      </c>
      <c r="B3456" s="9" t="s">
        <v>9</v>
      </c>
      <c r="C3456" s="9">
        <v>1910</v>
      </c>
      <c r="D3456" s="10">
        <v>45602</v>
      </c>
      <c r="E3456" s="13" t="str">
        <f>+HYPERLINK("http://trademark.i-assist.jp/data/china/image_1910th/80505396.pdf","80505396")</f>
        <v>80505396</v>
      </c>
      <c r="F3456" s="9" t="s">
        <v>9377</v>
      </c>
      <c r="G3456" s="9" t="s">
        <v>9378</v>
      </c>
      <c r="H3456" s="9" t="s">
        <v>9379</v>
      </c>
      <c r="I3456" s="10">
        <v>45526</v>
      </c>
    </row>
    <row r="3457" spans="1:9" x14ac:dyDescent="0.15">
      <c r="A3457" s="9">
        <v>3456</v>
      </c>
      <c r="B3457" s="9" t="s">
        <v>9</v>
      </c>
      <c r="C3457" s="9">
        <v>1910</v>
      </c>
      <c r="D3457" s="10">
        <v>45602</v>
      </c>
      <c r="E3457" s="13" t="str">
        <f>+HYPERLINK("http://trademark.i-assist.jp/data/china/image_1910th/80506249.pdf","80506249")</f>
        <v>80506249</v>
      </c>
      <c r="F3457" s="9" t="s">
        <v>9380</v>
      </c>
      <c r="G3457" s="9" t="s">
        <v>5573</v>
      </c>
      <c r="H3457" s="9" t="s">
        <v>9381</v>
      </c>
      <c r="I3457" s="10">
        <v>45526</v>
      </c>
    </row>
    <row r="3458" spans="1:9" x14ac:dyDescent="0.15">
      <c r="A3458" s="9">
        <v>3457</v>
      </c>
      <c r="B3458" s="9" t="s">
        <v>9</v>
      </c>
      <c r="C3458" s="9">
        <v>1910</v>
      </c>
      <c r="D3458" s="10">
        <v>45602</v>
      </c>
      <c r="E3458" s="13" t="str">
        <f>+HYPERLINK("http://trademark.i-assist.jp/data/china/image_1910th/80506297.pdf","80506297")</f>
        <v>80506297</v>
      </c>
      <c r="F3458" s="9" t="s">
        <v>9382</v>
      </c>
      <c r="G3458" s="9" t="s">
        <v>9383</v>
      </c>
      <c r="H3458" s="9" t="s">
        <v>9384</v>
      </c>
      <c r="I3458" s="10">
        <v>45526</v>
      </c>
    </row>
    <row r="3459" spans="1:9" x14ac:dyDescent="0.15">
      <c r="A3459" s="9">
        <v>3458</v>
      </c>
      <c r="B3459" s="9" t="s">
        <v>9</v>
      </c>
      <c r="C3459" s="9">
        <v>1910</v>
      </c>
      <c r="D3459" s="10">
        <v>45602</v>
      </c>
      <c r="E3459" s="13" t="str">
        <f>+HYPERLINK("http://trademark.i-assist.jp/data/china/image_1910th/80506791.pdf","80506791")</f>
        <v>80506791</v>
      </c>
      <c r="F3459" s="9" t="s">
        <v>9385</v>
      </c>
      <c r="G3459" s="9" t="s">
        <v>9386</v>
      </c>
      <c r="H3459" s="11" t="s">
        <v>9387</v>
      </c>
      <c r="I3459" s="10">
        <v>45526</v>
      </c>
    </row>
    <row r="3460" spans="1:9" x14ac:dyDescent="0.15">
      <c r="A3460" s="9">
        <v>3459</v>
      </c>
      <c r="B3460" s="9" t="s">
        <v>9</v>
      </c>
      <c r="C3460" s="9">
        <v>1910</v>
      </c>
      <c r="D3460" s="10">
        <v>45602</v>
      </c>
      <c r="E3460" s="13" t="str">
        <f>+HYPERLINK("http://trademark.i-assist.jp/data/china/image_1910th/80506909.pdf","80506909")</f>
        <v>80506909</v>
      </c>
      <c r="F3460" s="11" t="s">
        <v>9388</v>
      </c>
      <c r="G3460" s="9" t="s">
        <v>9389</v>
      </c>
      <c r="H3460" s="11" t="s">
        <v>9390</v>
      </c>
      <c r="I3460" s="10">
        <v>45526</v>
      </c>
    </row>
    <row r="3461" spans="1:9" x14ac:dyDescent="0.15">
      <c r="A3461" s="9">
        <v>3460</v>
      </c>
      <c r="B3461" s="9" t="s">
        <v>9</v>
      </c>
      <c r="C3461" s="9">
        <v>1910</v>
      </c>
      <c r="D3461" s="10">
        <v>45602</v>
      </c>
      <c r="E3461" s="13" t="str">
        <f>+HYPERLINK("http://trademark.i-assist.jp/data/china/image_1910th/80507150.pdf","80507150")</f>
        <v>80507150</v>
      </c>
      <c r="F3461" s="9" t="s">
        <v>9391</v>
      </c>
      <c r="G3461" s="9" t="s">
        <v>9392</v>
      </c>
      <c r="H3461" s="9" t="s">
        <v>9393</v>
      </c>
      <c r="I3461" s="10">
        <v>45526</v>
      </c>
    </row>
    <row r="3462" spans="1:9" x14ac:dyDescent="0.15">
      <c r="A3462" s="9">
        <v>3461</v>
      </c>
      <c r="B3462" s="9" t="s">
        <v>9</v>
      </c>
      <c r="C3462" s="9">
        <v>1910</v>
      </c>
      <c r="D3462" s="10">
        <v>45602</v>
      </c>
      <c r="E3462" s="13" t="str">
        <f>+HYPERLINK("http://trademark.i-assist.jp/data/china/image_1910th/80507281.pdf","80507281")</f>
        <v>80507281</v>
      </c>
      <c r="F3462" s="9" t="s">
        <v>9394</v>
      </c>
      <c r="G3462" s="11" t="s">
        <v>9395</v>
      </c>
      <c r="H3462" s="9" t="s">
        <v>9396</v>
      </c>
      <c r="I3462" s="10">
        <v>45526</v>
      </c>
    </row>
    <row r="3463" spans="1:9" x14ac:dyDescent="0.15">
      <c r="A3463" s="9">
        <v>3462</v>
      </c>
      <c r="B3463" s="9" t="s">
        <v>9</v>
      </c>
      <c r="C3463" s="9">
        <v>1910</v>
      </c>
      <c r="D3463" s="10">
        <v>45602</v>
      </c>
      <c r="E3463" s="13" t="str">
        <f>+HYPERLINK("http://trademark.i-assist.jp/data/china/image_1910th/80507492.pdf","80507492")</f>
        <v>80507492</v>
      </c>
      <c r="F3463" s="9" t="s">
        <v>9397</v>
      </c>
      <c r="G3463" s="9" t="s">
        <v>9398</v>
      </c>
      <c r="H3463" s="9" t="s">
        <v>9399</v>
      </c>
      <c r="I3463" s="10">
        <v>45526</v>
      </c>
    </row>
    <row r="3464" spans="1:9" x14ac:dyDescent="0.15">
      <c r="A3464" s="9">
        <v>3463</v>
      </c>
      <c r="B3464" s="9" t="s">
        <v>9</v>
      </c>
      <c r="C3464" s="9">
        <v>1910</v>
      </c>
      <c r="D3464" s="10">
        <v>45602</v>
      </c>
      <c r="E3464" s="13" t="str">
        <f>+HYPERLINK("http://trademark.i-assist.jp/data/china/image_1910th/80507731.pdf","80507731")</f>
        <v>80507731</v>
      </c>
      <c r="F3464" s="9" t="s">
        <v>9400</v>
      </c>
      <c r="G3464" s="9" t="s">
        <v>9401</v>
      </c>
      <c r="H3464" s="9" t="s">
        <v>9402</v>
      </c>
      <c r="I3464" s="10">
        <v>45526</v>
      </c>
    </row>
    <row r="3465" spans="1:9" x14ac:dyDescent="0.15">
      <c r="A3465" s="9">
        <v>3464</v>
      </c>
      <c r="B3465" s="9" t="s">
        <v>9</v>
      </c>
      <c r="C3465" s="9">
        <v>1910</v>
      </c>
      <c r="D3465" s="10">
        <v>45602</v>
      </c>
      <c r="E3465" s="13" t="str">
        <f>+HYPERLINK("http://trademark.i-assist.jp/data/china/image_1910th/80508334.pdf","80508334")</f>
        <v>80508334</v>
      </c>
      <c r="F3465" s="9" t="s">
        <v>9403</v>
      </c>
      <c r="G3465" s="9" t="s">
        <v>9375</v>
      </c>
      <c r="H3465" s="9" t="s">
        <v>9404</v>
      </c>
      <c r="I3465" s="10">
        <v>45526</v>
      </c>
    </row>
    <row r="3466" spans="1:9" x14ac:dyDescent="0.15">
      <c r="A3466" s="9">
        <v>3465</v>
      </c>
      <c r="B3466" s="9" t="s">
        <v>9</v>
      </c>
      <c r="C3466" s="9">
        <v>1910</v>
      </c>
      <c r="D3466" s="10">
        <v>45602</v>
      </c>
      <c r="E3466" s="13" t="str">
        <f>+HYPERLINK("http://trademark.i-assist.jp/data/china/image_1910th/80508539.pdf","80508539")</f>
        <v>80508539</v>
      </c>
      <c r="F3466" s="11" t="s">
        <v>9405</v>
      </c>
      <c r="G3466" s="9" t="s">
        <v>9406</v>
      </c>
      <c r="H3466" s="9" t="s">
        <v>9407</v>
      </c>
      <c r="I3466" s="10">
        <v>45526</v>
      </c>
    </row>
    <row r="3467" spans="1:9" x14ac:dyDescent="0.15">
      <c r="A3467" s="9">
        <v>3466</v>
      </c>
      <c r="B3467" s="9" t="s">
        <v>9</v>
      </c>
      <c r="C3467" s="9">
        <v>1910</v>
      </c>
      <c r="D3467" s="10">
        <v>45602</v>
      </c>
      <c r="E3467" s="13" t="str">
        <f>+HYPERLINK("http://trademark.i-assist.jp/data/china/image_1910th/80510603.pdf","80510603")</f>
        <v>80510603</v>
      </c>
      <c r="F3467" s="9" t="s">
        <v>9408</v>
      </c>
      <c r="G3467" s="9" t="s">
        <v>9409</v>
      </c>
      <c r="H3467" s="9" t="s">
        <v>9410</v>
      </c>
      <c r="I3467" s="10">
        <v>45526</v>
      </c>
    </row>
    <row r="3468" spans="1:9" x14ac:dyDescent="0.15">
      <c r="A3468" s="9">
        <v>3467</v>
      </c>
      <c r="B3468" s="9" t="s">
        <v>9</v>
      </c>
      <c r="C3468" s="9">
        <v>1910</v>
      </c>
      <c r="D3468" s="10">
        <v>45602</v>
      </c>
      <c r="E3468" s="13" t="str">
        <f>+HYPERLINK("http://trademark.i-assist.jp/data/china/image_1910th/80511564.pdf","80511564")</f>
        <v>80511564</v>
      </c>
      <c r="F3468" s="11" t="s">
        <v>9411</v>
      </c>
      <c r="G3468" s="9" t="s">
        <v>9412</v>
      </c>
      <c r="H3468" s="9" t="s">
        <v>9413</v>
      </c>
      <c r="I3468" s="10">
        <v>45526</v>
      </c>
    </row>
    <row r="3469" spans="1:9" x14ac:dyDescent="0.15">
      <c r="A3469" s="9">
        <v>3468</v>
      </c>
      <c r="B3469" s="9" t="s">
        <v>9</v>
      </c>
      <c r="C3469" s="9">
        <v>1910</v>
      </c>
      <c r="D3469" s="10">
        <v>45602</v>
      </c>
      <c r="E3469" s="13" t="str">
        <f>+HYPERLINK("http://trademark.i-assist.jp/data/china/image_1910th/80511918.pdf","80511918")</f>
        <v>80511918</v>
      </c>
      <c r="F3469" s="9" t="s">
        <v>9414</v>
      </c>
      <c r="G3469" s="11" t="s">
        <v>9415</v>
      </c>
      <c r="H3469" s="9" t="s">
        <v>9416</v>
      </c>
      <c r="I3469" s="10">
        <v>45526</v>
      </c>
    </row>
    <row r="3470" spans="1:9" x14ac:dyDescent="0.15">
      <c r="A3470" s="9">
        <v>3469</v>
      </c>
      <c r="B3470" s="9" t="s">
        <v>9</v>
      </c>
      <c r="C3470" s="9">
        <v>1910</v>
      </c>
      <c r="D3470" s="10">
        <v>45602</v>
      </c>
      <c r="E3470" s="13" t="str">
        <f>+HYPERLINK("http://trademark.i-assist.jp/data/china/image_1910th/80512768.pdf","80512768")</f>
        <v>80512768</v>
      </c>
      <c r="F3470" s="9" t="s">
        <v>9417</v>
      </c>
      <c r="G3470" s="9" t="s">
        <v>9418</v>
      </c>
      <c r="H3470" s="9" t="s">
        <v>9419</v>
      </c>
      <c r="I3470" s="10">
        <v>45526</v>
      </c>
    </row>
    <row r="3471" spans="1:9" x14ac:dyDescent="0.15">
      <c r="A3471" s="9">
        <v>3470</v>
      </c>
      <c r="B3471" s="9" t="s">
        <v>9</v>
      </c>
      <c r="C3471" s="9">
        <v>1910</v>
      </c>
      <c r="D3471" s="10">
        <v>45602</v>
      </c>
      <c r="E3471" s="13" t="str">
        <f>+HYPERLINK("http://trademark.i-assist.jp/data/china/image_1910th/80514727.pdf","80514727")</f>
        <v>80514727</v>
      </c>
      <c r="F3471" s="9" t="s">
        <v>9420</v>
      </c>
      <c r="G3471" s="9" t="s">
        <v>9421</v>
      </c>
      <c r="H3471" s="9" t="s">
        <v>9422</v>
      </c>
      <c r="I3471" s="10">
        <v>45526</v>
      </c>
    </row>
    <row r="3472" spans="1:9" x14ac:dyDescent="0.15">
      <c r="A3472" s="9">
        <v>3471</v>
      </c>
      <c r="B3472" s="9" t="s">
        <v>9</v>
      </c>
      <c r="C3472" s="9">
        <v>1910</v>
      </c>
      <c r="D3472" s="10">
        <v>45602</v>
      </c>
      <c r="E3472" s="13" t="str">
        <f>+HYPERLINK("http://trademark.i-assist.jp/data/china/image_1910th/80515932.pdf","80515932")</f>
        <v>80515932</v>
      </c>
      <c r="F3472" s="11" t="s">
        <v>9423</v>
      </c>
      <c r="G3472" s="9" t="s">
        <v>9418</v>
      </c>
      <c r="H3472" s="9" t="s">
        <v>9424</v>
      </c>
      <c r="I3472" s="10">
        <v>45526</v>
      </c>
    </row>
    <row r="3473" spans="1:9" x14ac:dyDescent="0.15">
      <c r="A3473" s="9">
        <v>3472</v>
      </c>
      <c r="B3473" s="9" t="s">
        <v>9</v>
      </c>
      <c r="C3473" s="9">
        <v>1910</v>
      </c>
      <c r="D3473" s="10">
        <v>45602</v>
      </c>
      <c r="E3473" s="13" t="str">
        <f>+HYPERLINK("http://trademark.i-assist.jp/data/china/image_1910th/80516623.pdf","80516623")</f>
        <v>80516623</v>
      </c>
      <c r="F3473" s="11" t="s">
        <v>9425</v>
      </c>
      <c r="G3473" s="11" t="s">
        <v>9426</v>
      </c>
      <c r="H3473" s="9" t="s">
        <v>9427</v>
      </c>
      <c r="I3473" s="10">
        <v>45526</v>
      </c>
    </row>
    <row r="3474" spans="1:9" x14ac:dyDescent="0.15">
      <c r="A3474" s="9">
        <v>3473</v>
      </c>
      <c r="B3474" s="9" t="s">
        <v>9</v>
      </c>
      <c r="C3474" s="9">
        <v>1910</v>
      </c>
      <c r="D3474" s="10">
        <v>45602</v>
      </c>
      <c r="E3474" s="13" t="str">
        <f>+HYPERLINK("http://trademark.i-assist.jp/data/china/image_1910th/80517594.pdf","80517594")</f>
        <v>80517594</v>
      </c>
      <c r="F3474" s="9" t="s">
        <v>9428</v>
      </c>
      <c r="G3474" s="9" t="s">
        <v>11</v>
      </c>
      <c r="H3474" s="11" t="s">
        <v>9429</v>
      </c>
      <c r="I3474" s="10">
        <v>45526</v>
      </c>
    </row>
    <row r="3475" spans="1:9" x14ac:dyDescent="0.15">
      <c r="A3475" s="9">
        <v>3474</v>
      </c>
      <c r="B3475" s="9" t="s">
        <v>9</v>
      </c>
      <c r="C3475" s="9">
        <v>1910</v>
      </c>
      <c r="D3475" s="10">
        <v>45602</v>
      </c>
      <c r="E3475" s="13" t="str">
        <f>+HYPERLINK("http://trademark.i-assist.jp/data/china/image_1910th/80521403.pdf","80521403")</f>
        <v>80521403</v>
      </c>
      <c r="F3475" s="9" t="s">
        <v>9430</v>
      </c>
      <c r="G3475" s="11" t="s">
        <v>9415</v>
      </c>
      <c r="H3475" s="9" t="s">
        <v>9431</v>
      </c>
      <c r="I3475" s="10">
        <v>45526</v>
      </c>
    </row>
    <row r="3476" spans="1:9" x14ac:dyDescent="0.15">
      <c r="A3476" s="9">
        <v>3475</v>
      </c>
      <c r="B3476" s="9" t="s">
        <v>9</v>
      </c>
      <c r="C3476" s="9">
        <v>1910</v>
      </c>
      <c r="D3476" s="10">
        <v>45602</v>
      </c>
      <c r="E3476" s="13" t="str">
        <f>+HYPERLINK("http://trademark.i-assist.jp/data/china/image_1910th/80522926.pdf","80522926")</f>
        <v>80522926</v>
      </c>
      <c r="F3476" s="11" t="s">
        <v>9432</v>
      </c>
      <c r="G3476" s="9" t="s">
        <v>9433</v>
      </c>
      <c r="H3476" s="9" t="s">
        <v>9434</v>
      </c>
      <c r="I3476" s="10">
        <v>45527</v>
      </c>
    </row>
    <row r="3477" spans="1:9" x14ac:dyDescent="0.15">
      <c r="A3477" s="9">
        <v>3476</v>
      </c>
      <c r="B3477" s="9" t="s">
        <v>9</v>
      </c>
      <c r="C3477" s="9">
        <v>1910</v>
      </c>
      <c r="D3477" s="10">
        <v>45602</v>
      </c>
      <c r="E3477" s="13" t="str">
        <f>+HYPERLINK("http://trademark.i-assist.jp/data/china/image_1910th/80525212.pdf","80525212")</f>
        <v>80525212</v>
      </c>
      <c r="F3477" s="11" t="s">
        <v>9435</v>
      </c>
      <c r="G3477" s="9" t="s">
        <v>9436</v>
      </c>
      <c r="H3477" s="11" t="s">
        <v>9437</v>
      </c>
      <c r="I3477" s="10">
        <v>45527</v>
      </c>
    </row>
    <row r="3478" spans="1:9" x14ac:dyDescent="0.15">
      <c r="A3478" s="9">
        <v>3477</v>
      </c>
      <c r="B3478" s="9" t="s">
        <v>9</v>
      </c>
      <c r="C3478" s="9">
        <v>1910</v>
      </c>
      <c r="D3478" s="10">
        <v>45602</v>
      </c>
      <c r="E3478" s="13" t="str">
        <f>+HYPERLINK("http://trademark.i-assist.jp/data/china/image_1910th/80525213.pdf","80525213")</f>
        <v>80525213</v>
      </c>
      <c r="F3478" s="9" t="s">
        <v>9438</v>
      </c>
      <c r="G3478" s="9" t="s">
        <v>9439</v>
      </c>
      <c r="H3478" s="9" t="s">
        <v>9440</v>
      </c>
      <c r="I3478" s="10">
        <v>45527</v>
      </c>
    </row>
    <row r="3479" spans="1:9" x14ac:dyDescent="0.15">
      <c r="A3479" s="9">
        <v>3478</v>
      </c>
      <c r="B3479" s="9" t="s">
        <v>9</v>
      </c>
      <c r="C3479" s="9">
        <v>1910</v>
      </c>
      <c r="D3479" s="10">
        <v>45602</v>
      </c>
      <c r="E3479" s="13" t="str">
        <f>+HYPERLINK("http://trademark.i-assist.jp/data/china/image_1910th/80525699.pdf","80525699")</f>
        <v>80525699</v>
      </c>
      <c r="F3479" s="9" t="s">
        <v>9441</v>
      </c>
      <c r="G3479" s="11" t="s">
        <v>9442</v>
      </c>
      <c r="H3479" s="11" t="s">
        <v>9443</v>
      </c>
      <c r="I3479" s="10">
        <v>45527</v>
      </c>
    </row>
    <row r="3480" spans="1:9" x14ac:dyDescent="0.15">
      <c r="A3480" s="9">
        <v>3479</v>
      </c>
      <c r="B3480" s="9" t="s">
        <v>9</v>
      </c>
      <c r="C3480" s="9">
        <v>1910</v>
      </c>
      <c r="D3480" s="10">
        <v>45602</v>
      </c>
      <c r="E3480" s="13" t="str">
        <f>+HYPERLINK("http://trademark.i-assist.jp/data/china/image_1910th/80527910.pdf","80527910")</f>
        <v>80527910</v>
      </c>
      <c r="F3480" s="11" t="s">
        <v>19</v>
      </c>
      <c r="G3480" s="9" t="s">
        <v>9444</v>
      </c>
      <c r="H3480" s="9" t="s">
        <v>9445</v>
      </c>
      <c r="I3480" s="10">
        <v>45527</v>
      </c>
    </row>
    <row r="3481" spans="1:9" x14ac:dyDescent="0.15">
      <c r="A3481" s="9">
        <v>3480</v>
      </c>
      <c r="B3481" s="9" t="s">
        <v>9</v>
      </c>
      <c r="C3481" s="9">
        <v>1910</v>
      </c>
      <c r="D3481" s="10">
        <v>45602</v>
      </c>
      <c r="E3481" s="13" t="str">
        <f>+HYPERLINK("http://trademark.i-assist.jp/data/china/image_1910th/80528722.pdf","80528722")</f>
        <v>80528722</v>
      </c>
      <c r="F3481" s="11" t="s">
        <v>9446</v>
      </c>
      <c r="G3481" s="9" t="s">
        <v>9447</v>
      </c>
      <c r="H3481" s="11" t="s">
        <v>9448</v>
      </c>
      <c r="I3481" s="10">
        <v>45527</v>
      </c>
    </row>
    <row r="3482" spans="1:9" x14ac:dyDescent="0.15">
      <c r="A3482" s="9">
        <v>3481</v>
      </c>
      <c r="B3482" s="9" t="s">
        <v>9</v>
      </c>
      <c r="C3482" s="9">
        <v>1910</v>
      </c>
      <c r="D3482" s="10">
        <v>45602</v>
      </c>
      <c r="E3482" s="13" t="str">
        <f>+HYPERLINK("http://trademark.i-assist.jp/data/china/image_1910th/80528846.pdf","80528846")</f>
        <v>80528846</v>
      </c>
      <c r="F3482" s="11" t="s">
        <v>9449</v>
      </c>
      <c r="G3482" s="9" t="s">
        <v>5308</v>
      </c>
      <c r="H3482" s="9" t="s">
        <v>9450</v>
      </c>
      <c r="I3482" s="10">
        <v>45527</v>
      </c>
    </row>
    <row r="3483" spans="1:9" x14ac:dyDescent="0.15">
      <c r="A3483" s="9">
        <v>3482</v>
      </c>
      <c r="B3483" s="9" t="s">
        <v>9</v>
      </c>
      <c r="C3483" s="9">
        <v>1910</v>
      </c>
      <c r="D3483" s="10">
        <v>45602</v>
      </c>
      <c r="E3483" s="13" t="str">
        <f>+HYPERLINK("http://trademark.i-assist.jp/data/china/image_1910th/80530779.pdf","80530779")</f>
        <v>80530779</v>
      </c>
      <c r="F3483" s="9" t="s">
        <v>9451</v>
      </c>
      <c r="G3483" s="9" t="s">
        <v>9452</v>
      </c>
      <c r="H3483" s="9" t="s">
        <v>9453</v>
      </c>
      <c r="I3483" s="10">
        <v>45527</v>
      </c>
    </row>
    <row r="3484" spans="1:9" x14ac:dyDescent="0.15">
      <c r="A3484" s="9">
        <v>3483</v>
      </c>
      <c r="B3484" s="9" t="s">
        <v>9</v>
      </c>
      <c r="C3484" s="9">
        <v>1910</v>
      </c>
      <c r="D3484" s="10">
        <v>45602</v>
      </c>
      <c r="E3484" s="13" t="str">
        <f>+HYPERLINK("http://trademark.i-assist.jp/data/china/image_1910th/80530859.pdf","80530859")</f>
        <v>80530859</v>
      </c>
      <c r="F3484" s="11" t="s">
        <v>19</v>
      </c>
      <c r="G3484" s="11" t="s">
        <v>9454</v>
      </c>
      <c r="H3484" s="9" t="s">
        <v>9455</v>
      </c>
      <c r="I3484" s="10">
        <v>45527</v>
      </c>
    </row>
    <row r="3485" spans="1:9" x14ac:dyDescent="0.15">
      <c r="A3485" s="9">
        <v>3484</v>
      </c>
      <c r="B3485" s="9" t="s">
        <v>9</v>
      </c>
      <c r="C3485" s="9">
        <v>1910</v>
      </c>
      <c r="D3485" s="10">
        <v>45602</v>
      </c>
      <c r="E3485" s="13" t="str">
        <f>+HYPERLINK("http://trademark.i-assist.jp/data/china/image_1910th/80532204.pdf","80532204")</f>
        <v>80532204</v>
      </c>
      <c r="F3485" s="11" t="s">
        <v>9456</v>
      </c>
      <c r="G3485" s="9" t="s">
        <v>9457</v>
      </c>
      <c r="H3485" s="9" t="s">
        <v>9458</v>
      </c>
      <c r="I3485" s="10">
        <v>45527</v>
      </c>
    </row>
    <row r="3486" spans="1:9" x14ac:dyDescent="0.15">
      <c r="A3486" s="9">
        <v>3485</v>
      </c>
      <c r="B3486" s="9" t="s">
        <v>9</v>
      </c>
      <c r="C3486" s="9">
        <v>1910</v>
      </c>
      <c r="D3486" s="10">
        <v>45602</v>
      </c>
      <c r="E3486" s="13" t="str">
        <f>+HYPERLINK("http://trademark.i-assist.jp/data/china/image_1910th/80539550.pdf","80539550")</f>
        <v>80539550</v>
      </c>
      <c r="F3486" s="9" t="s">
        <v>9459</v>
      </c>
      <c r="G3486" s="9" t="s">
        <v>9460</v>
      </c>
      <c r="H3486" s="9" t="s">
        <v>9461</v>
      </c>
      <c r="I3486" s="10">
        <v>45527</v>
      </c>
    </row>
    <row r="3487" spans="1:9" x14ac:dyDescent="0.15">
      <c r="A3487" s="9">
        <v>3486</v>
      </c>
      <c r="B3487" s="9" t="s">
        <v>9</v>
      </c>
      <c r="C3487" s="9">
        <v>1910</v>
      </c>
      <c r="D3487" s="10">
        <v>45602</v>
      </c>
      <c r="E3487" s="13" t="str">
        <f>+HYPERLINK("http://trademark.i-assist.jp/data/china/image_1910th/80540060.pdf","80540060")</f>
        <v>80540060</v>
      </c>
      <c r="F3487" s="9" t="s">
        <v>9462</v>
      </c>
      <c r="G3487" s="9" t="s">
        <v>9463</v>
      </c>
      <c r="H3487" s="9" t="s">
        <v>9464</v>
      </c>
      <c r="I3487" s="10">
        <v>45527</v>
      </c>
    </row>
    <row r="3488" spans="1:9" x14ac:dyDescent="0.15">
      <c r="A3488" s="9">
        <v>3487</v>
      </c>
      <c r="B3488" s="9" t="s">
        <v>9</v>
      </c>
      <c r="C3488" s="9">
        <v>1910</v>
      </c>
      <c r="D3488" s="10">
        <v>45602</v>
      </c>
      <c r="E3488" s="13" t="str">
        <f>+HYPERLINK("http://trademark.i-assist.jp/data/china/image_1910th/80541093.pdf","80541093")</f>
        <v>80541093</v>
      </c>
      <c r="F3488" s="9" t="s">
        <v>9465</v>
      </c>
      <c r="G3488" s="9" t="s">
        <v>9466</v>
      </c>
      <c r="H3488" s="11" t="s">
        <v>9467</v>
      </c>
      <c r="I3488" s="10">
        <v>45527</v>
      </c>
    </row>
    <row r="3489" spans="1:9" x14ac:dyDescent="0.15">
      <c r="A3489" s="9">
        <v>3488</v>
      </c>
      <c r="B3489" s="9" t="s">
        <v>9</v>
      </c>
      <c r="C3489" s="9">
        <v>1910</v>
      </c>
      <c r="D3489" s="10">
        <v>45602</v>
      </c>
      <c r="E3489" s="13" t="str">
        <f>+HYPERLINK("http://trademark.i-assist.jp/data/china/image_1910th/80541467.pdf","80541467")</f>
        <v>80541467</v>
      </c>
      <c r="F3489" s="9" t="s">
        <v>9468</v>
      </c>
      <c r="G3489" s="9" t="s">
        <v>9469</v>
      </c>
      <c r="H3489" s="9" t="s">
        <v>9470</v>
      </c>
      <c r="I3489" s="10">
        <v>45527</v>
      </c>
    </row>
    <row r="3490" spans="1:9" x14ac:dyDescent="0.15">
      <c r="A3490" s="9">
        <v>3489</v>
      </c>
      <c r="B3490" s="9" t="s">
        <v>9</v>
      </c>
      <c r="C3490" s="9">
        <v>1910</v>
      </c>
      <c r="D3490" s="10">
        <v>45602</v>
      </c>
      <c r="E3490" s="13" t="str">
        <f>+HYPERLINK("http://trademark.i-assist.jp/data/china/image_1910th/80542651.pdf","80542651")</f>
        <v>80542651</v>
      </c>
      <c r="F3490" s="11" t="s">
        <v>9471</v>
      </c>
      <c r="G3490" s="9" t="s">
        <v>9472</v>
      </c>
      <c r="H3490" s="11" t="s">
        <v>9473</v>
      </c>
      <c r="I3490" s="10">
        <v>45527</v>
      </c>
    </row>
    <row r="3491" spans="1:9" x14ac:dyDescent="0.15">
      <c r="A3491" s="9">
        <v>3490</v>
      </c>
      <c r="B3491" s="9" t="s">
        <v>9</v>
      </c>
      <c r="C3491" s="9">
        <v>1910</v>
      </c>
      <c r="D3491" s="10">
        <v>45602</v>
      </c>
      <c r="E3491" s="13" t="str">
        <f>+HYPERLINK("http://trademark.i-assist.jp/data/china/image_1910th/80544282.pdf","80544282")</f>
        <v>80544282</v>
      </c>
      <c r="F3491" s="9" t="s">
        <v>9474</v>
      </c>
      <c r="G3491" s="9" t="s">
        <v>9475</v>
      </c>
      <c r="H3491" s="9" t="s">
        <v>9476</v>
      </c>
      <c r="I3491" s="10">
        <v>45527</v>
      </c>
    </row>
    <row r="3492" spans="1:9" x14ac:dyDescent="0.15">
      <c r="A3492" s="9">
        <v>3491</v>
      </c>
      <c r="B3492" s="9" t="s">
        <v>9</v>
      </c>
      <c r="C3492" s="9">
        <v>1910</v>
      </c>
      <c r="D3492" s="10">
        <v>45602</v>
      </c>
      <c r="E3492" s="13" t="str">
        <f>+HYPERLINK("http://trademark.i-assist.jp/data/china/image_1910th/80547776.pdf","80547776")</f>
        <v>80547776</v>
      </c>
      <c r="F3492" s="9" t="s">
        <v>9477</v>
      </c>
      <c r="G3492" s="9" t="s">
        <v>9478</v>
      </c>
      <c r="H3492" s="9" t="s">
        <v>9479</v>
      </c>
      <c r="I3492" s="10">
        <v>45528</v>
      </c>
    </row>
    <row r="3493" spans="1:9" x14ac:dyDescent="0.15">
      <c r="A3493" s="9">
        <v>3492</v>
      </c>
      <c r="B3493" s="9" t="s">
        <v>9</v>
      </c>
      <c r="C3493" s="9">
        <v>1910</v>
      </c>
      <c r="D3493" s="10">
        <v>45602</v>
      </c>
      <c r="E3493" s="13" t="str">
        <f>+HYPERLINK("http://trademark.i-assist.jp/data/china/image_1910th/80550479.pdf","80550479")</f>
        <v>80550479</v>
      </c>
      <c r="F3493" s="9" t="s">
        <v>9480</v>
      </c>
      <c r="G3493" s="9" t="s">
        <v>9478</v>
      </c>
      <c r="H3493" s="9" t="s">
        <v>9481</v>
      </c>
      <c r="I3493" s="10">
        <v>45528</v>
      </c>
    </row>
    <row r="3494" spans="1:9" x14ac:dyDescent="0.15">
      <c r="A3494" s="9">
        <v>3493</v>
      </c>
      <c r="B3494" s="9" t="s">
        <v>9</v>
      </c>
      <c r="C3494" s="9">
        <v>1910</v>
      </c>
      <c r="D3494" s="10">
        <v>45602</v>
      </c>
      <c r="E3494" s="13" t="str">
        <f>+HYPERLINK("http://trademark.i-assist.jp/data/china/image_1910th/80551377.pdf","80551377")</f>
        <v>80551377</v>
      </c>
      <c r="F3494" s="11" t="s">
        <v>9482</v>
      </c>
      <c r="G3494" s="9" t="s">
        <v>63</v>
      </c>
      <c r="H3494" s="9" t="s">
        <v>9483</v>
      </c>
      <c r="I3494" s="10">
        <v>45528</v>
      </c>
    </row>
    <row r="3495" spans="1:9" ht="15" x14ac:dyDescent="0.15">
      <c r="A3495" s="9">
        <v>3494</v>
      </c>
      <c r="B3495" s="9" t="s">
        <v>9</v>
      </c>
      <c r="C3495" s="9">
        <v>1910</v>
      </c>
      <c r="D3495" s="10">
        <v>45602</v>
      </c>
      <c r="E3495" s="13" t="str">
        <f>+HYPERLINK("http://trademark.i-assist.jp/data/china/image_1910th/80108416.pdf","80108416")</f>
        <v>80108416</v>
      </c>
      <c r="F3495" s="9" t="s">
        <v>9484</v>
      </c>
      <c r="G3495" s="9" t="s">
        <v>9485</v>
      </c>
      <c r="H3495" s="9" t="s">
        <v>9486</v>
      </c>
      <c r="I3495" s="10">
        <v>45504</v>
      </c>
    </row>
  </sheetData>
  <autoFilter ref="A1:J1" xr:uid="{3B0FB343-47C0-4CE0-8FAB-E7608847F386}"/>
  <phoneticPr fontId="2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1910th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IA-99</cp:lastModifiedBy>
  <dcterms:created xsi:type="dcterms:W3CDTF">2018-08-31T07:51:48Z</dcterms:created>
  <dcterms:modified xsi:type="dcterms:W3CDTF">2025-03-17T01:04:18Z</dcterms:modified>
</cp:coreProperties>
</file>