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"/>
    </mc:Choice>
  </mc:AlternateContent>
  <xr:revisionPtr revIDLastSave="0" documentId="13_ncr:1_{72C3A573-E603-4506-A5F9-1CC98EF194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08th" sheetId="2" r:id="rId1"/>
  </sheets>
  <definedNames>
    <definedName name="_xlnm._FilterDatabase" localSheetId="0" hidden="1">'1908th'!$A$1:$I$1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</calcChain>
</file>

<file path=xl/sharedStrings.xml><?xml version="1.0" encoding="utf-8"?>
<sst xmlns="http://schemas.openxmlformats.org/spreadsheetml/2006/main" count="16634" uniqueCount="6647">
  <si>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</si>
  <si>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</si>
  <si>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</si>
  <si>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</si>
  <si>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</si>
  <si>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</si>
  <si>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</si>
  <si>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</si>
  <si>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</si>
  <si>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</si>
  <si>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图形</t>
  </si>
  <si>
    <t>酒精饮料（啤酒除外）</t>
  </si>
  <si>
    <t/>
  </si>
  <si>
    <t>⽩酒</t>
  </si>
  <si>
    <t>2024/04/16</t>
  </si>
  <si>
    <t>2024/04/29</t>
  </si>
  <si>
    <t>贵州省仁怀市茅台镇衡昌烧坊酿酒有限公司</t>
  </si>
  <si>
    <t>2024/05/08</t>
  </si>
  <si>
    <t>2024/05/09</t>
  </si>
  <si>
    <t>2024/05/10</t>
  </si>
  <si>
    <t>2024/05/11</t>
  </si>
  <si>
    <t>山东百脉泉酒业股份有限公司</t>
  </si>
  <si>
    <t>2024/05/15</t>
  </si>
  <si>
    <t>2024/05/28</t>
  </si>
  <si>
    <t>2023/09/27</t>
  </si>
  <si>
    <t>袁龙</t>
  </si>
  <si>
    <t>2024/05/16</t>
  </si>
  <si>
    <t>2024/05/17</t>
  </si>
  <si>
    <t>2024/05/22</t>
  </si>
  <si>
    <t>2024/05/23</t>
  </si>
  <si>
    <t>王坤</t>
  </si>
  <si>
    <t>2024/05/25</t>
  </si>
  <si>
    <t>2024/05/27</t>
  </si>
  <si>
    <t>2024/05/29</t>
  </si>
  <si>
    <t>2024/05/30</t>
  </si>
  <si>
    <t>2024/05/31</t>
  </si>
  <si>
    <t>佘锦亮</t>
  </si>
  <si>
    <t>2024/06/03</t>
  </si>
  <si>
    <t>2024/06/05</t>
  </si>
  <si>
    <t>吴婵</t>
  </si>
  <si>
    <t>2024/06/06</t>
  </si>
  <si>
    <t>2024/06/07</t>
  </si>
  <si>
    <t>2024/06/11</t>
  </si>
  <si>
    <t>2024/06/12</t>
  </si>
  <si>
    <t>2024/06/13</t>
  </si>
  <si>
    <t>2024/06/14</t>
  </si>
  <si>
    <t>2024/06/15</t>
  </si>
  <si>
    <t>2024/06/17</t>
  </si>
  <si>
    <t>2024/06/18</t>
  </si>
  <si>
    <t>2024/06/19</t>
  </si>
  <si>
    <t>2024/06/20</t>
  </si>
  <si>
    <t>刘海欢</t>
  </si>
  <si>
    <t>2023/11/21</t>
  </si>
  <si>
    <t>2023/11/23</t>
  </si>
  <si>
    <t>2024/04/24</t>
  </si>
  <si>
    <t>肆拾玖坊（天津）电子商务有限公司</t>
  </si>
  <si>
    <t>北京酒追誉贸易有限公司</t>
  </si>
  <si>
    <t>安徽有无酒业有限公司</t>
  </si>
  <si>
    <t>2024/06/21</t>
  </si>
  <si>
    <t>2024/06/22</t>
  </si>
  <si>
    <t>2024/06/24</t>
  </si>
  <si>
    <t>宜宾邓祖企业管理有限公司</t>
  </si>
  <si>
    <t>2024/06/25</t>
  </si>
  <si>
    <t>2024/06/26</t>
  </si>
  <si>
    <t>2024/06/27</t>
  </si>
  <si>
    <t>2024/06/28</t>
  </si>
  <si>
    <t>2024/06/29</t>
  </si>
  <si>
    <t>2024/06/30</t>
  </si>
  <si>
    <t>2024/07/01</t>
  </si>
  <si>
    <t>2024/07/02</t>
  </si>
  <si>
    <t>2024/07/03</t>
  </si>
  <si>
    <t>黄展成</t>
  </si>
  <si>
    <t>2024/07/04</t>
  </si>
  <si>
    <t>2024/07/05</t>
  </si>
  <si>
    <t>2024/07/06</t>
  </si>
  <si>
    <t>2024/07/07</t>
  </si>
  <si>
    <t>2024/07/08</t>
  </si>
  <si>
    <t>2024/07/09</t>
  </si>
  <si>
    <t>绍兴虞之梦食品有限公司</t>
  </si>
  <si>
    <t>2024/07/10</t>
  </si>
  <si>
    <t>王鹏</t>
  </si>
  <si>
    <t>2024/07/11</t>
  </si>
  <si>
    <t>2023/07/27</t>
  </si>
  <si>
    <t>2023/09/21</t>
  </si>
  <si>
    <t>广州美台酒业有限公司</t>
  </si>
  <si>
    <t>2023/12/11</t>
  </si>
  <si>
    <t>2023/12/17</t>
  </si>
  <si>
    <t>2023/12/28</t>
  </si>
  <si>
    <t>2024/04/09</t>
  </si>
  <si>
    <t>2024/04/22</t>
  </si>
  <si>
    <t>2024/04/28</t>
  </si>
  <si>
    <t>⽶酒</t>
  </si>
  <si>
    <t>2024/05/20</t>
  </si>
  <si>
    <t>武汉白大夫医美皮肤医学研究所（有限合伙）</t>
  </si>
  <si>
    <t>青岛足谱科技有限公司</t>
  </si>
  <si>
    <t>纳里健康科技有限公司</t>
  </si>
  <si>
    <t>杭州汇浩盛科技有限公司</t>
  </si>
  <si>
    <t>国科文创发展(深圳)有限公司</t>
  </si>
  <si>
    <t>2024/06/23</t>
  </si>
  <si>
    <t>王绍光</t>
  </si>
  <si>
    <t>美集美嘉(青岛)国际供应链有限公司</t>
  </si>
  <si>
    <t>深圳市燕鹿科技有限公司</t>
  </si>
  <si>
    <t>贵州省仁怀市忆酿坊酒业销售有限公司</t>
  </si>
  <si>
    <t>浙江圣塔绍兴酒有限公司</t>
  </si>
  <si>
    <t>谢艾尔</t>
  </si>
  <si>
    <t>白会芹</t>
  </si>
  <si>
    <t>贵州仁义天下文化传媒有限公司</t>
  </si>
  <si>
    <t>青岛莫名其妙食品有限公司</t>
  </si>
  <si>
    <t>范睿</t>
  </si>
  <si>
    <t>斐高（杭州）酒庄有限公司</t>
  </si>
  <si>
    <t>贵州周氏烧坊酒业有限公司</t>
  </si>
  <si>
    <t>杨雨浩</t>
  </si>
  <si>
    <t>浙江钓台御品酒业有限公司</t>
  </si>
  <si>
    <t>四川杜甫酒业集团股份有限公司</t>
  </si>
  <si>
    <t>新疆晋善晋美酒业有限责任公司</t>
  </si>
  <si>
    <t>朱弘志</t>
  </si>
  <si>
    <t>酒</t>
  </si>
  <si>
    <t>李斌</t>
  </si>
  <si>
    <t>中国绍兴黄酒集团有限公司</t>
  </si>
  <si>
    <t>张利37282********1496X</t>
  </si>
  <si>
    <t>刘飞</t>
  </si>
  <si>
    <t>今世缘金一帆</t>
  </si>
  <si>
    <t>江苏今世缘酒业股份有限公司</t>
  </si>
  <si>
    <t>海淘易购供应链（广州）有限公司</t>
  </si>
  <si>
    <t>河南粮者酒行连锁管理科技有限公司</t>
  </si>
  <si>
    <t>江爱珍</t>
  </si>
  <si>
    <t>湖南臻礼供应链管理有限公司</t>
  </si>
  <si>
    <t>张爱霞</t>
  </si>
  <si>
    <t>浙江悦腾信息科技有限公司</t>
  </si>
  <si>
    <t>重庆江小白品牌管理有限公司</t>
  </si>
  <si>
    <t>河南曼诗威贸易有限公司</t>
  </si>
  <si>
    <t>2024/07/12</t>
  </si>
  <si>
    <t>何梦圆</t>
  </si>
  <si>
    <t>何梦贺</t>
  </si>
  <si>
    <t>邱增好</t>
  </si>
  <si>
    <t>何梦娇</t>
  </si>
  <si>
    <t>中国国联集团有限公司</t>
  </si>
  <si>
    <t>刘庆超</t>
  </si>
  <si>
    <t>贵州酒投酒业发展（集团）有限责任公司</t>
  </si>
  <si>
    <t>2024/07/13</t>
  </si>
  <si>
    <t>杜清</t>
  </si>
  <si>
    <t>2024/07/14</t>
  </si>
  <si>
    <t>王宝珍</t>
  </si>
  <si>
    <t>2024/07/15</t>
  </si>
  <si>
    <t>安真贞露</t>
  </si>
  <si>
    <t>秦皇岛嘉佰伦酿酒有限责任公司</t>
  </si>
  <si>
    <t>林倩伶</t>
  </si>
  <si>
    <t>华本菁</t>
  </si>
  <si>
    <t>林容华</t>
  </si>
  <si>
    <t>陈晓雅</t>
  </si>
  <si>
    <t>内蒙古众和行网络科技有限公司</t>
  </si>
  <si>
    <t>2024/07/16</t>
  </si>
  <si>
    <t>槟气</t>
  </si>
  <si>
    <t>海南槟气实业有限公司</t>
  </si>
  <si>
    <t>2024/07/17</t>
  </si>
  <si>
    <t>谢如意</t>
  </si>
  <si>
    <t>2024/07/18</t>
  </si>
  <si>
    <t>周成敏</t>
  </si>
  <si>
    <t>裴瑞敏</t>
  </si>
  <si>
    <t>叶桃三</t>
  </si>
  <si>
    <t>孙守芳</t>
  </si>
  <si>
    <t>天酿文化传播（苏州）有限公司</t>
  </si>
  <si>
    <t>王晓霞</t>
  </si>
  <si>
    <t>2024/07/19</t>
  </si>
  <si>
    <t>宁夏留世葡萄酒庄有限公司</t>
  </si>
  <si>
    <t>2024/07/20</t>
  </si>
  <si>
    <t>亿晟烈酒联合集团（香港）有限公司</t>
  </si>
  <si>
    <t>2024/07/21</t>
  </si>
  <si>
    <t>2024/07/22</t>
  </si>
  <si>
    <t>杜发上</t>
  </si>
  <si>
    <t>王振成</t>
  </si>
  <si>
    <t>2024/07/23</t>
  </si>
  <si>
    <t>邓建帅</t>
  </si>
  <si>
    <t>朱鹤汀（绍兴）黄酒文化发展有限公司</t>
  </si>
  <si>
    <t>柴保中</t>
  </si>
  <si>
    <t>2024/07/24</t>
  </si>
  <si>
    <t>2024/07/25</t>
  </si>
  <si>
    <t>鲁成东</t>
  </si>
  <si>
    <t>含⽔果酒精饮料;⽩酒</t>
  </si>
  <si>
    <t>1908</t>
  </si>
  <si>
    <t>2024/10/20</t>
  </si>
  <si>
    <t>MITU</t>
  </si>
  <si>
    <t>小米科技有限责任公司</t>
  </si>
  <si>
    <t>酒精饮料（啤酒除外）;含酒精的⽔果鸡尾酒饮料;蒸馏饮料;葡萄酒;烧酒;酒精饮料浓缩汁;含⽔果酒精饮料;预先混合的酒精饮料（以啤酒为主的除外）;⽩酒;酒精饮料原汁</t>
  </si>
  <si>
    <t>2021/06/30</t>
  </si>
  <si>
    <t>赤玉</t>
  </si>
  <si>
    <t>三得利控股株式会社</t>
  </si>
  <si>
    <t>果酒（含酒精）;鸡尾酒;葡萄酒;酒精饮料（啤酒除外）;以葡萄酒为主的饮料;甜果酒;含酒精的⽔果鸡尾酒饮料;葡萄潘趣酒;桑格利亚汽酒;汽酒</t>
  </si>
  <si>
    <t>2021/12/27</t>
  </si>
  <si>
    <t>翠屏山</t>
  </si>
  <si>
    <t>济南和平石油有限公司</t>
  </si>
  <si>
    <t>苦味酒;葡萄酒;酒精饮料（啤酒除外）;⻩酒;烧酒;含酒精的饮料（啤酒除外）;除啤酒外的酒精饮料;含⽔果酒精饮料;⽩酒;果酒（含酒精）</t>
  </si>
  <si>
    <t>2022/03/15</t>
  </si>
  <si>
    <t>郑氏</t>
  </si>
  <si>
    <t>山东郑公酒业有限公司</t>
  </si>
  <si>
    <t>⻩酒;⽶酒;果酒;烧酒;酒精饮料（啤酒除外）;葡萄酒;鸡尾酒;⽩兰地;⽩酒;甜酒</t>
  </si>
  <si>
    <t>2022/03/17</t>
  </si>
  <si>
    <t>老胡烧</t>
  </si>
  <si>
    <t>丽水市老胡烧酒业有限公司</t>
  </si>
  <si>
    <t>果酒（含酒精）;鸡尾酒;⽩兰地;威⼠忌;⽩酒;⽶酒;汽酒;⻩酒;⾷⽤酒精;含⽔果酒精饮料</t>
  </si>
  <si>
    <t>2022/05/20</t>
  </si>
  <si>
    <t>中森华林</t>
  </si>
  <si>
    <t>中森华林控股有限公司</t>
  </si>
  <si>
    <t>威⼠忌;⽩兰地;⽩酒;葡萄酒;含酒精的充⽓饮料（啤酒除外）;鸡尾酒;果酒（含酒精）;清酒（⽇本⽶酒）;烈酒;蜂蜜酒</t>
  </si>
  <si>
    <t>2022/11/25</t>
  </si>
  <si>
    <t>董康</t>
  </si>
  <si>
    <t>贵州董酒股份有限公司</t>
  </si>
  <si>
    <t>酒精饮料（啤酒除外）;⽶酒;烧酒;⽩酒;清酒（⽇本⽶酒）;开胃酒;餐后酒（利⼝酒和烈酒）;葡萄酒;梨酒;果酒（含酒精）</t>
  </si>
  <si>
    <t>2023/01/18</t>
  </si>
  <si>
    <t>挺进醇</t>
  </si>
  <si>
    <t>高雪</t>
  </si>
  <si>
    <t>杜松⼦酒;果酒（含酒精）;葡萄酒;⽶酒;⽩酒;含⽔果酒精饮料;含酒精的⽔果鸡尾酒饮料;清酒（⽇本⽶酒）;烧酒;酒精饮料（啤酒除外）</t>
  </si>
  <si>
    <t>2023/02/21</t>
  </si>
  <si>
    <t>典丰</t>
  </si>
  <si>
    <t>张旭</t>
  </si>
  <si>
    <t>葡萄酒;⽩兰地;清酒（⽇本⽶酒）;酒精饮料（啤酒除外）;果酒（含酒精）;⾕物制蒸馏酒精饮料;⻘稞酒;⾷⽤酒精;⽩酒;⽶酒</t>
  </si>
  <si>
    <t>挺进坊</t>
  </si>
  <si>
    <t>烧酒;⽩酒;杜松⼦酒;果酒（含酒精）;清酒（⽇本⽶酒）;⽶酒;酒精饮料（啤酒除外）;含⽔果酒精饮料;含酒精的⽔果鸡尾酒饮料;葡萄酒</t>
  </si>
  <si>
    <t>TOUCH</t>
  </si>
  <si>
    <t>丹尼斯有限责任公司</t>
  </si>
  <si>
    <t>葡萄酒</t>
  </si>
  <si>
    <t>2023/03/03</t>
  </si>
  <si>
    <t>晋裕汾酒</t>
  </si>
  <si>
    <t>山西杏花村汾酒厂股份有限公司</t>
  </si>
  <si>
    <t>果酒（含酒精）;葡萄酒;利⼝酒;清酒（⽇本⽶酒）;烧酒;酒精饮料（啤酒除外）;⽶酒;⽩酒;⾷⽤酒精;酒精饮料原汁</t>
  </si>
  <si>
    <t>2023/03/07</t>
  </si>
  <si>
    <t>晋裕汾</t>
  </si>
  <si>
    <t>猜酒</t>
  </si>
  <si>
    <t>义乌市衍尚电子商务商行</t>
  </si>
  <si>
    <t>烈酒（饮料）;酒精饮料（啤酒除外）;葡萄酒;⽶酒;⽩酒;烧酒（烈酒）;果酒（含酒精）;⾷⽤酒精;烧酒;⽩⼲酒（中国⽩酒）</t>
  </si>
  <si>
    <t>2023/05/12</t>
  </si>
  <si>
    <t>徽颂</t>
  </si>
  <si>
    <t>何飞</t>
  </si>
  <si>
    <t>果酒（含酒精）;⾷⽤酒精;⽩酒;⽼酒（中国蒸馏烈酒）;酒精饮料（啤酒除外）;烧酒;⽩⼲酒（中国⽩酒）;烈酒（饮料）;威⼠忌;葡萄酒</t>
  </si>
  <si>
    <t>2023/05/15</t>
  </si>
  <si>
    <t>盐井老窖</t>
  </si>
  <si>
    <t>四川成都盐井酒业有限责任公司</t>
  </si>
  <si>
    <t>⽶酒;⾼粱酒;烧酒（烈酒）;以葡萄酒为主的饮料;⻩酒;含酒精的饮料（啤酒除外）;由⾕物蒸馏的⽩酒;⾷⽤酒精;葡萄酒;⽩酒</t>
  </si>
  <si>
    <t>2023/06/19</t>
  </si>
  <si>
    <t>汉草</t>
  </si>
  <si>
    <t>义乌市韵炅电子商务商行</t>
  </si>
  <si>
    <t>⾷⽤酒精;清酒（⽇本⽶酒）;酒精饮料（啤酒除外）;⽼酒（中国蒸馏烈酒）;⽶酒;烧酒;⽩酒;⽩⼲酒（中国⽩酒）;葡萄酒;果酒（含酒精）</t>
  </si>
  <si>
    <t>2023/06/28</t>
  </si>
  <si>
    <t>福兴酒</t>
  </si>
  <si>
    <t>贵州敏会科技有限公司</t>
  </si>
  <si>
    <t>⽩酒;葡萄酒;烧酒（烈酒）;酒精饮料（啤酒除外）;⻩酒;威⼠忌;⽩兰地;朗姆酒;果酒（含酒精）;⽶酒</t>
  </si>
  <si>
    <t>2023/07/11</t>
  </si>
  <si>
    <t>龙息 1388</t>
  </si>
  <si>
    <t>成都酒十三酒类营销有限责任公司</t>
  </si>
  <si>
    <t>⻩酒;威⼠忌;葡萄酒;含⽔果酒精饮料;果酒（含酒精）;梨酒;⻘稞酒;⽩酒;⾷⽤酒精;烧酒</t>
  </si>
  <si>
    <t>2023/07/14</t>
  </si>
  <si>
    <t>广西国晶庄园酒业有限公司</t>
  </si>
  <si>
    <t>烈酒（饮料）;威⼠忌;葡萄酒;⽩酒;酒精饮料原汁;蒸煮提取物（利⼝酒和烈酒）;⽩兰地;烧酒;利⼝酒;酒精饮料（啤酒除外）</t>
  </si>
  <si>
    <t>葡萄酒;烈酒（饮料）;⽩酒;利⼝酒;酒精饮料（啤酒除外）;酒精饮料原汁;烧酒;蒸煮提取物（利⼝酒和烈酒）;⽩兰地;威⼠忌</t>
  </si>
  <si>
    <t>京上元</t>
  </si>
  <si>
    <t>江苏京东农业股份有限公司</t>
  </si>
  <si>
    <t>葡萄酒;⽩酒;烧酒;⾕物制蒸馏酒精饮料;果酒（含酒精）;酒精饮料（啤酒除外）;汽酒;伏特加酒;鸡尾酒;⽩兰地</t>
  </si>
  <si>
    <t>2023/07/28</t>
  </si>
  <si>
    <t>翠鹰庄</t>
  </si>
  <si>
    <t>佩纳弗洛集团公司</t>
  </si>
  <si>
    <t>起泡⽩葡萄酒;葡萄汽酒;天然汽酒;⽔果汽酒;汽酒;起泡红葡萄酒;葡萄酒</t>
  </si>
  <si>
    <t>机缘</t>
  </si>
  <si>
    <t>范李科</t>
  </si>
  <si>
    <t>⽩⼲酒（中国⽩酒）;含酒精的饮料（啤酒除外）;由⾕物蒸馏的⽩酒;⾼粱酒;⽩酒;⽼酒（中国蒸馏烈酒）;酒精饮料（啤酒除外）;果酒;已调味的蒸馏酒;烧酒（烈酒）</t>
  </si>
  <si>
    <t>2023/08/02</t>
  </si>
  <si>
    <t>乌梁素海</t>
  </si>
  <si>
    <t>乌拉特前旗富昌达农贸专业合作社</t>
  </si>
  <si>
    <t>果酒（含酒精）;葡萄酒;烈酒（饮料）;⽶酒;开胃酒;⻩酒;含⽔果酒精饮料;⾷⽤酒精;⽩酒;烧酒</t>
  </si>
  <si>
    <t>2023/08/08</t>
  </si>
  <si>
    <t>顶仕</t>
  </si>
  <si>
    <t>内蒙古顶仕生物科技有限责任公司</t>
  </si>
  <si>
    <t>威⼠忌;⽩酒;酒精饮料（啤酒除外）;⻩酒;果酒;甜酒;⽶酒;葡萄酒;鸡尾酒;烈酒</t>
  </si>
  <si>
    <t>2023/09/05</t>
  </si>
  <si>
    <t>KEKETUOHAILAOMUQIAO</t>
  </si>
  <si>
    <t>阿里木·帕特尔</t>
  </si>
  <si>
    <t>苦味酒;烧酒;葡萄酒;汽酒;⽩酒;酒精饮料（啤酒除外）;鸡尾酒;⽶酒;⽼酒（中国蒸馏烈酒）;果酒（含酒精）</t>
  </si>
  <si>
    <t>2023/09/08</t>
  </si>
  <si>
    <t>一桌人</t>
  </si>
  <si>
    <t>延边乾宇商贸有限公司</t>
  </si>
  <si>
    <t>2023/09/13</t>
  </si>
  <si>
    <t>红河</t>
  </si>
  <si>
    <t>徐天顺</t>
  </si>
  <si>
    <t>蒸馏饮料;含⽔果酒精饮料;⽩⼲酒（中国⽩酒）;⽼酒（中国蒸馏烈酒）;⾼粱酒;酒精饮料（啤酒除外）;鸡尾酒;葡萄酒;⽩酒;烈酒（饮料）;果酒（含酒精）;果酒</t>
  </si>
  <si>
    <t>2023/09/18</t>
  </si>
  <si>
    <t>火把液特酿</t>
  </si>
  <si>
    <t>四川火把液酒业有限责任公司</t>
  </si>
  <si>
    <t>清酒（⽇本⽶酒）;⻩酒;⽢蔗制烈酒;果酒（含酒精）;预先混合的酒精饮料（以啤酒为主的除外）;⽶酒;⽩酒;⾷⽤酒精;烧酒（烈酒）;葡萄酒</t>
  </si>
  <si>
    <t>些</t>
  </si>
  <si>
    <t>上海晗知昂会务服务有限公司</t>
  </si>
  <si>
    <t>清酒（⽇本⽶酒）;酒精饮料浓缩汁;⾷⽤酒精;威⼠忌;⽩兰地;果酒（含酒精）;烈酒（饮料）;⽩酒;葡萄酒;酒精饮料（啤酒除外）</t>
  </si>
  <si>
    <t>2023/09/25</t>
  </si>
  <si>
    <t>阿力屯坛子 ALTUN KOMZAK</t>
  </si>
  <si>
    <t>依米尼江·阿不地卡地尔</t>
  </si>
  <si>
    <t>甜果酒;以葡萄酒为主的开胃酒;以葡萄酒为主的饮料;酒精饮料浓缩汁;桃红葡萄酒;酒精饮料原汁;酸酒（低等葡萄酒）;酒精饮料（啤酒除外）;含酒精的饮料（啤酒除外）;葡萄酒</t>
  </si>
  <si>
    <t>窖丰祥</t>
  </si>
  <si>
    <t>四川丰祥仲仙酒业有限公司</t>
  </si>
  <si>
    <t>⽩酒;果酒（含酒精）;酒精饮料原汁;预先混合的酒精饮料（以啤酒为主的除外）;⻩酒;烧酒;蒸煮提取物（利⼝酒和烈酒）;⽶酒;烈酒（饮料）;葡萄酒</t>
  </si>
  <si>
    <t>树下 UNDER THE TREE</t>
  </si>
  <si>
    <t>徐树海</t>
  </si>
  <si>
    <t>蜂蜜酒;含⽔果酒精饮料;⽶酒;果酒（含酒精）;烈酒（饮料）;葡萄酒;酒精饮料（啤酒除外）;⻩酒;⽩酒;开胃酒</t>
  </si>
  <si>
    <t>2023/09/28</t>
  </si>
  <si>
    <t>索伦河</t>
  </si>
  <si>
    <t>吕常久15220********8002X</t>
  </si>
  <si>
    <t>葡萄酒;⽩酒;利⼝酒;⾕物制蒸馏酒精饮料;⾼粱酒;开胃酒;酒精饮料（啤酒除外）;⽶酒;烧酒;果酒</t>
  </si>
  <si>
    <t>2023/10/08</t>
  </si>
  <si>
    <t>奢寐 SOMMEILDULUXE</t>
  </si>
  <si>
    <t>王兵</t>
  </si>
  <si>
    <t>烈酒（饮料）;含⽔果酒精饮料;⽶酒;⽩酒;酒精饮料（啤酒除外）;⻩酒;烧酒;果酒（含酒精）;酒精饮料浓缩汁;葡萄酒</t>
  </si>
  <si>
    <t>2023/10/13</t>
  </si>
  <si>
    <t>若格达斯</t>
  </si>
  <si>
    <t>若尔盖县惠民科技有限责任公司</t>
  </si>
  <si>
    <t>威⼠忌;⽩酒;烧酒;含⽔果酒精饮料;⻩酒;清酒;酒精饮料（啤酒除外）;苹果酒;预先混合的酒精饮料（以啤酒为主的除外）;果酒（含酒精）</t>
  </si>
  <si>
    <t>2023/11/07</t>
  </si>
  <si>
    <t>购酒网 GJW.COM</t>
  </si>
  <si>
    <t>购酒网（上海）供应链管理有限公司</t>
  </si>
  <si>
    <t>清酒（⽇本⽶酒）;酒精饮料原汁;蒸馏饮料;开胃酒;⽩兰地;含⽔果酒精饮料;⽩酒;葡萄酒;汽酒;果酒（含酒精）</t>
  </si>
  <si>
    <t>2023/11/15</t>
  </si>
  <si>
    <t>醉酩意</t>
  </si>
  <si>
    <t>东轩投资控股（海南）集团有限公司</t>
  </si>
  <si>
    <t>蒸馏饮料;⽩酒;⽶酒;烈酒（饮料）;鸡尾酒;葡萄酒;果酒（含酒精）;酒精饮料（啤酒除外）;⻩酒;烧酒</t>
  </si>
  <si>
    <t>黄河牛</t>
  </si>
  <si>
    <t>海南金砖天下酒庄有限公司</t>
  </si>
  <si>
    <t>烧酒;鸡尾酒;烈酒（饮料）;葡萄酒;⻩酒;蒸馏饮料;⽶酒;⽩酒;酒精饮料（啤酒除外）;果酒（含酒精）</t>
  </si>
  <si>
    <t>财冠</t>
  </si>
  <si>
    <t>索艳丽</t>
  </si>
  <si>
    <t>果酒（含酒精）;酒精饮料（啤酒除外）;⻩酒;梅酒;⾼粱酒;⽼酒（中国蒸馏烈酒）;⽶酒;⽩酒;⾕物制蒸馏酒精饮料;葡萄酒</t>
  </si>
  <si>
    <t>2023/11/24</t>
  </si>
  <si>
    <t>望云</t>
  </si>
  <si>
    <t>费县钟山酒水物流配送中心</t>
  </si>
  <si>
    <t>⾷⽤酒精;以葡萄酒为主的饮料;利⼝酒;伏特加酒;⽩兰地;开胃酒;亚⼒酒;烈酒（饮料）;⽩酒;果酒（含酒精）</t>
  </si>
  <si>
    <t>2023/11/30</t>
  </si>
  <si>
    <t>胡天下</t>
  </si>
  <si>
    <t>北京怡福康宝商贸有限公司</t>
  </si>
  <si>
    <t>开胃酒;葡萄酒;威⼠忌;⽶酒;⻩酒;鸡尾酒;酒精饮料原汁;⽩酒;⽩兰地;以葡萄酒为主的饮料</t>
  </si>
  <si>
    <t>2023/12/01</t>
  </si>
  <si>
    <t>正三花</t>
  </si>
  <si>
    <t>南昌五星三花醇科技有限公司</t>
  </si>
  <si>
    <t>葡萄酒;⽩酒;⽶酒;威⼠忌;烧酒;伏特加酒;汽酒;⻩酒;果酒（含酒精）;烈酒（饮料）</t>
  </si>
  <si>
    <t>2023/12/04</t>
  </si>
  <si>
    <t>横江绿农</t>
  </si>
  <si>
    <t>乐安县横江农业开发有限公司</t>
  </si>
  <si>
    <t>薄荷酒;果酒（含酒精）;⽩酒;酒精饮料（啤酒除外）;⻩酒;烧酒;苦味酒;开胃酒;⾷⽤酒精;⽩兰地</t>
  </si>
  <si>
    <t>2023/12/08</t>
  </si>
  <si>
    <t>青源玉液</t>
  </si>
  <si>
    <t>青海九贤商贸有限责任公司</t>
  </si>
  <si>
    <t>烈酒（饮料）;含⽔果酒精饮料;烧酒;⽩酒;酒精饮料（啤酒除外）;蜂蜜酒;⻘稞酒;鸡尾酒;果酒（含酒精）;⽶酒</t>
  </si>
  <si>
    <t>汉贺</t>
  </si>
  <si>
    <t>胡舒娴</t>
  </si>
  <si>
    <t>⽩兰地;蒸馏饮料;酒精饮料（啤酒除外）;⾕物制蒸馏酒精饮料;果酒（含酒精）;⽩酒;威⼠忌;⾷⽤酒精;葡萄酒;⽶酒</t>
  </si>
  <si>
    <t>黄河母亲</t>
  </si>
  <si>
    <t>张秒松</t>
  </si>
  <si>
    <t>葡萄酒;果酒（含酒精）;鸡尾酒;⽩酒;蒸馏饮料;烈酒（饮料）;⽶酒;酒精饮料（啤酒除外）;⻩酒;烧酒</t>
  </si>
  <si>
    <t>2023/12/21</t>
  </si>
  <si>
    <t>知音品慧</t>
  </si>
  <si>
    <t>芜湖蜜鑫企业管理咨询服务有限公司</t>
  </si>
  <si>
    <t>⽩酒;果酒（含酒精）;葡萄酒;⻩酒;酒精饮料（啤酒除外）;⾷⽤酒精;⽶酒;开胃酒;烈酒;烧酒</t>
  </si>
  <si>
    <t>2023/12/26</t>
  </si>
  <si>
    <t>正旺</t>
  </si>
  <si>
    <t>郑宝银</t>
  </si>
  <si>
    <t>蒸馏饮料;鸡尾酒;⽶酒;汽酒;葡萄酒;⻩酒;清酒（⽇本⽶酒）;⽩酒;开胃酒;烧酒</t>
  </si>
  <si>
    <t>骨先生</t>
  </si>
  <si>
    <t>新蓝盾（北京）健康技术发展有限公司</t>
  </si>
  <si>
    <t>酒精饮料（啤酒除外）;含酒精⽔果饮料;⾷⽤酒精;含酒精的饮料（啤酒除外）;果酒（含酒精）</t>
  </si>
  <si>
    <t>2024/01/03</t>
  </si>
  <si>
    <t>唐凤锦</t>
  </si>
  <si>
    <t>唐王酱坊（广东）酒业有限公司</t>
  </si>
  <si>
    <t>开胃酒;⽩酒;威⼠忌;酒精饮料（啤酒除外）;⻩酒;鸡尾酒;⽶酒;果酒（含酒精）;葡萄酒;含⽔果酒精饮料</t>
  </si>
  <si>
    <t>2024/01/05</t>
  </si>
  <si>
    <t>帕玉白马格</t>
  </si>
  <si>
    <t>西藏边城产业发展有限公司</t>
  </si>
  <si>
    <t>甜果酒;果酒（含酒精）;果酒;⼲型苹果酒;⻘稞酒;含酒精⽔果饮料;含酒精的⽔果鸡尾酒饮料;⾷⽤酒精;含⽔果酒精饮料;⽔果汽酒</t>
  </si>
  <si>
    <t>2024/01/18</t>
  </si>
  <si>
    <t>艾尔如合兰 ARROHLAN</t>
  </si>
  <si>
    <t>艾斯卡尔江·尼扎木丁</t>
  </si>
  <si>
    <t>甜酒;果酒;含酒精的鸡尾酒混合饮品;酒精饮料浓缩汁;葡萄酒;含⽜奶的鸡尾酒;鸡尾酒;加⾹料的热葡萄酒;以葡萄酒为主的开胃酒;含酒精的充⽓饮料（啤酒除外）</t>
  </si>
  <si>
    <t>2024/01/26</t>
  </si>
  <si>
    <t>贡布岗</t>
  </si>
  <si>
    <t>西藏米林红太阳藏药材科技开发有限公司</t>
  </si>
  <si>
    <t>⻘稞酒;果酒;⽩酒;含⽔果酒精饮料;天然汽酒;⼲型苹果酒;果酒（含酒精）;葡萄酒;蜂蜜酒;含酒精⽔果饮料</t>
  </si>
  <si>
    <t>2024/01/30</t>
  </si>
  <si>
    <t>贺胜台</t>
  </si>
  <si>
    <t>刘家成341225********4910</t>
  </si>
  <si>
    <t>威⼠忌;果酒（含酒精）;烈酒（饮料）;烧酒;鸡尾酒;⽶酒;葡萄酒;蒸馏饮料;酒精饮料（啤酒除外）;⽩酒</t>
  </si>
  <si>
    <t>2024/01/31</t>
  </si>
  <si>
    <t>嘎儿措</t>
  </si>
  <si>
    <t>王思淼</t>
  </si>
  <si>
    <t>⽩酒;⻩酒;鸡尾酒;果酒;⽶酒;葡萄酒;威⼠忌;⻘稞酒;⽩兰地;酒精饮料（啤酒除外）</t>
  </si>
  <si>
    <t>2024/02/21</t>
  </si>
  <si>
    <t>依克巴力 EKBAL</t>
  </si>
  <si>
    <t>阿不都克尤木·阿吉</t>
  </si>
  <si>
    <t>天然汽酒;苦味酒;苹果酒;以葡萄酒为主的开胃酒;葡萄酒;柑⾹酒;以蒸馏酒为主的开胃酒;开胃酒;⽩酒;果酒</t>
  </si>
  <si>
    <t>2024/03/02</t>
  </si>
  <si>
    <t>绍坊酒</t>
  </si>
  <si>
    <t>浙江老绍坊酒业有限公司</t>
  </si>
  <si>
    <t>汽酒;酒精饮料（啤酒除外）;餐后酒（利⼝酒和烈酒）;⻩酒;天然汽酒;⽶酒;五加⽪酒（中国混合烈酒）;⽩酒;烧酒;⽩兰地</t>
  </si>
  <si>
    <t>2024/03/08</t>
  </si>
  <si>
    <t>绍坊</t>
  </si>
  <si>
    <t>⽩酒;烧酒;天然汽酒;汽酒;⽩兰地;⽶酒;五加⽪酒（中国混合烈酒）;餐后酒（利⼝酒和烈酒）;酒精饮料（啤酒除外）;⻩酒</t>
  </si>
  <si>
    <t>大昭寺</t>
  </si>
  <si>
    <t>果酒（含酒精）;葡萄酒;烈酒（饮料）;⽶酒;含⽔果酒精饮料;⻘稞酒;⽩酒;鸡尾酒;清酒（⽇本⽶酒）;酒精饮料（啤酒除外）</t>
  </si>
  <si>
    <t>2024/03/11</t>
  </si>
  <si>
    <t>萨合拉木</t>
  </si>
  <si>
    <t>艾合买江·巴拉提</t>
  </si>
  <si>
    <t>开胃酒;鸡尾酒;⽩酒;预先混合的酒精饮料（以啤酒为主的除外）;蜂蜜酒;果酒（含酒精）;⻩酒;⽶酒;⻘稞酒;酒精饮料（啤酒除外）</t>
  </si>
  <si>
    <t>2024/03/12</t>
  </si>
  <si>
    <t>品葡</t>
  </si>
  <si>
    <t>李战胜</t>
  </si>
  <si>
    <t>⻘稞酒;梅酒;⽶酒;⽩酒;葡萄酒;⻩酒;清酒;⾼粱酒;汽酒;烧酒</t>
  </si>
  <si>
    <t>2024/03/27</t>
  </si>
  <si>
    <t>纳喜纳</t>
  </si>
  <si>
    <t>丽江纳喜纳文化旅游产业有限公司</t>
  </si>
  <si>
    <t>烈酒（饮料）;⻘稞酒;酒精饮料（啤酒除外）;⽶酒;酒精饮料浓缩汁;⻩酒;⽩酒;果酒（含酒精）;葡萄酒;⾕物制蒸馏酒精饮料</t>
  </si>
  <si>
    <t>砻康</t>
  </si>
  <si>
    <t>西藏肽业生物科技有限公司</t>
  </si>
  <si>
    <t>⻩酒;⾕物制蒸馏酒精饮料;酒精饮料浓缩汁;葡萄酒;含⽔果酒精饮料;烧酒;⽩酒;酒精饮料（啤酒除外）;酒精饮料原汁;⻘稞酒</t>
  </si>
  <si>
    <t>2024/04/10</t>
  </si>
  <si>
    <t>阳德泽</t>
  </si>
  <si>
    <t>夏河县阳德泽旅游文化开发有限责任公司</t>
  </si>
  <si>
    <t>以葡萄酒为主的饮料;甜酒;含⽔果酒精饮料;⽶酒;含⽜奶的鸡尾酒;酒精饮料（啤酒除外）;烈酒;果酒;⽩酒;⻘稞酒</t>
  </si>
  <si>
    <t>2024/04/15</t>
  </si>
  <si>
    <t>珠海诺宝贸易有限公司</t>
  </si>
  <si>
    <t>开胃酒;酒精饮料原汁;酒精饮料（啤酒除外）;⽶酒;烈酒（饮料）;葡萄酒;⽩酒;汽酒;果酒（含酒精）;甜果酒</t>
  </si>
  <si>
    <t>清泽潭</t>
  </si>
  <si>
    <t>河北百爱酒业有限公司</t>
  </si>
  <si>
    <t>威⼠忌;含酒精⽔果饮料;预先混合的酒精饮料（以啤酒为主的除外）;⾷⽤酒精;⽩酒;葡萄酒;烈酒（饮料）;酒精饮料原汁;果酒;鸡尾酒</t>
  </si>
  <si>
    <t>2024/04/17</t>
  </si>
  <si>
    <t>木合塔尔·阿巴拜克力</t>
  </si>
  <si>
    <t>果酒（含酒精）;烈酒（饮料）;含⽔果酒精饮料;⽩酒;汽酒;开胃酒;⻩酒;葡萄酒;⽶酒;预先混合的酒精饮料（以啤酒为主的除外）</t>
  </si>
  <si>
    <t>广东至膳云厨科技有限公司</t>
  </si>
  <si>
    <t>⻩酒;⽩酒;⽶酒;预先混合的酒精饮料（以啤酒为主的除外）;威⼠忌;以葡萄酒为主的饮料;烈酒（饮料）;烧酒;清酒（⽇本⽶酒）;⾕物制蒸馏酒精饮料</t>
  </si>
  <si>
    <t>雅颂伦布孜</t>
  </si>
  <si>
    <t>西藏雅颂伦布孜商贸有限公司</t>
  </si>
  <si>
    <t>清酒;葡萄酒;⽩酒;⻘稞酒;甜果酒;蜂蜜酒;含⽔果酒精饮料;除啤酒外的酒精饮料;⻩酒;⽶酒</t>
  </si>
  <si>
    <t>齐麟</t>
  </si>
  <si>
    <t>汉源昊业食品有限公司</t>
  </si>
  <si>
    <t>蒸煮提取物（利⼝酒和烈酒）;烈酒;含⽔果酒精饮料;预先混合的酒精饮料（以啤酒为主的除外）;酒精饮料原汁;开胃酒;⽩酒;果酒;鸡尾酒;酒精饮料（啤酒除外）</t>
  </si>
  <si>
    <t>阿力图努木凯沃乐 ALTUNUMKAWUL</t>
  </si>
  <si>
    <t>海如力·巴克尔</t>
  </si>
  <si>
    <t>果酒（含酒精）;含⽔果酒精饮料;烧酒;⾷⽤酒精;⽶酒;酒精饮料（啤酒除外）;果酒;鸡尾酒;威⼠忌;⽩酒</t>
  </si>
  <si>
    <t>鸟嘴糯高粱酒</t>
  </si>
  <si>
    <t>安化糯高粱农业种植有限公司</t>
  </si>
  <si>
    <t>烈酒（饮料）;⽩酒;葡萄酒;⽶酒;⾼粱酒;⻩酒;利⼝酒;烧酒;酒精饮料（啤酒除外）;⻘稞酒</t>
  </si>
  <si>
    <t>醉翁论道</t>
  </si>
  <si>
    <t>吴棣明</t>
  </si>
  <si>
    <t>烧酒;⽩⼲酒（中国⽩酒）;含酒精的饮料（啤酒除外）;果酒;⽶酒;⻩酒;葡萄酒;佐餐酒;汽酒;⽩酒</t>
  </si>
  <si>
    <t>醴承熙</t>
  </si>
  <si>
    <t>湖南妙极企业管理有限公司</t>
  </si>
  <si>
    <t>⽩兰地;⽶酒;鸡尾酒;⽩酒;伏特加酒;葡萄酒;酒精饮料（啤酒除外）;⻩酒;烧酒;果酒（含酒精）</t>
  </si>
  <si>
    <t>起士林</t>
  </si>
  <si>
    <t>天津起士林大饭店有限公司</t>
  </si>
  <si>
    <t>开胃酒;鸡尾酒;餐后酒（利⼝酒和烈酒）;烈酒（饮料）;汽酒;朗姆酒;果酒（含酒精）;葡萄酒;樱桃酒;⽩兰地</t>
  </si>
  <si>
    <t>2024/05/07</t>
  </si>
  <si>
    <t>HOMESTEAD HARVEST 家的粮仓</t>
  </si>
  <si>
    <t>北京家的粮仓健康食品有限责任公司</t>
  </si>
  <si>
    <t>果酒（含酒精）;甜酒;⾼粱酒;露酒;清酒;⽼酒（中国蒸馏烈酒）;葡萄酒;⻩酒;⽩酒;⽶酒</t>
  </si>
  <si>
    <t>守书台</t>
  </si>
  <si>
    <t>陈江滨</t>
  </si>
  <si>
    <t>清酒（⽇本⽶酒）;⽩酒;⽩兰地;果酒（含酒精）;⻘稞酒;⻩酒;葡萄酒;威⼠忌;烧酒;⽶酒</t>
  </si>
  <si>
    <t>馚中</t>
  </si>
  <si>
    <t>岳永富</t>
  </si>
  <si>
    <t>烈酒（饮料）;⽶酒;蜂蜜酒;汽酒;⾷⽤酒精;葡萄酒;蒸煮提取物（利⼝酒和烈酒）;果酒（含酒精）;烧酒;⽩酒</t>
  </si>
  <si>
    <t>老凹洞</t>
  </si>
  <si>
    <t>周兵鹏</t>
  </si>
  <si>
    <t>葡萄酒;⽶酒;烧酒;由⾕物蒸馏的⽩酒;烈性⼲酒;⻩酒;⽩酒;清酒;甜果酒;⽼酒（中国蒸馏烈酒）</t>
  </si>
  <si>
    <t>清工裕农</t>
  </si>
  <si>
    <t>河北雄安丰霖农业科技有限公司</t>
  </si>
  <si>
    <t>鸡尾酒;⽩酒;酒精饮料（啤酒除外）;烧酒;⻩酒;葡萄酒;威⼠忌;果酒（含酒精）;⾷⽤酒精;烈酒（饮料）</t>
  </si>
  <si>
    <t>广东岭南食品工业设计研究院有限公司</t>
  </si>
  <si>
    <t>⽩酒;鸡尾酒;果酒（含酒精）;葡萄酒</t>
  </si>
  <si>
    <t>本味天成</t>
  </si>
  <si>
    <t>北京春台酒业有限公司</t>
  </si>
  <si>
    <t>含⽔果酒精饮料;⻘稞酒;果酒（含酒精）;鸡尾酒;⽩酒;烈酒（饮料）;⽩兰地;清酒（⽇本⽶酒）;汽酒;葡萄酒</t>
  </si>
  <si>
    <t>葡萄美是</t>
  </si>
  <si>
    <t>广州红颜容酒业有限公司</t>
  </si>
  <si>
    <t>除啤酒外的酒精饮料;桃红葡萄酒;起泡红葡萄酒;以葡萄酒为主的饮料;⽩葡萄酒;葡萄酒;加烈葡萄酒;葡萄汽酒;葡萄潘趣酒;红葡萄酒</t>
  </si>
  <si>
    <t>甬元投资</t>
  </si>
  <si>
    <t>宁波金江股权投资基金有限公司</t>
  </si>
  <si>
    <t>果酒（含酒精）;葡萄酒;⽶酒;⻩酒;威⼠忌;汽酒;⾷⽤酒精;⽩酒;⽩兰地;鸡尾酒</t>
  </si>
  <si>
    <t>满来</t>
  </si>
  <si>
    <t>汪宛蓉</t>
  </si>
  <si>
    <t>⽩酒;葡萄酒;⻩酒;含⽔果酒精饮料;佐餐酒;烈酒（饮料）;⽩兰地;甜酒;威⼠忌;果酒（含酒精）</t>
  </si>
  <si>
    <t>逗朴</t>
  </si>
  <si>
    <t>逗朴（四川）生物科技有限公司</t>
  </si>
  <si>
    <t>含⽔果酒精饮料;葡萄酒;预先混合的酒精饮料（以啤酒为主的除外）;酒精饮料（啤酒除外）;⾷⽤酒精;鸡尾酒;果酒（含酒精）;⽩酒;⽶酒;由⾕物蒸馏的⽩酒</t>
  </si>
  <si>
    <t>西藏新年初一商贸有限公司</t>
  </si>
  <si>
    <t>茴⾹酒（利⼝酒）;⻩酒;⾷⽤酒精;烧酒;开胃酒;利⼝酒;⽩酒;果酒（含酒精）;茴芹酒（利⼝酒）;葡萄酒</t>
  </si>
  <si>
    <t>胖丽米酒</t>
  </si>
  <si>
    <t>蚌埠润弘食品科技有限公司</t>
  </si>
  <si>
    <t>含⽔果酒精饮料;⾷⽤酒精;杨梅酒;⾼粱酒;⽶酒;果酒;甜酒;⻩酒;⽩酒;葡萄酒</t>
  </si>
  <si>
    <t>纯狐之春</t>
  </si>
  <si>
    <t>宿州市纯狐之春生物科技有限公司</t>
  </si>
  <si>
    <t>葡萄酒;露酒;草莓酒;果酒（含酒精）;甜酒;⽩酒;含酒精的潘趣酒;果酒;含酒精⽔果饮料;预先混合的酒精饮料（以啤酒为主的除外）</t>
  </si>
  <si>
    <t>2024/05/12</t>
  </si>
  <si>
    <t>女子部落</t>
  </si>
  <si>
    <t>张家口玖品嘉选商贸有限公司</t>
  </si>
  <si>
    <t>餐后酒（利⼝酒和烈酒）;⻩酒;以葡萄酒为主的饮料;咖啡利⼝酒;⽩酒;烈酒（饮料）;威⼠忌;⽶酒;酒精饮料（啤酒除外）;葡萄酒</t>
  </si>
  <si>
    <t>2024/05/13</t>
  </si>
  <si>
    <t>李渡窖龄</t>
  </si>
  <si>
    <t>江西李渡酒业有限公司</t>
  </si>
  <si>
    <t>⽩酒;烈酒（饮料）;利⼝酒;葡萄酒;果酒（含酒精）;预先混合的酒精饮料（以啤酒为主的除外）;⽶酒;酒精饮料（啤酒除外）;⻩酒;威⼠忌</t>
  </si>
  <si>
    <t>汉帝黄龙</t>
  </si>
  <si>
    <t>雷升波</t>
  </si>
  <si>
    <t>烧酒;清酒（⽇本⽶酒）;果酒;⽩酒;鸡尾酒;清酒;⻘稞酒;⻩酒;葡萄酒;⽶酒</t>
  </si>
  <si>
    <t>青城赤兔</t>
  </si>
  <si>
    <t>⻩酒;梅酒;⾼粱酒;含⽔果酒精饮料;烧酒;果酒;开胃酒;葡萄酒;⽶酒;⽩酒</t>
  </si>
  <si>
    <t>麦田有道</t>
  </si>
  <si>
    <t>宿迁市捌玖电子商务有限公司</t>
  </si>
  <si>
    <t>红葡萄酒;果酒（含酒精）;葡萄酒;威⼠忌;⽩酒;清酒;杨梅酒;甜酒;⽶酒;⽩葡萄酒;果酒</t>
  </si>
  <si>
    <t>京五福</t>
  </si>
  <si>
    <t>北京五福家酒业有限公司</t>
  </si>
  <si>
    <t>⽩兰地;烧酒;汽酒;⽩酒;蜂蜜酒;⻩酒;酒精饮料浓缩汁;清酒（⽇本⽶酒）;烈酒（饮料）;酒精饮料（啤酒除外）</t>
  </si>
  <si>
    <t>峱宝果趣</t>
  </si>
  <si>
    <t>山东拓远文化集团有限公司</t>
  </si>
  <si>
    <t>含⽔果酒精饮料;葡萄酒;⽶酒;苹果酒;⽩兰地;⽩酒;清酒（⽇本⽶酒）;威⼠忌;果酒（含酒精）;鸡尾酒</t>
  </si>
  <si>
    <t>非梨磨属</t>
  </si>
  <si>
    <t>开封市示范区梨之源食品加工厂</t>
  </si>
  <si>
    <t>⽩酒;蒸馏饮料;果酒（含酒精）;酒精饮料（啤酒除外）;梨酒;含⽔果酒精饮料;酒精饮料原汁;⽔果汽酒;鸡尾酒;⽩兰地</t>
  </si>
  <si>
    <t>李耳 又见花开</t>
  </si>
  <si>
    <t>河南省李云上欢腾耳酒业厂</t>
  </si>
  <si>
    <t>预先混合的酒精饮料（以啤酒为主的除外）;葡萄酒;⻩酒;烈酒（饮料）;鸡尾酒;⽶酒;烧酒;⽩酒;果酒（含酒精）;酒精饮料（啤酒除外）</t>
  </si>
  <si>
    <t>贡御坛</t>
  </si>
  <si>
    <t>贵州御贡酒业有限责任公司</t>
  </si>
  <si>
    <t>酒精饮料浓缩汁;含⽔果酒精饮料;⽩酒;⻩酒;鸡尾酒;威⼠忌;葡萄酒;⽶酒;薄荷酒;清酒（⽇本⽶酒）</t>
  </si>
  <si>
    <t>疆壶烧酒</t>
  </si>
  <si>
    <t>文学</t>
  </si>
  <si>
    <t>⽩酒;果酒（含酒精）;烈酒;⻘稞酒;烧酒;蒸馏饮料;葡萄酒;⾼粱酒;⽶酒;含酒精的⽔果鸡尾酒饮料</t>
  </si>
  <si>
    <t>食荟八方</t>
  </si>
  <si>
    <t>利华盈科创投控股（深圳）有限公司</t>
  </si>
  <si>
    <t>⻘稞酒;含⽔果酒精饮料;⻩酒;鸡尾酒;果酒;葡萄酒;⽩兰地;⽩酒;酒精饮料（啤酒除外）;威⼠忌</t>
  </si>
  <si>
    <t>2024/05/21</t>
  </si>
  <si>
    <t>听风的蚕</t>
  </si>
  <si>
    <t>漯河市听风的蚕文化传播有限公司</t>
  </si>
  <si>
    <t>⻘稞酒;果酒（含酒精）;汽酒;桃红葡萄酒;⽩酒;预调甜酒;梅酒;柑⾹酒;⻘梅酒;⻩酒</t>
  </si>
  <si>
    <t>首位</t>
  </si>
  <si>
    <t>北京宏观科技实业有限公司</t>
  </si>
  <si>
    <t>⽩兰地;⽩酒;⾷⽤酒精;⾕物制蒸馏酒精饮料;⽶酒;烈酒;利⼝酒;薄荷酒;果酒;⻩酒</t>
  </si>
  <si>
    <t>康珠圣泉</t>
  </si>
  <si>
    <t>西藏钦尔诺商贸有限公司</t>
  </si>
  <si>
    <t>由⾕物蒸馏的⽩酒;含⽔果酒精饮料;⽩兰地;酒精饮料（啤酒除外）;甜酒;清酒;⾼粱酒;果酒;葡萄酒;⽩⼲酒（中国⽩酒）</t>
  </si>
  <si>
    <t>刘佳明</t>
  </si>
  <si>
    <t>果酒;由⾕物蒸馏的⽩酒;⾼粱酒;烧酒;葡萄酒;⽩⼲酒（中国⽩酒）;露酒;⽩酒;红葡萄酒;烧酒（烈酒）</t>
  </si>
  <si>
    <t>MOUSHITON VODKA</t>
  </si>
  <si>
    <t>张程茗370686********0414</t>
  </si>
  <si>
    <t>果酒（含酒精）;酒精饮料（啤酒除外）;烧酒;威⼠忌;伏特加酒;葡萄酒;利⼝酒;⽩兰地;⽩酒;樱桃酒</t>
  </si>
  <si>
    <t>晋商王婆</t>
  </si>
  <si>
    <t>山西晋文化传播集团有限公司</t>
  </si>
  <si>
    <t>葡萄酒;利⼝酒;烈酒（饮料）;蒸馏饮料;酒精饮料原汁;⽩酒;汽酒;⻩酒;果酒（含酒精）;烧酒</t>
  </si>
  <si>
    <t>⽶酒;威⼠忌;⾼粱酒;⻩酒;果酒;葡萄酒;含酒精⽔果饮料;⽩酒</t>
  </si>
  <si>
    <t>我最</t>
  </si>
  <si>
    <t>窦文斌</t>
  </si>
  <si>
    <t>烧酒;葡萄酒;清酒（⽇本⽶酒）;⻩酒;酒精饮料（啤酒除外）;鸡尾酒;⽩酒;果酒（含酒精）;烈酒（饮料）;⽶酒</t>
  </si>
  <si>
    <t>疆贡老酒</t>
  </si>
  <si>
    <t>保定戊己坊酒业有限公司</t>
  </si>
  <si>
    <t>⻘稞酒;⻩酒;⽩酒;葡萄酒;⽼酒（中国蒸馏烈酒）;⾼粱酒;果酒;露酒;⽶酒;⽩⼲酒（中国⽩酒）</t>
  </si>
  <si>
    <t>2024/05/24</t>
  </si>
  <si>
    <t>柔情米</t>
  </si>
  <si>
    <t>通江县向善文化传播有限公司</t>
  </si>
  <si>
    <t>露酒;⻩酒;⽩酒;葡萄酒;清酒（⽇本⽶酒）;⾼粱酒;果酒（含酒精）;含酒精的饮料（啤酒除外）;⽶酒;果酒</t>
  </si>
  <si>
    <t>浣戎</t>
  </si>
  <si>
    <t>山西美宁文化旅游开发有限公司</t>
  </si>
  <si>
    <t>烧酒（烈酒）;葡萄酒;甜酒;⽶酒;清酒;鸡尾酒;除啤酒外的酒精饮料;⽩酒;⾼粱酒;果酒（含酒精）</t>
  </si>
  <si>
    <t>筑春 百里</t>
  </si>
  <si>
    <t>贵州筑春酒业有限责任公司</t>
  </si>
  <si>
    <t>烈酒（饮料）;⽶酒;⻩酒;蒸煮提取物（利⼝酒和烈酒）;酒精饮料（啤酒除外）;果酒（含酒精）;葡萄酒;烧酒;威⼠忌;⽩酒</t>
  </si>
  <si>
    <t>司空云泉 SIKONG JIUYE</t>
  </si>
  <si>
    <t>安徽司空酒业有限公司</t>
  </si>
  <si>
    <t>烈酒;⽼酒（中国蒸馏烈酒）;佐餐酒;烧酒;⽶酒;开胃酒;果酒（含酒精）;葡萄酒;⽩酒;⾼粱酒</t>
  </si>
  <si>
    <t>吴调名</t>
  </si>
  <si>
    <t>高唐书婳酒业有限公司</t>
  </si>
  <si>
    <t>⾼粱酒;葡萄酒;甜酒;⽩酒;⽶酒;⻩酒;烧酒;⽩⼲酒（中国⽩酒）;⽼酒（中国蒸馏烈酒）;烈酒（饮料）</t>
  </si>
  <si>
    <t>康汇宝非</t>
  </si>
  <si>
    <t>湖南安享正阳和生物科技有限公司</t>
  </si>
  <si>
    <t>利⼝酒;⽶酒;⽩葡萄酒;起泡红葡萄酒;开胃酒;果酒（含酒精）;清酒（⽇本⽶酒）;⻩酒;⽩酒;烧酒</t>
  </si>
  <si>
    <t>泱帝</t>
  </si>
  <si>
    <t>邓斌</t>
  </si>
  <si>
    <t>葡萄酒;蒸煮提取物（利⼝酒和烈酒）;果酒（含酒精）;⻩酒;酒精饮料原汁;酒精饮料（啤酒除外）;⽩酒;鸡尾酒;威⼠忌;⽩兰地</t>
  </si>
  <si>
    <t>醉潇洒</t>
  </si>
  <si>
    <t>朋礼加</t>
  </si>
  <si>
    <t>餐后酒（利⼝酒和烈酒）;葡萄酒;露酒;⾼粱酒;烈酒;⻩酒;烧酒;果酒（含酒精）;⽶酒;蒸馏饮料</t>
  </si>
  <si>
    <t>圣贤井</t>
  </si>
  <si>
    <t>葡萄酒;烈酒;果酒（含酒精）;⽶酒;⻩酒;⾼粱酒;露酒;蒸馏饮料;餐后酒（利⼝酒和烈酒）;烧酒</t>
  </si>
  <si>
    <t>WUPAER</t>
  </si>
  <si>
    <t>刘晨</t>
  </si>
  <si>
    <t>⽶酒;⽩兰地;烧酒;利⼝酒;⻩酒;果酒（含酒精）;开胃酒;鸡尾酒;葡萄酒;⽩酒</t>
  </si>
  <si>
    <t>香龙木</t>
  </si>
  <si>
    <t>天津奥美环境技术有限公司</t>
  </si>
  <si>
    <t>起泡⽩葡萄酒;⽢蔗汁酿朗姆酒;⽶酒;葡萄酒;杨梅酒;⽩酒;威⼠忌;⻩酒;果酒（含酒精）;⽼酒（中国蒸馏烈酒）</t>
  </si>
  <si>
    <t>宝御健非</t>
  </si>
  <si>
    <t>⽩葡萄酒;清酒（⽇本⽶酒）;⽶酒;⻩酒;开胃酒;烧酒;起泡红葡萄酒;果酒（含酒精）;⽩酒;利⼝酒</t>
  </si>
  <si>
    <t>黑龙江省名远酒业有限公司</t>
  </si>
  <si>
    <t>烈酒（饮料）;烧酒;酒精饮料（啤酒除外）;露酒;⽩酒;⻘稞酒;果酒（含酒精）;酒精饮料原汁;⾕物制蒸馏酒精饮料;蒸馏饮料</t>
  </si>
  <si>
    <t>芬浓</t>
  </si>
  <si>
    <t>魔方酒类销售（重庆）有限公司</t>
  </si>
  <si>
    <t>苹果酒;烈酒（饮料）;⽩酒;鸡尾酒;⽶酒;樱桃酒;酒精饮料（啤酒除外）;果酒（含酒精）;⽩兰地;葡萄酒</t>
  </si>
  <si>
    <t>台誉基</t>
  </si>
  <si>
    <t>贵州省仁怀市千汇酒业有限公司</t>
  </si>
  <si>
    <t>⾷⽤酒精;⽼酒（中国蒸馏烈酒）;烧酒;利⼝酒;果酒（含酒精）;果酒;⽩⼲酒（中国⽩酒）;⾼粱酒;由⾕物蒸馏的⽩酒;⽩酒</t>
  </si>
  <si>
    <t>磨艺</t>
  </si>
  <si>
    <t>苹果酒;酒精饮料（啤酒除外）;鸡尾酒;⽶酒;⽩兰地;果酒（含酒精）;樱桃酒;烈酒（饮料）;葡萄酒;⽩酒</t>
  </si>
  <si>
    <t>顾安私董会</t>
  </si>
  <si>
    <t>顾安企业管理咨询（海南）有限公司</t>
  </si>
  <si>
    <t>果酒;汽酒;威⼠忌;烧酒;葡萄酒;⻩酒;蒸馏饮料;⽩酒;鸡尾酒;酒精饮料（啤酒除外）</t>
  </si>
  <si>
    <t>旨将</t>
  </si>
  <si>
    <t>官渡区常尖百货商店</t>
  </si>
  <si>
    <t>果酒;⽶酒;葡萄酒;⽩酒;烧酒;酒精饮料（啤酒除外）;⾼粱酒;烈酒;⻩酒;⽼酒（中国蒸馏烈酒）</t>
  </si>
  <si>
    <t>果酒（含酒精）;⾷⽤酒精;葡萄酒;⽩酒;蒸煮提取物（利⼝酒和烈酒）;烈酒;⽼酒（中国蒸馏烈酒）;⾼粱酒;利⼝酒;果酒</t>
  </si>
  <si>
    <t>台誉老</t>
  </si>
  <si>
    <t>果酒（含酒精）;⾷⽤酒精;烈酒;果酒;葡萄酒;⽩酒;⾼粱酒;由⾕物蒸馏的⽩酒;⽩⼲酒（中国⽩酒）;⽼酒（中国蒸馏烈酒）</t>
  </si>
  <si>
    <t>富连成</t>
  </si>
  <si>
    <t>富连成（天津）文化艺术有限责任公司</t>
  </si>
  <si>
    <t>葡萄酒;烧酒;⻩酒;⽩酒;鸡尾酒;果酒（含酒精）;酒精饮料（啤酒除外）;⾼粱酒;⽶酒;烈酒（饮料）</t>
  </si>
  <si>
    <t>爱意融融</t>
  </si>
  <si>
    <t>扬子江药业集团有限公司</t>
  </si>
  <si>
    <t>蒸煮提取物（利⼝酒和烈酒）;⽩酒;烈酒;苦艾酒;鸡尾酒;⻩酒;果酒;葡萄酒;烧酒;酒精饮料（啤酒除外）</t>
  </si>
  <si>
    <t>米龙蓝琼</t>
  </si>
  <si>
    <t>雅江县拥珠土特产销售有限公司</t>
  </si>
  <si>
    <t>汽酒;烈酒（饮料）;⻘稞酒;烧酒;⽩酒;⾕物制蒸馏酒精饮料;酒精饮料（啤酒除外）;含⽔果酒精饮料;清酒（⽇本⽶酒）;⽶酒</t>
  </si>
  <si>
    <t>华章脉</t>
  </si>
  <si>
    <t>黄付云</t>
  </si>
  <si>
    <t>⽩酒;烧酒;⻩酒;葡萄酒;清酒;酒精饮料（啤酒除外）;鸡尾酒;威⼠忌;果酒（含酒精）;⽶酒</t>
  </si>
  <si>
    <t>皇机阁䖁年賶</t>
  </si>
  <si>
    <t>国仓石科技（北京）集团有限公司</t>
  </si>
  <si>
    <t>含⽔果酒精饮料;蒸煮提取物（利⼝酒和烈酒）;葡萄酒;清酒（⽇本⽶酒）;⽩酒;酒精饮料浓缩汁;⽶酒;烧酒;果酒;酒精饮料原汁</t>
  </si>
  <si>
    <t>SHUANGXIULU</t>
  </si>
  <si>
    <t>吉林双修鹿健康科技有限公司</t>
  </si>
  <si>
    <t>烧酒;⽩酒;酒精饮料（啤酒除外）;酒精饮料原汁;开胃酒;烈酒（饮料）;⽶酒;果酒（含酒精）;⻩酒;葡萄酒</t>
  </si>
  <si>
    <t>君赐华章</t>
  </si>
  <si>
    <t>⽩酒;烧酒;鸡尾酒;酒精饮料（啤酒除外）;葡萄酒;⽶酒;果酒（含酒精）;清酒;⻩酒;威⼠忌</t>
  </si>
  <si>
    <t>新气象·新年</t>
  </si>
  <si>
    <t>罗庆淮</t>
  </si>
  <si>
    <t>酒精饮料（啤酒除外）;⽶酒;⽩酒;含⽔果酒精饮料;⻩酒;苦味酒;葡萄酒;酒精饮料原汁;酒精饮料浓缩汁;烧酒</t>
  </si>
  <si>
    <t>2024/06/01</t>
  </si>
  <si>
    <t>新气象·梦想</t>
  </si>
  <si>
    <t>含⽔果酒精饮料;⽶酒;⻩酒;葡萄酒;⽩酒;烧酒;苦味酒;酒精饮料浓缩汁;酒精饮料（啤酒除外）;酒精饮料原汁</t>
  </si>
  <si>
    <t>新气象·至尊</t>
  </si>
  <si>
    <t>⻩酒;酒精饮料（啤酒除外）;烧酒;⽩酒;含⽔果酒精饮料;⽶酒;苦味酒;葡萄酒;酒精饮料浓缩汁;酒精饮料原汁</t>
  </si>
  <si>
    <t>新气象·情怀</t>
  </si>
  <si>
    <t>⽶酒;⻩酒;⽩酒;酒精饮料（啤酒除外）;苦味酒;酒精饮料原汁;含⽔果酒精饮料;烧酒;酒精饮料浓缩汁;葡萄酒</t>
  </si>
  <si>
    <t>首航优选</t>
  </si>
  <si>
    <t>北京首航国力商贸有限公司</t>
  </si>
  <si>
    <t>含⽔果酒精饮料;蒸馏饮料;鸡尾酒;⻩酒;⽩⼲酒（中国⽩酒）;酒精饮料（啤酒除外）;烧酒;葡萄酒;混合威⼠忌酒;烈酒</t>
  </si>
  <si>
    <t>闽厦</t>
  </si>
  <si>
    <t>⽶酒;⻘稞酒;⽩兰地;烧酒;⻩酒;清酒;⾼粱酒;葡萄酒;⽩酒</t>
  </si>
  <si>
    <t>石狮市永兴尚品商贸有限公司</t>
  </si>
  <si>
    <t>⻩酒;烧酒;⽩兰地;威⼠忌;清酒（⽇本⽶酒）;伏特加酒;⽩酒;葡萄酒;鸡尾酒;⽶酒</t>
  </si>
  <si>
    <t>2024/06/04</t>
  </si>
  <si>
    <t>家宁人生</t>
  </si>
  <si>
    <t>广州领绣美业科技有限公司</t>
  </si>
  <si>
    <t>葡萄酒;酒精饮料原汁;果酒（含酒精）;苦味酒;威⼠忌;朗姆酒;⽶酒;开胃酒;烈酒（饮料）;利⼝酒</t>
  </si>
  <si>
    <t>七必法</t>
  </si>
  <si>
    <t>山西杏花酒都酒业股份有限公司</t>
  </si>
  <si>
    <t>利⼝酒;烧酒;⽶酒;果酒（含酒精）;酒精饮料（啤酒除外）;清酒（⽇本⽶酒）;⾷⽤酒精;⻩酒;⽩酒;葡萄酒</t>
  </si>
  <si>
    <t>佳凤</t>
  </si>
  <si>
    <t>黑龙江宝裕酒业有限责任公司</t>
  </si>
  <si>
    <t>烧酒;⾕物制蒸馏酒精饮料;果酒;⽶酒;酒精饮料（啤酒除外）;汽酒;⾼粱酒;⾷⽤酒精;⽩⼲酒（中国⽩酒）;⽩酒</t>
  </si>
  <si>
    <t>七秘坊</t>
  </si>
  <si>
    <t>葡萄酒;酒精饮料（啤酒除外）;⾷⽤酒精;⽩酒;烧酒;⻩酒;利⼝酒;果酒（含酒精）;清酒（⽇本⽶酒）;⽶酒</t>
  </si>
  <si>
    <t>砰砰氿</t>
  </si>
  <si>
    <t>新疆阿山酒业有限责任公司</t>
  </si>
  <si>
    <t>⻩酒;葡萄酒;⽩兰地;蜂蜜酒;酒精饮料（啤酒除外）;⾷⽤酒精;果酒;⽼酒（中国蒸馏烈酒）;烈酒;⽩酒</t>
  </si>
  <si>
    <t>⽩酒;鸡尾酒;威⼠忌;⽩兰地;⻩酒;葡萄酒;⽶酒;清酒（⽇本⽶酒）;伏特加酒;烧酒</t>
  </si>
  <si>
    <t>七必传承</t>
  </si>
  <si>
    <t>清酒（⽇本⽶酒）;⽩酒;⽶酒;酒精饮料（啤酒除外）;⻩酒;⾷⽤酒精;利⼝酒;葡萄酒;果酒（含酒精）;烧酒</t>
  </si>
  <si>
    <t>七秘诀</t>
  </si>
  <si>
    <t>⽩酒;利⼝酒;果酒（含酒精）;清酒（⽇本⽶酒）;⻩酒;烧酒;酒精饮料（啤酒除外）;⾷⽤酒精;⽶酒;葡萄酒</t>
  </si>
  <si>
    <t>雒城私藏</t>
  </si>
  <si>
    <t>曾友均</t>
  </si>
  <si>
    <t>葡萄酒;果酒;酒精饮料浓缩汁;烈酒;蒸煮提取物（利⼝酒和烈酒）;⾷⽤酒精;⽶酒;⻩酒;⽩酒;烧酒</t>
  </si>
  <si>
    <t>羌诺布 NORTHERN NORBU</t>
  </si>
  <si>
    <t>那曲市长命百岁商贸有限公司</t>
  </si>
  <si>
    <t>烧酒;酒精饮料浓缩汁;预先混合的酒精饮料（以啤酒为主的除外）;⾷⽤酒精;⻩酒;酒精饮料（啤酒除外）;蒸煮提取物（利⼝酒和烈酒）;⽶酒;⽩酒;果酒（含酒精）</t>
  </si>
  <si>
    <t>SOMM'S TABLE</t>
  </si>
  <si>
    <t>北京醉马餐饮管理有限公司</t>
  </si>
  <si>
    <t>⽩酒;伏特加酒;朗姆酒;利⼝酒;⻩酒;红葡萄酒;⽩兰地;⽩葡萄酒;葡萄酒;鸡尾酒</t>
  </si>
  <si>
    <t>北京酿酒协会 EGT</t>
  </si>
  <si>
    <t>北京酿酒协会</t>
  </si>
  <si>
    <t>预先混合的酒精饮料（以啤酒为主的除外）;酒精饮料（啤酒除外）;⾷⽤酒精;蒸煮提取物（利⼝酒和烈酒）;⽩兰地;⻩酒;⽩酒;葡萄酒;烈酒（饮料）;果酒（含酒精）</t>
  </si>
  <si>
    <t>洋河嗨棒</t>
  </si>
  <si>
    <t>江苏洋河酒厂股份有限公司</t>
  </si>
  <si>
    <t>蒸煮提取物（利⼝酒和烈酒）;利⼝酒;果酒（含酒精）;⾷⽤酒精;烈酒（饮料）;葡萄酒;酒精饮料（啤酒除外）;⽩酒;预先混合的酒精饮料（以啤酒为主的除外）;烧酒</t>
  </si>
  <si>
    <t>彝寨玉花</t>
  </si>
  <si>
    <t>王松</t>
  </si>
  <si>
    <t>⾼粱酒;⻘稞酒;⽩酒;已调味的⻨芽酿制的酒精饮料（啤酒除外）;果酒;⾕物制蒸馏酒精饮料;⻩酒;⽼酒（中国蒸馏烈酒）;⽶酒;除啤酒外的酒精饮料</t>
  </si>
  <si>
    <t>金山小皇冠</t>
  </si>
  <si>
    <t>上海梦阳生态农业发展专业合作联社</t>
  </si>
  <si>
    <t>⽶酒;鸡尾酒;汽酒;烧酒;开胃酒;果酒（含酒精）;葡萄酒;⻩酒;⽩酒;酒精饮料（啤酒除外）</t>
  </si>
  <si>
    <t>FOREVER BRIGHT</t>
  </si>
  <si>
    <t>北京德信恒泰商业管理有限公司</t>
  </si>
  <si>
    <t>⽩兰地;清酒（⽇本⽶酒）;⽶酒;威⼠忌;葡萄酒;⻩酒;⽩酒;烈酒（饮料）;朗姆酒;伏特加酒</t>
  </si>
  <si>
    <t>福地南洞天</t>
  </si>
  <si>
    <t>广西玄之又玄文化传播有限公司</t>
  </si>
  <si>
    <t>蒸馏⽶酒（泡盛酒）;果酒（含酒精）;含酒精⽔果饮料;朝鲜族⽶酒;由⾕物蒸馏的⽩酒;含⽔果酒精饮料;酒精饮料（啤酒除外）;⻩酒;⾼梁酒;烧酒</t>
  </si>
  <si>
    <t>崇诸人</t>
  </si>
  <si>
    <t>宁波友康健康管理有限公司</t>
  </si>
  <si>
    <t>果酒;葡萄酒;⽩酒;苦荞酒;利⼝酒;酒精饮料（啤酒除外）;⻩酒;⾼粱酒;蝮蛇酒;开胃酒</t>
  </si>
  <si>
    <t>VERDZISATONADO</t>
  </si>
  <si>
    <t>杭州葡元科技有限公司</t>
  </si>
  <si>
    <t>预调甜酒;桃红葡萄酒;红葡萄酒;酒精饮料原汁;预先混合的酒精饮料（以啤酒为主的除外）;⽩葡萄酒;酒精饮料（啤酒除外）;烈酒;葡萄酒;⽩兰地</t>
  </si>
  <si>
    <t>乔南梁生鲜 QNL FRESH SUPERMARKET</t>
  </si>
  <si>
    <t>山西乔南梁悦家集团有限公司</t>
  </si>
  <si>
    <t>⾷⽤酒精;清酒;果酒（含酒精）;鸡尾酒;⻩酒;⽶酒;葡萄酒;⽩酒;威⼠忌;利⼝酒</t>
  </si>
  <si>
    <t>一州五县</t>
  </si>
  <si>
    <t>壹伍酒业（秦皇岛）有限责任公司</t>
  </si>
  <si>
    <t>果酒（含酒精）;蒸馏饮料;葡萄酒;⽶酒;酒精饮料（啤酒除外）;⽩酒;苹果酒;樱桃酒;威⼠忌;⾷⽤酒精</t>
  </si>
  <si>
    <t>川酿宴</t>
  </si>
  <si>
    <t>闫玉德412725********3856</t>
  </si>
  <si>
    <t>果酒;烈酒（饮料）;由⾕物蒸馏的⽩酒;⻩酒;⽶酒;⽩⼲酒（中国⽩酒）;葡萄酒;清酒;⾼粱酒;⽩酒</t>
  </si>
  <si>
    <t>龙宴华典</t>
  </si>
  <si>
    <t>⽩兰地;⾕物制蒸馏酒精饮料;威⼠忌;酒精饮料（啤酒除外）;⾼粱酒;梅酒;⽩酒;露酒;葡萄酒;⽼酒（中国蒸馏烈酒）</t>
  </si>
  <si>
    <t>燃稼</t>
  </si>
  <si>
    <t>张功深</t>
  </si>
  <si>
    <t>葡萄酒;苦味酒;果酒（含酒精）;亚⼒酒;蒸馏饮料;⽶酒;⽢蔗制酒精饮料;⾕物制蒸馏酒精饮料;酒精饮料（啤酒除外）;茴芹酒（利⼝酒）</t>
  </si>
  <si>
    <t>崂盛 TRADITIONAL BREWERY</t>
  </si>
  <si>
    <t>青岛崂盛精酿啤酒有限公司</t>
  </si>
  <si>
    <t>葡萄酒;鸡尾酒;清酒（⽇本⽶酒）;⻩酒;烈酒（饮料）;酒精饮料（啤酒除外）;⽩酒;烧酒;果酒（含酒精）;⽶酒</t>
  </si>
  <si>
    <t>广进</t>
  </si>
  <si>
    <t>徐力</t>
  </si>
  <si>
    <t>蒸馏饮料;利⼝酒;⾕物制蒸馏酒精饮料;开胃酒;⽩兰地;⽩酒;威⼠忌;⽶酒;⻩酒;葡萄酒</t>
  </si>
  <si>
    <t>⻩酒;清酒;⾼粱酒;⽩酒;⽩⼲酒（中国⽩酒）;葡萄酒;烈酒（饮料）;果酒;⽶酒;由⾕物蒸馏的⽩酒</t>
  </si>
  <si>
    <t>钱酒忠顺贻庥</t>
  </si>
  <si>
    <t>逸夫科技（集团）有限公司</t>
  </si>
  <si>
    <t>⽶酒;含酒精的饮料（啤酒除外）;⻘稞酒;梅酒;⾼粱酒;烧酒;果酒;葡萄酒;⽩酒;⻩酒</t>
  </si>
  <si>
    <t>2024/06/10</t>
  </si>
  <si>
    <t>ZHAOTIAN</t>
  </si>
  <si>
    <t>重庆兆田生态农业有限公司</t>
  </si>
  <si>
    <t>⽶酒;薄荷酒;⽩酒;果酒;汽酒;含酒精的饮料（啤酒除外）;葡萄酒;蜂蜜酒;⽩⼲酒（中国⽩酒）;⾼粱酒;⻩酒</t>
  </si>
  <si>
    <t>嵩云山</t>
  </si>
  <si>
    <t>薛迪</t>
  </si>
  <si>
    <t>⽩酒;甜酒;⽼酒（中国蒸馏烈酒）;苦荞酒;烧酒;伏特加酒;⽶酒;⻩酒;杨梅酒;露酒</t>
  </si>
  <si>
    <t>孝字辈</t>
  </si>
  <si>
    <t>五华区太井百货店</t>
  </si>
  <si>
    <t>开胃酒;梨酒;⻩酒;⽩酒;樱桃酒;⽩兰地;⽶酒;烧酒;鸡尾酒;葡萄酒</t>
  </si>
  <si>
    <t>运垦</t>
  </si>
  <si>
    <t>河北源垦调味品有限公司</t>
  </si>
  <si>
    <t>鸡尾酒;开胃酒;⽶酒;果酒（含酒精）;⽩酒;烈酒（饮料）;酒精饮料原汁;利⼝酒;⻩酒;葡萄酒</t>
  </si>
  <si>
    <t>盐东巷</t>
  </si>
  <si>
    <t>重庆元石天商务服务有限公司</t>
  </si>
  <si>
    <t>⽶酒;利⼝酒;⽩酒;酒精饮料（啤酒除外）;⾕物制蒸馏酒精饮料;开胃酒;果酒（含酒精）;烈酒;葡萄酒;⻩酒</t>
  </si>
  <si>
    <t>君必胜</t>
  </si>
  <si>
    <t>万邦药业(河南)有限公司</t>
  </si>
  <si>
    <t>烈酒（饮料）;预先混合的酒精饮料（以啤酒为主的除外）;烧酒;⾷⽤酒精;⽶酒;酒精饮料浓缩汁;酒精饮料原汁;鸡尾酒;⻩酒;⽩酒</t>
  </si>
  <si>
    <t>怒江</t>
  </si>
  <si>
    <t>云南东卡河商贸有限公司</t>
  </si>
  <si>
    <t>利⼝酒;⻩酒;烧酒;果酒（含酒精）;⾼粱酒;⻘稞酒;⽩酒;苦荞酒;露酒;葡萄酒</t>
  </si>
  <si>
    <t>品今（山东）商贸有限公司</t>
  </si>
  <si>
    <t>开胃酒;伏特加酒;烈性⼲酒;⽩⼲酒（中国⽩酒）;⾼粱酒;烈酒（饮料）;果酒;甜酒;⽩酒;⽩葡萄酒</t>
  </si>
  <si>
    <t>土龙</t>
  </si>
  <si>
    <t>宜兰食品工业股份有限公司</t>
  </si>
  <si>
    <t>烈酒（饮料）;果酒（含酒精）;酒精饮料（啤酒除外）;酒精饮料原汁;含⽔果酒精饮料;⻩酒;葡萄酒;⽶酒;汽酒;⽩酒</t>
  </si>
  <si>
    <t>神旺</t>
  </si>
  <si>
    <t>烈酒（饮料）;果酒（含酒精）;⽶酒;酒精饮料原汁;酒精饮料（啤酒除外）;汽酒;葡萄酒;⻩酒;含⽔果酒精饮料;⽩酒</t>
  </si>
  <si>
    <t>酒思令</t>
  </si>
  <si>
    <t>贵州遵酒品牌（集团）有限公司</t>
  </si>
  <si>
    <t>清酒;⽩酒;葡萄酒;蒸煮提取物(利⼝酒和烈酒);⽶酒;⻩酒;开胃酒;果酒;烧酒;酒精饮料(啤酒除外)</t>
  </si>
  <si>
    <t>美男美女</t>
  </si>
  <si>
    <t>薄荷酒;开胃酒;含⽔果酒精饮料;⽩酒;酒精饮料（啤酒除外）;蒸馏饮料;威⼠忌;⻩酒;葡萄酒;果酒（含酒精）</t>
  </si>
  <si>
    <t>允我馋</t>
  </si>
  <si>
    <t>湖北丽祥科技有限公司</t>
  </si>
  <si>
    <t>烧酒;含酒精的⽔果鸡尾酒饮料;⽩酒;蜂蜜酒;葡萄酒;⻩酒;果酒;除啤酒外的酒精饮料;含酒精⽔果饮料;⽶酒</t>
  </si>
  <si>
    <t>阿里藏鑫酒业有限公司</t>
  </si>
  <si>
    <t>烈酒（饮料）;威⼠忌;⻘稞酒;葡萄酒;⽶酒;蜂蜜酒;含⽔果酒精饮料;⽩酒;烧酒;果酒（含酒精）</t>
  </si>
  <si>
    <t>磨滩旅游度假区</t>
  </si>
  <si>
    <t>合肥市包河区乡村振兴投资有限公司</t>
  </si>
  <si>
    <t>含⽔果酒精饮料;开胃酒;⾕物制蒸馏酒精饮料;薄荷酒;⽶酒;⽩兰地;朗姆酒;果酒（含酒精）;蜂蜜酒;鸡尾酒</t>
  </si>
  <si>
    <t>佬农码头 LAO NONG MARKET</t>
  </si>
  <si>
    <t>武汉市佬农实业发展有限公司</t>
  </si>
  <si>
    <t>葡萄酒;威⼠忌;烧酒;含⽔果酒精饮料;⻩酒;⽩兰地;⽶酒;含酒精的⽓泡⽔;果酒（含酒精）;⽩酒</t>
  </si>
  <si>
    <t>蜀农益站</t>
  </si>
  <si>
    <t>四川银行股份有限公司</t>
  </si>
  <si>
    <t>果酒（含酒精）;⽩酒;烈酒（饮料）;⽩兰地;威⼠忌;⻩酒;葡萄酒;⾷⽤酒精;蒸馏饮料;酒精饮料（啤酒除外）</t>
  </si>
  <si>
    <t>云之外</t>
  </si>
  <si>
    <t>四川玛昀科技有限责任公司</t>
  </si>
  <si>
    <t>威⼠忌;鸡尾酒;清酒（⽇本⽶酒）;⽶酒;酒精饮料（啤酒除外）;⽩酒;果酒（含酒精）;葡萄酒;⻩酒;⻘稞酒</t>
  </si>
  <si>
    <t>芸德赛</t>
  </si>
  <si>
    <t>新疆云德赛商贸有限公司</t>
  </si>
  <si>
    <t>清酒;烧酒;含酒精的饮料（啤酒除外）;⽩酒;⽩⼲酒（中国⽩酒）;果酒（含酒精）;⻩酒;葡萄酒;⾼粱酒;⻘稞酒</t>
  </si>
  <si>
    <t>仰韶之光</t>
  </si>
  <si>
    <t>河南仰韶酒业有限公司</t>
  </si>
  <si>
    <t>⽩酒;酒精饮料（啤酒除外）;⽶酒;⻩酒;蒸馏饮料;葡萄酒;含⽔果酒精饮料;酒精饮料原汁;⾷⽤酒精;果酒（含酒精）</t>
  </si>
  <si>
    <t>FGHT 富贵亨通</t>
  </si>
  <si>
    <t>青岛汇臻贸易有限公司</t>
  </si>
  <si>
    <t>威⼠忌;⽶酒;葡萄酒;烧酒;利⼝酒;烈酒（饮料）;鸡尾酒;⽩酒;开胃酒;⻩酒</t>
  </si>
  <si>
    <t>李海波</t>
  </si>
  <si>
    <t>葡萄酒;烈酒（饮料）;酒精饮料（啤酒除外）;果酒（含酒精）;⽩酒;苦味酒;含⽔果酒精饮料;⽶酒;烧酒;⻩酒</t>
  </si>
  <si>
    <t>特威特</t>
  </si>
  <si>
    <t>郝保文</t>
  </si>
  <si>
    <t>烈酒;葡萄酒;果酒;⽔果汽酒;⽩酒;⻩酒;威⼠忌;⽶酒;梅酒;朗姆酒</t>
  </si>
  <si>
    <t>烧色清花</t>
  </si>
  <si>
    <t>吴梦</t>
  </si>
  <si>
    <t>果酒（含酒精）;烧酒;⽩兰地;酒精饮料（啤酒除外）;清酒（⽇本⽶酒）;葡萄酒;⽩酒;威⼠忌;鸡尾酒;⻩酒</t>
  </si>
  <si>
    <t>开胃酒;⽶酒;烧酒;汽酒;葡萄酒;酒精饮料（啤酒除外）;⻩酒;⽩酒;鸡尾酒;果酒</t>
  </si>
  <si>
    <t>桑椹树下</t>
  </si>
  <si>
    <t>张国时</t>
  </si>
  <si>
    <t>朗姆酒;⽩酒;果酒（含酒精）;葡萄酒;利⼝酒;伏特加酒;鸡尾酒;威⼠忌;以葡萄酒为主的饮料;⽶酒</t>
  </si>
  <si>
    <t>金湖县藕遇民宿店</t>
  </si>
  <si>
    <t>⽩酒;⻘梅酒;清酒;⽶酒;威⼠忌;果酒;伏特加酒;含酒精的充⽓饮料（啤酒除外）;⻩酒;葡萄酒</t>
  </si>
  <si>
    <t>裕之源</t>
  </si>
  <si>
    <t>郭翠梅</t>
  </si>
  <si>
    <t>红葡萄酒;伏特加酒;⽩酒;烧酒;⽶酒;⾷⽤酒精;含⽔果酒精饮料;果酒（含酒精）;鸡尾酒;已调味的蒸馏酒</t>
  </si>
  <si>
    <t>陕西迅丰机电科技有限公司</t>
  </si>
  <si>
    <t>鸡尾酒;⽩兰地;⻩酒;开胃酒;烧酒;果酒;⽶酒;葡萄酒;薄荷酒</t>
  </si>
  <si>
    <t>唐圣云</t>
  </si>
  <si>
    <t>果酒(含酒精);蒸馏饮料;葡萄酒;伏特加酒;⻩酒;酒精饮料(啤酒除外);⾷⽤酒精;烈酒(饮料);烧酒;威⼠忌</t>
  </si>
  <si>
    <t>峪林溪</t>
  </si>
  <si>
    <t>南京峪林溪生态农业科技有限公司</t>
  </si>
  <si>
    <t>果酒（含酒精）;烧酒;⽩兰地;⽶酒;酒精饮料（啤酒除外）;葡萄酒;烈酒（饮料）;⽩酒;⻩酒;汽酒</t>
  </si>
  <si>
    <t>钓戬台</t>
  </si>
  <si>
    <t>海口龙华阮染贸易商行</t>
  </si>
  <si>
    <t>汽酒;清酒;⻩酒;梅酒;威⼠忌;葡萄酒;果酒;⽩酒;烧酒;⽶酒</t>
  </si>
  <si>
    <t>凯尔大师</t>
  </si>
  <si>
    <t>海口凯尔先生酒业有限公司</t>
  </si>
  <si>
    <t>⽶酒;清酒;⽩酒;威⼠忌;果酒;⾼粱酒;伏特加酒;⽩兰地;鸡尾酒;葡萄酒</t>
  </si>
  <si>
    <t>MR.KARL</t>
  </si>
  <si>
    <t>伏特加酒;威⼠忌;⽶酒;清酒;果酒;葡萄酒;⾼粱酒;⽩酒;⽩兰地;鸡尾酒</t>
  </si>
  <si>
    <t>凯尔先生</t>
  </si>
  <si>
    <t>葡萄酒;⾼粱酒;威⼠忌;⽶酒;⽩酒;⽩兰地;鸡尾酒;伏特加酒;清酒;果酒</t>
  </si>
  <si>
    <t>MRKARL BEERSKY</t>
  </si>
  <si>
    <t>⽩兰地;⾼粱酒;⽩酒;伏特加酒;清酒;葡萄酒;威⼠忌;鸡尾酒;⽶酒;果酒</t>
  </si>
  <si>
    <t>双星八特</t>
  </si>
  <si>
    <t>青岛双星名人集团股份有限公司</t>
  </si>
  <si>
    <t>⽶酒;烧酒;⾕物制蒸馏酒精饮料;烈酒;葡萄酒;⽼酒（中国蒸馏烈酒）;酒精饮料（啤酒除外）;⽩酒;甜酒;果酒</t>
  </si>
  <si>
    <t>川宦</t>
  </si>
  <si>
    <t>蒋春燕</t>
  </si>
  <si>
    <t>鸡尾酒;⻩酒;烈酒;⽩兰地;⽶酒;威⼠忌;⽩酒;烧酒;⻘稞酒;葡萄酒</t>
  </si>
  <si>
    <t>浓台愿</t>
  </si>
  <si>
    <t>贵州酱园酒业有限公司</t>
  </si>
  <si>
    <t>葡萄酒;薄荷酒;⽶酒;烧酒;利⼝酒;烧酒（烈酒）;烈酒;⽩酒;⻩酒;果酒（含酒精）</t>
  </si>
  <si>
    <t>霸仙翁</t>
  </si>
  <si>
    <t>汤梦霞</t>
  </si>
  <si>
    <t>果酒（含酒精）;威⼠忌;清酒（⽇本⽶酒）;⽩酒;⻩酒;鸡尾酒;开胃酒;烈酒;葡萄酒;酒精饮料（啤酒除外）</t>
  </si>
  <si>
    <t>王胤初</t>
  </si>
  <si>
    <t>贵州省仁怀市黔坤亿酒业有限公司</t>
  </si>
  <si>
    <t>烧酒;蜂蜜酒;鸡尾酒;⽶酒;⻩酒;酒精饮料（啤酒除外）;⽩酒;葡萄酒;⻘稞酒;⾕物制蒸馏酒精饮料</t>
  </si>
  <si>
    <t>皇金苐</t>
  </si>
  <si>
    <t>贵州省仁怀市矛康酒业有限公司</t>
  </si>
  <si>
    <t>烈酒;鸡尾酒;葡萄酒;⽶酒;⽩兰地;威⼠忌;清酒;果酒;⽩酒;⻩酒</t>
  </si>
  <si>
    <t>庸国桃花源</t>
  </si>
  <si>
    <t>湖北省桃花源天然饮用水有限公司</t>
  </si>
  <si>
    <t>烧酒;果酒;⽩酒;含酒精的饮料（啤酒除外）;烈酒;蜂蜜酒;⻩酒;⽶酒;葡萄酒;含⽔果酒精饮料</t>
  </si>
  <si>
    <t>微山湖荷花香</t>
  </si>
  <si>
    <t>山东微山湖酒业有限公司</t>
  </si>
  <si>
    <t>⻩酒;⾼粱酒;葡萄酒;烧酒;已调味的蒸馏酒;⽩酒;果酒（含酒精）;⽶酒;预先混合的酒精饮料（以啤酒为主的除外）;鸡尾酒</t>
  </si>
  <si>
    <t>攀顶</t>
  </si>
  <si>
    <t>⽶酒;烧酒;果酒（含酒精）;⽩兰地;葡萄酒;⾕物制蒸馏酒精饮料;⽩酒;⻩酒;含酒精⽔果饮料;威⼠忌</t>
  </si>
  <si>
    <t>首阅</t>
  </si>
  <si>
    <t>山东厚德上医生命科学有限公司</t>
  </si>
  <si>
    <t>利⼝酒;果酒;鸡尾酒;威⼠忌;含酒精的饮料（啤酒除外）;葡萄酒;开胃酒;⽩酒;烧酒;⽶酒</t>
  </si>
  <si>
    <t>与众</t>
  </si>
  <si>
    <t>郭趁趁</t>
  </si>
  <si>
    <t>果酒（含酒精）;鸡尾酒;烈酒（饮料）;⽩酒;⻩酒;烧酒;开胃酒;葡萄酒;威⼠忌;⽶酒</t>
  </si>
  <si>
    <t>仁生怀道</t>
  </si>
  <si>
    <t>含酒精⽔果饮料;烧酒;果酒（含酒精）;⽩兰地;⽩酒;⻩酒;葡萄酒;威⼠忌;⽶酒;⾕物制蒸馏酒精饮料</t>
  </si>
  <si>
    <t>土传</t>
  </si>
  <si>
    <t>烈酒（饮料）;⻩酒;果酒（含酒精）;⽶酒;⽩酒;鸡尾酒;开胃酒;葡萄酒;威⼠忌;烧酒</t>
  </si>
  <si>
    <t>微山湖古镇</t>
  </si>
  <si>
    <t>果酒（含酒精）;鸡尾酒;烧酒;已调味的蒸馏酒;预先混合的酒精饮料（以啤酒为主的除外）;⽩酒;⾼粱酒;葡萄酒;⽶酒;⻩酒</t>
  </si>
  <si>
    <t>赖文凤</t>
  </si>
  <si>
    <t>鸡尾酒;葡萄酒;烈酒（饮料）;⽶酒;开胃酒;威⼠忌;⻩酒;烧酒;果酒（含酒精）;⽩酒</t>
  </si>
  <si>
    <t>微山湖好味道</t>
  </si>
  <si>
    <t>鸡尾酒;葡萄酒;⽩酒;已调味的蒸馏酒;⾼粱酒;果酒（含酒精）;预先混合的酒精饮料（以啤酒为主的除外）;烧酒;⻩酒;⽶酒</t>
  </si>
  <si>
    <t>微山湖故事</t>
  </si>
  <si>
    <t>果酒（含酒精）;鸡尾酒;⽩酒;⾼粱酒;⽶酒;烧酒;⻩酒;已调味的蒸馏酒;葡萄酒;预先混合的酒精饮料（以啤酒为主的除外）</t>
  </si>
  <si>
    <t>瑞和生财</t>
  </si>
  <si>
    <t>新乡风丽舍酒业有限公司</t>
  </si>
  <si>
    <t>酒精饮料原汁;⽶酒;葡萄酒;⽩酒;预调甜酒;⾼粱酒</t>
  </si>
  <si>
    <t>程杰</t>
  </si>
  <si>
    <t>⽶酒;开胃酒;葡萄酒;⾷⽤酒精;酒精饮料原汁;鸡尾酒;⻩酒;⽩酒;烧酒;含⽔果酒精饮料</t>
  </si>
  <si>
    <t>陕南小春哥</t>
  </si>
  <si>
    <t>陈利春612325********2915</t>
  </si>
  <si>
    <t>烈酒（饮料）;酒精饮料浓缩汁;⾕物制蒸馏酒精饮料;烧酒;⽩酒;酒精饮料原汁;樱桃酒;酒精饮料（啤酒除外）;含⽔果酒精饮料;果酒（含酒精）</t>
  </si>
  <si>
    <t>梵高星月夜 THE STARRY NIGHT</t>
  </si>
  <si>
    <t>省利哆（厦门）进出口贸易有限公司</t>
  </si>
  <si>
    <t>葡萄酒;⽩兰地;威⼠忌;⽶酒;烈酒（饮料）;果酒（含酒精）;蒸馏饮料;餐后酒（利⼝酒和烈酒）;酒精饮料（啤酒除外）;⽩酒</t>
  </si>
  <si>
    <t>天霖润物</t>
  </si>
  <si>
    <t>含酒精⽔果饮料;葡萄酒;威⼠忌;⽶酒;果酒（含酒精）;⾕物制蒸馏酒精饮料;⽩酒;⽩兰地;烧酒;⻩酒</t>
  </si>
  <si>
    <t>淮竹</t>
  </si>
  <si>
    <t>刘耀天44092********7543X</t>
  </si>
  <si>
    <t>⽩⼲酒（中国⽩酒）;杨梅酒;果酒;酒精饮料原汁;⽶酒;烈酒浓缩汁;⽩酒;⾼粱酒;梨酒;酒精饮料浓缩汁</t>
  </si>
  <si>
    <t>资秘</t>
  </si>
  <si>
    <t>赤峰惠牛傻子旺食品有限公司</t>
  </si>
  <si>
    <t>鸡尾酒;蒸馏饮料;酒精饮料（啤酒除外）;⻩酒;⽩酒;烧酒;⽩兰地;果酒;⻘稞酒;⽶酒</t>
  </si>
  <si>
    <t>台小绝</t>
  </si>
  <si>
    <t>吴波</t>
  </si>
  <si>
    <t>果酒（含酒精）;鸡尾酒;⽶酒;烧酒;威⼠忌;葡萄酒;烈酒（饮料）;⻩酒;开胃酒;⽩酒</t>
  </si>
  <si>
    <t>展家铺子</t>
  </si>
  <si>
    <t>迅扬科技（天津）有限公司</t>
  </si>
  <si>
    <t>蒸馏饮料;⻩酒;⽩酒;薄荷酒;含⽔果酒精饮料;威⼠忌;果酒（含酒精）;葡萄酒;酒精饮料（啤酒除外）;开胃酒</t>
  </si>
  <si>
    <t>六谷六曲</t>
  </si>
  <si>
    <t>六谷六曲生物科技云南有限公司</t>
  </si>
  <si>
    <t>⽩酒;甜酒;烧酒;甜果酒;果酒（含酒精）;⽶酒;葡萄酒;果酒;烈酒;⽇式甜⽶酒</t>
  </si>
  <si>
    <t>世纪润源</t>
  </si>
  <si>
    <t>四川世纪润源商贸有限公司</t>
  </si>
  <si>
    <t>葡萄酒;烈酒;伏特加酒;酒精饮料（啤酒除外）;威⼠忌;⽩酒;鸡尾酒;⽩兰地;果酒（含酒精）;⽶酒</t>
  </si>
  <si>
    <t>哎哺仙萃</t>
  </si>
  <si>
    <t>惟德动天楚雄科技有限公司</t>
  </si>
  <si>
    <t>杜松⼦酒;薄荷酒;果酒（含酒精）;葡萄酒;蒸馏饮料;起泡⽩葡萄酒;苦味酒;⽩兰地;茴⾹酒（利⼝酒）;杨梅酒</t>
  </si>
  <si>
    <t>果酒（含酒精）;⽩兰地;⽶酒;葡萄酒;威⼠忌;以葡萄酒为主的开胃酒;葡萄汽酒;加烈葡萄酒;以葡萄酒为主的饮料;⽩酒</t>
  </si>
  <si>
    <t>田坎青龙窖</t>
  </si>
  <si>
    <t>高庆华</t>
  </si>
  <si>
    <t>利⼝酒;烧酒;烈酒;清酒（⽇本⽶酒）;蒸煮提取物（利⼝酒和烈酒）;⽩酒;葡萄酒;除啤酒外的酒精饮料;茴⾹酒（利⼝酒）;⽶酒</t>
  </si>
  <si>
    <t>旺御</t>
  </si>
  <si>
    <t>酒精饮料（啤酒除外）;⽶酒;果酒（含酒精）;汽酒;⻩酒;葡萄酒;烈酒（饮料）;酒精饮料原汁;⽩酒;含⽔果酒精饮料</t>
  </si>
  <si>
    <t>花花玩</t>
  </si>
  <si>
    <t>陈晓程</t>
  </si>
  <si>
    <t>蜂蜜酒;⽩兰地;含⽔果酒精饮料;⽶酒;威⼠忌;薄荷酒;果酒（含酒精）;苹果酒;伏特加酒;⽩酒</t>
  </si>
  <si>
    <t>楼台东方</t>
  </si>
  <si>
    <t>深圳市宾临门科技有限公司</t>
  </si>
  <si>
    <t>露酒;清酒（⽇本⽶酒）;⻘梅酒;⾼粱酒;⽩酒;酒精饮料（啤酒除外）;⽶酒;果酒（含酒精）;⾕物制蒸馏酒精饮料;威⼠忌</t>
  </si>
  <si>
    <t>AWZH</t>
  </si>
  <si>
    <t>青岛世能工贸有限公司</t>
  </si>
  <si>
    <t>果酒（含酒精）;葡萄酒;烈酒（饮料）;清酒（⽇本⽶酒）;⽩酒;烧酒;伏特加酒;⻩酒;开胃酒;⽶酒</t>
  </si>
  <si>
    <t>金上田画</t>
  </si>
  <si>
    <t>果酒（含酒精）;开胃酒;⻩酒;⽩酒;烧酒;清酒（⽇本⽶酒）;⽶酒;葡萄酒;烈酒（饮料）;伏特加酒</t>
  </si>
  <si>
    <t>斗英雄</t>
  </si>
  <si>
    <t>张秀梅</t>
  </si>
  <si>
    <t>果酒;烈酒（饮料）;清酒（⽇本⽶酒）;威⼠忌;酒精饮料（啤酒除外）;葡萄酒;⽩酒;开胃酒;鸡尾酒;⻩酒</t>
  </si>
  <si>
    <t>周德付</t>
  </si>
  <si>
    <t>葡萄酒;开胃酒;⻩酒;⽩兰地;苹果酒;⽶酒;果酒（含酒精）;伏特加酒;⽩酒;烧酒</t>
  </si>
  <si>
    <t>大回将</t>
  </si>
  <si>
    <t>湖南云犇电子科技有限公司</t>
  </si>
  <si>
    <t>柑⾹酒;烧酒;⽼酒（中国蒸馏烈酒）;茴⾹酒（利⼝酒）;⽩酒;由⾕物蒸馏的⽩酒;烈酒;开胃酒;清酒;苦荞酒</t>
  </si>
  <si>
    <t>大御品生物科技（广东）有限公司</t>
  </si>
  <si>
    <t>鸡尾酒;蜂蜜酒;葡萄酒;烧酒;果酒;威⼠忌;⽶酒;⽩兰地;⽩酒;⻩酒</t>
  </si>
  <si>
    <t>纳里好物</t>
  </si>
  <si>
    <t>⻘稞酒;⻩酒;蒸馏饮料;薄荷酒;⽩兰地;⽶酒;利⼝酒;苦味酒;烧酒;⽩酒</t>
  </si>
  <si>
    <t>魂传</t>
  </si>
  <si>
    <t>邵石磙</t>
  </si>
  <si>
    <t>鸡尾酒;开胃酒;清酒（⽇本⽶酒）;果酒;⽩酒;烧酒;利⼝酒;葡萄酒;朗姆酒;酒精饮料（啤酒除外）</t>
  </si>
  <si>
    <t>鲁招</t>
  </si>
  <si>
    <t>李中海</t>
  </si>
  <si>
    <t>⻩酒;鸡尾酒;含⽔果酒精饮料;⻘稞酒;⽩酒;⾷⽤酒精;酒精饮料浓缩汁;⽶酒;葡萄酒;酒精饮料（啤酒除外）</t>
  </si>
  <si>
    <t>傣莎旺</t>
  </si>
  <si>
    <t>西双版纳傣莎旺文化传播有限公司</t>
  </si>
  <si>
    <t>烈酒（饮料）;⽩酒;烧酒;威⼠忌;伏特加酒;⽩兰地;果酒（含酒精）;葡萄酒;⻩酒;⽶酒</t>
  </si>
  <si>
    <t>喻氏老药工</t>
  </si>
  <si>
    <t>深圳茶悦飞花文化发展有限公司</t>
  </si>
  <si>
    <t>含酒精的饮料（啤酒除外）;烧酒;⽩酒;甜酒;葡萄酒;甜果酒;⽼酒（中国蒸馏烈酒）;果酒;烈酒;⽶酒</t>
  </si>
  <si>
    <t>纷毛</t>
  </si>
  <si>
    <t>张永琼</t>
  </si>
  <si>
    <t>⽩兰地;⻘稞酒;⻩酒;葡萄酒;⽩酒;威⼠忌;烧酒;鸡尾酒;烈酒;⽶酒</t>
  </si>
  <si>
    <t>藏徽</t>
  </si>
  <si>
    <t>鸡尾酒;葡萄酒;酒精饮料原汁;烈酒;⽩酒;⽶酒;⻩酒;⾼粱酒;⾷⽤酒精;果酒（含酒精）</t>
  </si>
  <si>
    <t>汤浦</t>
  </si>
  <si>
    <t>陈永强</t>
  </si>
  <si>
    <t>含酒精的饮料（啤酒除外）;⽶酒;⻩酒;鸡尾酒;果酒;甜酒;⽩酒;烧酒;⾼粱酒;利⼝酒</t>
  </si>
  <si>
    <t>光荫</t>
  </si>
  <si>
    <t>山东岩博酒业有限公司</t>
  </si>
  <si>
    <t>⽩酒;⽩⼲酒（中国⽩酒）;蜂蜜酒;开胃酒;含⽔果酒精饮料;⽶酒;⻩酒;烧酒;⾼粱酒;葡萄酒</t>
  </si>
  <si>
    <t>黔城佰亿</t>
  </si>
  <si>
    <t>贵州黔诚佰亿酒业有限公司</t>
  </si>
  <si>
    <t>鸡尾酒;伏特加酒;朗姆酒;葡萄酒;烧酒;⽩酒;威⼠忌;⻩酒;果酒（含酒精）;⽩兰地</t>
  </si>
  <si>
    <t>品绍 绍酒行天下</t>
  </si>
  <si>
    <t>梅酒;葡萄酒;清酒;⽼酒（中国蒸馏烈酒）;汽酒;⽩酒;果酒;⻩酒;烧酒;⽶酒</t>
  </si>
  <si>
    <t>甲七号</t>
  </si>
  <si>
    <t>天津元易技术有限公司</t>
  </si>
  <si>
    <t>葡萄酒;烧酒;⽩酒;⽶酒;果酒（含酒精）;⾷⽤酒精;预先混合的酒精饮料（以啤酒为主的除外）;⻩酒;清酒（⽇本⽶酒）;尼⽡（以⽢蔗为主的酒精饮料）</t>
  </si>
  <si>
    <t>BANJI</t>
  </si>
  <si>
    <t>广州半迹酒业有限公司</t>
  </si>
  <si>
    <t>烈酒（饮料）;⾷⽤酒精;果酒（含酒精）;烧酒;酒精饮料（啤酒除外）;预先混合的酒精饮料（以啤酒为主的除外）;⽩酒;蒸馏饮料;酒精饮料原汁;葡萄酒</t>
  </si>
  <si>
    <t>蒜世宝</t>
  </si>
  <si>
    <t>山东赢顺农产品经销有限公司</t>
  </si>
  <si>
    <t>威⼠忌;酒精饮料（啤酒除外）;葡萄酒;⽩兰地;利⼝酒;果酒（含酒精）;鸡尾酒;朗姆酒;伏特加酒;⽩酒</t>
  </si>
  <si>
    <t>GAO LU</t>
  </si>
  <si>
    <t>⽩兰地;⽶酒;果酒;⽼酒（中国蒸馏烈酒）;清酒;烈酒;⽩酒;葡萄酒;⻩酒;威⼠忌</t>
  </si>
  <si>
    <t>蔻斯塔小骑士</t>
  </si>
  <si>
    <t>浙江美生娜特进出口有限公司</t>
  </si>
  <si>
    <t>烧酒;⻩酒;开胃酒;⽩酒;⾷⽤酒精;⽩兰地;威⼠忌;烈酒（饮料）;酒精饮料（啤酒除外）;果酒</t>
  </si>
  <si>
    <t>台之酿八八</t>
  </si>
  <si>
    <t>厦门皖古香泉酿酒有限公司</t>
  </si>
  <si>
    <t>⽩酒;⾼粱酒;⽶酒;⻩酒;露酒;葡萄酒;酒精饮料（啤酒除外）;烧酒;果酒;烈酒（饮料）</t>
  </si>
  <si>
    <t>希椿</t>
  </si>
  <si>
    <t>瞿春春</t>
  </si>
  <si>
    <t>⽩酒;⻩酒;果酒（含酒精）;⽶酒;烧酒;利⼝酒;葡萄酒;酒精饮料（啤酒除外）;清酒;含酒精的⽔果鸡尾酒饮料</t>
  </si>
  <si>
    <t>笨面面</t>
  </si>
  <si>
    <t>清酒（⽇本⽶酒）;⽩酒;烈酒（饮料）;⽶酒;烧酒;葡萄酒;开胃酒;酒精饮料（啤酒除外）;⾕物制蒸馏酒精饮料;果酒（含酒精）</t>
  </si>
  <si>
    <t>民惠农商</t>
  </si>
  <si>
    <t>阿拉善盟民惠农业商贸有限公司</t>
  </si>
  <si>
    <t>⽩酒;⻩酒;⾷⽤酒精;⻘稞酒;烧酒;葡萄酒;蒸馏饮料;鸡尾酒;威⼠忌;清酒（⽇本⽶酒）</t>
  </si>
  <si>
    <t>易洋</t>
  </si>
  <si>
    <t>佛山市和麦丰贸易有限公司</t>
  </si>
  <si>
    <t>汽酒;果酒;蒸馏饮料;鸡尾酒;含⽔果酒精饮料;⽩酒;烈酒;酒精饮料（啤酒除外）;预先混合的酒精饮料（以啤酒为主的除外）</t>
  </si>
  <si>
    <t>融城印象</t>
  </si>
  <si>
    <t>卢云路</t>
  </si>
  <si>
    <t>果酒（含酒精）;烈酒（饮料）;烧酒;⽩酒;伏特加酒;⽩兰地;葡萄酒;⽶酒;⻩酒;威⼠忌</t>
  </si>
  <si>
    <t>威之宝</t>
  </si>
  <si>
    <t>王铁军</t>
  </si>
  <si>
    <t>苹果酒;⽩酒;甜果酒;烧酒（烈酒）;⽼酒（中国蒸馏烈酒）;草莓酒;果酒（含酒精）;葡萄酒;梨酒;樱桃酒</t>
  </si>
  <si>
    <t>同愿行</t>
  </si>
  <si>
    <t>李伟青</t>
  </si>
  <si>
    <t>⻩酒;⽶酒;酒精饮料（啤酒除外）;果酒（含酒精）;鸡尾酒;烧酒;清酒;蒸煮提取物（利⼝酒和烈酒）;⽩酒;葡萄酒</t>
  </si>
  <si>
    <t>王新庄庄红</t>
  </si>
  <si>
    <t>安徽英伏特科技有限公司</t>
  </si>
  <si>
    <t>⾕物制蒸馏酒精饮料;⽩酒;烧酒;清酒（⽇本⽶酒）;⻩酒;⽩⼲酒（中国⽩酒）;⽼酒（中国蒸馏烈酒）;⾼粱酒;⽶酒;由⾕物蒸馏的⽩酒</t>
  </si>
  <si>
    <t>弘农郡明月分享 善</t>
  </si>
  <si>
    <t>贵州省仁怀市明月酒业销售有限公司</t>
  </si>
  <si>
    <t>⽼酒（中国蒸馏烈酒）;葡萄酒;烧酒;烈性⼲酒;⽶酒;⽩酒;⽩⼲酒（中国⽩酒）;烈酒;利⼝酒;烧酒（烈酒）</t>
  </si>
  <si>
    <t>弘农郡明月分享 真</t>
  </si>
  <si>
    <t>⽼酒（中国蒸馏烈酒）;烈酒;⽶酒;烧酒;烈性⼲酒;烧酒（烈酒）;葡萄酒;利⼝酒;⽩⼲酒（中国⽩酒）;⽩酒</t>
  </si>
  <si>
    <t>四川盛源道科技有限公司</t>
  </si>
  <si>
    <t>烈酒;⽩酒;⽶酒;⾼粱酒;葡萄酒;果酒;蜂蜜酒;甜酒;果酒（含酒精）;烧酒</t>
  </si>
  <si>
    <t>弘农郡明月分享 美</t>
  </si>
  <si>
    <t>⽶酒;⽩酒;烧酒;葡萄酒;烈酒;⽩⼲酒（中国⽩酒）;烈性⼲酒;烧酒（烈酒）;利⼝酒;⽼酒（中国蒸馏烈酒）</t>
  </si>
  <si>
    <t>蓝叒叒</t>
  </si>
  <si>
    <t>南通全应供应链管理有限公司</t>
  </si>
  <si>
    <t>红葡萄酒;桃红葡萄酒;⾼粱酒;烧酒（烈酒）;⽩⼲酒（中国⽩酒）;烈酒;蒸煮提取物（利⼝酒和烈酒）;葡萄酒;酒精饮料（啤酒除外）;起泡⽩葡萄酒;⽩酒;⽩兰地;烈酒（饮料）;伏特加酒;⻩酒;威⼠忌;果酒（含酒精）;苹果酒;以葡萄酒为主的饮料;⽶酒;起泡红葡萄酒;调制好的葡萄酒鸡尾酒</t>
  </si>
  <si>
    <t>满景楼</t>
  </si>
  <si>
    <t>广州市白云区龙归满景楼酒家</t>
  </si>
  <si>
    <t>葡萄酒;⽶酒;加烈葡萄酒;杨梅酒;蝮蛇酒;蜂蜜酒;由⾕物蒸馏的⽩酒;茴⾹酒;⻘梅酒;⽩酒</t>
  </si>
  <si>
    <t>COLEVKIE</t>
  </si>
  <si>
    <t>凯文克莱国际钟表有限公司</t>
  </si>
  <si>
    <t>朗姆酒;果酒（含酒精）;鸡尾酒;葡萄酒;伏特加酒;威⼠忌;酒精饮料（啤酒除外）;清酒（⽇本⽶酒）;⽩酒;⻩酒</t>
  </si>
  <si>
    <t>明御宋明绿液明</t>
  </si>
  <si>
    <t>合肥锦久辰商贸有限公司</t>
  </si>
  <si>
    <t>⽩兰地;酒精饮料浓缩汁;伏特加酒;⽩酒;果酒（含酒精）;⽶酒;鸡尾酒;威⼠忌;清酒（⽇本⽶酒）;蒸煮提取物（利⼝酒和烈酒）</t>
  </si>
  <si>
    <t>阮灵池</t>
  </si>
  <si>
    <t>利⼝酒;⽩兰地;⽶酒;开胃酒;葡萄酒;果酒;威⼠忌;酒精饮料（啤酒除外）;⽩酒;清酒（⽇本⽶酒）</t>
  </si>
  <si>
    <t>杨志伟</t>
  </si>
  <si>
    <t>⽩酒;威⼠忌;果酒（含酒精）;⽶酒;烧酒（烈酒）;⻘稞酒;蒸馏饮料;鸡尾酒;⽩兰地;葡萄酒</t>
  </si>
  <si>
    <t>吉昌酒坊传奇</t>
  </si>
  <si>
    <t>天幕(香港)国际酒业有限公司</t>
  </si>
  <si>
    <t>⽶酒;清酒（⽇本⽶酒）;⽩兰地;烈酒（饮料）;葡萄酒;威⼠忌;鸡尾酒;⽩酒;含⽔果酒精饮料;酒精饮料（啤酒除外）</t>
  </si>
  <si>
    <t>跆拳道</t>
  </si>
  <si>
    <t>陈鹏</t>
  </si>
  <si>
    <t>葡萄酒;烈酒;⽩酒;⾕物制蒸馏酒精饮料;清酒（⽇本⽶酒）;果酒（含酒精）;⻩酒;⽶酒;含酒精的饮料（啤酒除外）;蜂蜜酒</t>
  </si>
  <si>
    <t>藏杰</t>
  </si>
  <si>
    <t>贵州杰酒酒业有限公司</t>
  </si>
  <si>
    <t>⻩酒;⽩酒;烈酒;⽼酒（中国蒸馏烈酒）;果酒;烧酒;⽩⼲酒（中国⽩酒）;露酒;⾼粱酒;葡萄酒</t>
  </si>
  <si>
    <t>吉昌酒坊传承</t>
  </si>
  <si>
    <t>烈酒（饮料）;酒精饮料（啤酒除外）;清酒（⽇本⽶酒）;葡萄酒;⽶酒;威⼠忌;⽩兰地;⽩酒;含⽔果酒精饮料;鸡尾酒</t>
  </si>
  <si>
    <t>达邦柒叁</t>
  </si>
  <si>
    <t>四川达邦生物科技有限公司</t>
  </si>
  <si>
    <t>果酒（含酒精）;葡萄酒;⽶酒;鸡尾酒;烧酒;⽼酒（中国蒸馏烈酒）;含酒精的⽓泡⽔;⽩酒;由⾕物蒸馏的⽩酒;以葡萄酒为主的饮料</t>
  </si>
  <si>
    <t>礼宾邦</t>
  </si>
  <si>
    <t>李章</t>
  </si>
  <si>
    <t>烈酒（饮料）;汽酒;⽩酒;⽶酒;果酒;以葡萄酒为主的饮料;威⼠忌;⻩酒;⾼粱酒;酒精饮料（啤酒除外）</t>
  </si>
  <si>
    <t>鲜水金谷 XIANSHUI GOLDEN VALLEY</t>
  </si>
  <si>
    <t>甘孜州鲜水金谷品牌管理有限公司</t>
  </si>
  <si>
    <t>烈酒;果酒（含酒精）;⽩酒;酒精饮料（啤酒除外）;⻘稞酒;含酒精⽔果饮料;⽶酒;⾷⽤酒精;烧酒;葡萄酒</t>
  </si>
  <si>
    <t>杨梅酒;⻘梅酒;葡萄酒;蝮蛇酒;由⾕物蒸馏的⽩酒;茴⾹酒;蜂蜜酒;⽶酒;⽩酒;加烈葡萄酒</t>
  </si>
  <si>
    <t>膏源生命健康科技（广州）有限公司</t>
  </si>
  <si>
    <t>果酒（含酒精）;含⽔果酒精饮料;酒精饮料浓缩汁;⽩酒;蜂蜜酒;酒精饮料原汁;⻩酒;酒精饮料（啤酒除外）;⽶酒;葡萄酒</t>
  </si>
  <si>
    <t>清之瓷</t>
  </si>
  <si>
    <t>⾼粱酒;酒精饮料（啤酒除外）;⽩酒;果酒;⻩酒;⽶酒;烈酒（饮料）;汽酒;以葡萄酒为主的饮料;威⼠忌</t>
  </si>
  <si>
    <t>吉昌酒坊传人</t>
  </si>
  <si>
    <t>鸡尾酒;烈酒（饮料）;含⽔果酒精饮料;清酒（⽇本⽶酒）;⽶酒;葡萄酒;⽩兰地;⽩酒;酒精饮料（啤酒除外）;威⼠忌</t>
  </si>
  <si>
    <t>胶东牧马城</t>
  </si>
  <si>
    <t>青岛于家酒业有限公司</t>
  </si>
  <si>
    <t>梨酒;苹果酒;蒸煮提取物（利⼝酒和烈酒）;清酒（⽇本⽶酒）;烧酒;⽶酒;蜂蜜酒;苦味酒;果酒（含酒精）;⽩酒</t>
  </si>
  <si>
    <t>澳大利亚葛兰吉奔富葡萄酒集团有限公司</t>
  </si>
  <si>
    <t>酒精饮料（啤酒除外）;果酒（含酒精）;⽩酒;威⼠忌;⽩兰地;含⽔果酒精饮料;餐后酒（利⼝酒和烈酒）;葡萄酒;开胃酒;鸡尾酒</t>
  </si>
  <si>
    <t>运河城福自天来</t>
  </si>
  <si>
    <t>山东水城工匠建筑工程有限公司</t>
  </si>
  <si>
    <t>烧酒;葡萄酒;⾼粱酒;⽩⼲酒（中国⽩酒）;烈酒（饮料）;甜酒;⻩酒;⽼酒（中国蒸馏烈酒）;⽩酒;⽶酒</t>
  </si>
  <si>
    <t>四向神兽</t>
  </si>
  <si>
    <t>山东邦邦和小言科技发展有限公司</t>
  </si>
  <si>
    <t>酒精饮料原汁;汽酒;威⼠忌;开胃酒;⽩酒;蒸馏饮料;果酒;烧酒;葡萄酒;⾷⽤酒精</t>
  </si>
  <si>
    <t>周道道周</t>
  </si>
  <si>
    <t>宁波桢燊科技有限公司</t>
  </si>
  <si>
    <t>果酒;⽩兰地;鸡尾酒;⽩酒;威⼠忌;⽶酒;葡萄酒;酒精饮料浓缩汁;酒精饮料（啤酒除外）;含⽔果酒精饮料</t>
  </si>
  <si>
    <t>H.JSOK &amp; FILS</t>
  </si>
  <si>
    <t>青岛盛久源酒庄有限公司</t>
  </si>
  <si>
    <t>利⼝酒;樱桃酒;烧酒（烈酒）;⽩兰地;果酒;葡萄酒;威⼠忌;⽩酒;加烈葡萄酒;烧酒</t>
  </si>
  <si>
    <t>妃岩</t>
  </si>
  <si>
    <t>连云港路人甲文化传媒有限公司</t>
  </si>
  <si>
    <t>苹果酒;酒精饮料原汁;⽶酒;⾼粱酒;果酒;樱桃酒;⾷⽤酒精;烧酒;⽩酒;葡萄酒</t>
  </si>
  <si>
    <t>董厂长</t>
  </si>
  <si>
    <t>餐后酒（利⼝酒和烈酒）;葡萄酒;⽶酒;烧酒;清酒（⽇本⽶酒）;酒精饮料（啤酒除外）;⽩酒;果酒（含酒精）;梨酒;开胃酒</t>
  </si>
  <si>
    <t>安召</t>
  </si>
  <si>
    <t>景东张应琼白酒加工小作坊</t>
  </si>
  <si>
    <t>⾼粱酒;苦荞酒;⽩酒</t>
  </si>
  <si>
    <t>时光机</t>
  </si>
  <si>
    <t>宁夏酒域酩匠葡萄酒有限公司</t>
  </si>
  <si>
    <t>亚⼒酒;葡萄酒;利⼝酒;威⼠忌;伏特加酒;鸡尾酒;⽩兰地;果酒（含酒精）;烈酒（饮料）;⻩酒</t>
  </si>
  <si>
    <t>潮华馆潮汕菜</t>
  </si>
  <si>
    <t>詹岳彬</t>
  </si>
  <si>
    <t>果酒;葡萄酒;含酒精⽔果饮料;开胃酒;佐餐酒;烈酒;⻩酒;⽩酒;甜酒;⽶酒</t>
  </si>
  <si>
    <t>BIAO LUO SUO</t>
  </si>
  <si>
    <t>葡萄酒;⽶酒;果酒;⾕物制蒸馏酒精饮料;酒精饮料原汁;酒精饮料（啤酒除外）;预先混合的酒精饮料（以啤酒为主的除外）;⽩酒;⻘稞酒;蒸馏饮料</t>
  </si>
  <si>
    <t>顺九坛</t>
  </si>
  <si>
    <t>冬日维瑞科技有限公司</t>
  </si>
  <si>
    <t>⽶酒;⻩酒;⽩兰地;果酒（含酒精）;含⽔果酒精饮料;酒精饮料（啤酒除外）;⽩酒;鸡尾酒;⾷⽤酒精;葡萄酒</t>
  </si>
  <si>
    <t>烧酒;清酒;汽酒;葡萄酒;含⽜奶的鸡尾酒;果酒（含酒精）;苦味酒;酒精饮料（啤酒除外）;蒸煮提取物（利⼝酒和烈酒）;含⽔果酒精饮料</t>
  </si>
  <si>
    <t>四向神</t>
  </si>
  <si>
    <t>威⼠忌;葡萄酒;开胃酒;蒸馏饮料;⾷⽤酒精;烧酒;酒精饮料原汁;⽩酒;汽酒;果酒</t>
  </si>
  <si>
    <t>行粮道</t>
  </si>
  <si>
    <t>绍兴至久食品贸易有限公司</t>
  </si>
  <si>
    <t>蒸煮提取物（利⼝酒和烈酒）;⻘稞酒;鸡尾酒;⽶酒;含酒精的饮料（啤酒除外）;葡萄酒;⽩酒;⻩酒;烧酒;烈酒</t>
  </si>
  <si>
    <t>望月狼</t>
  </si>
  <si>
    <t>望月狼茶业有限公司</t>
  </si>
  <si>
    <t>果酒;⽩兰地;威⼠忌;⽶酒;⽩酒;葡萄酒;清酒;烧酒;⻩酒;伏特加酒</t>
  </si>
  <si>
    <t>云文丰礼</t>
  </si>
  <si>
    <t>巢云霞</t>
  </si>
  <si>
    <t>蜂蜜酒;樱桃酒;含⽔果酒精饮料;汽酒;⽩酒;苹果酒;葡萄酒;果酒（含酒精）;鸡尾酒;薄荷酒</t>
  </si>
  <si>
    <t>山西东来酒业有限公司</t>
  </si>
  <si>
    <t>⽶酒;由⾕物蒸馏的⽩酒;薄荷酒;⾕物制蒸馏酒精饮料;⽼酒（中国蒸馏烈酒）;以葡萄酒为主的饮料;⻩酒;⽩酒;⽩⼲酒（中国⽩酒）;果酒</t>
  </si>
  <si>
    <t>森海多宝</t>
  </si>
  <si>
    <t>磐石市华晟源酒业有限公司</t>
  </si>
  <si>
    <t>葡萄酒;餐后酒（利⼝酒和烈酒）;含酒精的饮料（啤酒除外）;⾼粱酒;烧酒;⽩酒;开胃酒;汽酒;果酒;⽶酒</t>
  </si>
  <si>
    <t>钱酒祭钱王</t>
  </si>
  <si>
    <t>⻘稞酒;⻩酒;果酒;⽶酒;⾼粱酒;梅酒;葡萄酒;烧酒;⽩酒;含酒精的饮料（啤酒除外）</t>
  </si>
  <si>
    <t>千樽殿</t>
  </si>
  <si>
    <t>威⼠忌;含⽔果酒精饮料;⽶酒;果酒（含酒精）;伏特加酒;⻩酒;葡萄酒;⽩酒;酒精饮料（啤酒除外）;清酒（⽇本⽶酒）</t>
  </si>
  <si>
    <t>赖炳达</t>
  </si>
  <si>
    <t>四川酌悦酒业有限公司</t>
  </si>
  <si>
    <t>烧酒;鸡尾酒;⻩酒;烈酒浓缩汁;除啤酒外的酒精饮料;开胃酒;⽶酒;⽩酒;果酒;清酒</t>
  </si>
  <si>
    <t>帝粮公</t>
  </si>
  <si>
    <t>张非凡</t>
  </si>
  <si>
    <t>葡萄酒;烈酒（饮料）;⽩兰地;⽩酒;⽶酒;蜂蜜酒;鸡尾酒;烧酒;果酒（含酒精）;甜酒</t>
  </si>
  <si>
    <t>迁陵小窖</t>
  </si>
  <si>
    <t>湘西自治州金泉信息咨询有限公司</t>
  </si>
  <si>
    <t>⽩酒;⾷⽤酒精;⽶酒;烧酒;⾕物制蒸馏酒精饮料;果酒（含酒精）;预先混合的酒精饮料（以啤酒为主的除外）;⻩酒;酒精饮料（啤酒除外）;由⾕物蒸馏的⽩酒</t>
  </si>
  <si>
    <t>东畲寨</t>
  </si>
  <si>
    <t>曾庆伟</t>
  </si>
  <si>
    <t>清酒（⽇本⽶酒）;预先混合的酒精饮料（以啤酒为主的除外）;烧酒;⽶酒;⻩酒;果酒（含酒精）;蒸馏饮料;含⽔果酒精饮料;酒精饮料原汁;⾕物制蒸馏酒精饮料</t>
  </si>
  <si>
    <t>湘喜临门 XIANGXILM</t>
  </si>
  <si>
    <t>吴擎志</t>
  </si>
  <si>
    <t>薄荷酒;果酒（含酒精）;葡萄酒;鸡尾酒;以葡萄酒为主的饮料;⻘稞酒;⻩酒;苹果酒;⽩酒;⽩兰地</t>
  </si>
  <si>
    <t>福在手大地藏酒</t>
  </si>
  <si>
    <t>宜宾叙州区五元素酒业有限责任公司</t>
  </si>
  <si>
    <t>葡萄酒;鸡尾酒;⽶酒;含⽔果酒精饮料;⽩兰地;预先混合的酒精饮料（以啤酒为主的除外）;⽩酒;果酒（含酒精）;烧酒;⻩酒</t>
  </si>
  <si>
    <t>海悦酒庄</t>
  </si>
  <si>
    <t>贵州海悦酒业集团有限公司</t>
  </si>
  <si>
    <t>⽶酒;梅酒;烈酒;清酒;葡萄酒;鸡尾酒;烧酒;⽩酒;⻘梅酒;果酒（含酒精）</t>
  </si>
  <si>
    <t>上海乾达维吉酒业有限公司</t>
  </si>
  <si>
    <t>果酒（含酒精）;鸡尾酒;⾷⽤酒精;⽶酒;酒精饮料（啤酒除外）;⻘稞酒;葡萄酒;蒸馏饮料</t>
  </si>
  <si>
    <t>邳邑</t>
  </si>
  <si>
    <t>徐州金品源商贸有限公司</t>
  </si>
  <si>
    <t>⽩酒;⻘梅酒;葡萄酒;果酒;⾷⽤酒精;⻘稞酒;甜酒;烈酒;⻩酒;⾼粱酒</t>
  </si>
  <si>
    <t>悦沉雅香</t>
  </si>
  <si>
    <t>有巢（广州）旅游科技有限公司</t>
  </si>
  <si>
    <t>⽶酒;⽩兰地;⻩酒;烧酒;⻘稞酒;酒精饮料（啤酒除外）;⾷⽤酒精;葡萄酒;⽩酒;威⼠忌</t>
  </si>
  <si>
    <t>迁陵酒宴</t>
  </si>
  <si>
    <t>酒精饮料（啤酒除外）;⾕物制蒸馏酒精饮料;⻩酒;由⾕物蒸馏的⽩酒;⽶酒;⽩酒;预先混合的酒精饮料（以啤酒为主的除外）;果酒（含酒精）;⾷⽤酒精;烧酒</t>
  </si>
  <si>
    <t>MAYGAUER</t>
  </si>
  <si>
    <t>威⼠忌;⽩酒;鸡尾酒;开胃酒;伏特加酒;葡萄酒;⻩酒;⽶酒;果酒（含酒精）;⽩兰地</t>
  </si>
  <si>
    <t>上坝头</t>
  </si>
  <si>
    <t>含⽔果酒精饮料;蒸馏饮料;清酒（⽇本⽶酒）;烧酒;⾕物制蒸馏酒精饮料;⽶酒;⻩酒;酒精饮料原汁;预先混合的酒精饮料（以啤酒为主的除外）;果酒（含酒精）</t>
  </si>
  <si>
    <t>品尉道台</t>
  </si>
  <si>
    <t>陈小霞</t>
  </si>
  <si>
    <t>⽩酒;果酒（含酒精）;烧酒;葡萄酒;⻩酒;预先混合的酒精饮料（以啤酒为主的除外）;含⽔果酒精饮料;鸡尾酒;⽩兰地;⽶酒</t>
  </si>
  <si>
    <t>柒拾贰将</t>
  </si>
  <si>
    <t>深圳晟睿德实业有限公司</t>
  </si>
  <si>
    <t>清酒;⻩酒;⽶酒;葡萄酒;果酒（含酒精）;威⼠忌;⽩酒;⻘稞酒;伏特加酒;蒸煮提取物（利⼝酒和烈酒）</t>
  </si>
  <si>
    <t>微百家</t>
  </si>
  <si>
    <t>石家庄健牧饲料有限公司</t>
  </si>
  <si>
    <t>开胃酒;威⼠忌;含酒精的⽓泡⽔;葡萄酒;酒精饮料原汁;含⽔果酒精饮料;果酒（含酒精）;⽩酒;⻘稞酒;梨酒</t>
  </si>
  <si>
    <t>华总裁</t>
  </si>
  <si>
    <t>贵州奢怀酒业（集团）有限公司</t>
  </si>
  <si>
    <t>⻩酒;果酒（含酒精）;清酒（⽇本⽶酒）;⽩兰地;开胃酒;威⼠忌;⽩酒;葡萄酒;酒精饮料（啤酒除外）;烈酒（饮料）</t>
  </si>
  <si>
    <t>横自在</t>
  </si>
  <si>
    <t>吴菊芬</t>
  </si>
  <si>
    <t>⽩兰地;⽩酒;烈酒（饮料）;⽶酒;鸡尾酒;果酒（含酒精）;葡萄酒;酒精饮料（啤酒除外）;烧酒;含酒精的⽓泡⽔</t>
  </si>
  <si>
    <t>果酒（含酒精）;威⼠忌;⽩酒;葡萄酒;⻩酒;鸡尾酒;开胃酒;伏特加酒;⽶酒;⽩兰地</t>
  </si>
  <si>
    <t>三青树</t>
  </si>
  <si>
    <t>赵瑛</t>
  </si>
  <si>
    <t>⽩⼲酒（中国⽩酒）;朝鲜烧酒;以葡萄酒为主的开胃酒;烈酒（饮料）;含酒精的⽔果鸡尾酒饮料;⻩酒;⽩酒;烈性⼲酒;⻘稞酒;⽶酒</t>
  </si>
  <si>
    <t>玺凤鹿</t>
  </si>
  <si>
    <t>程坚</t>
  </si>
  <si>
    <t>⽩酒;鸡尾酒;果酒（含酒精）;烧酒;威⼠忌;⽶酒;⽩兰地;⾼粱酒;⻩酒;清酒（⽇本⽶酒）</t>
  </si>
  <si>
    <t>世谦</t>
  </si>
  <si>
    <t>贵州世谦酒业有限责任公司</t>
  </si>
  <si>
    <t>含酒精的饮料（啤酒除外）;烧酒（烈酒）;酒精饮料（啤酒除外）;⽩⼲酒（中国⽩酒）;由⾕物蒸馏的⽩酒;⽶酒;⽩酒;⽼酒（中国蒸馏烈酒）;除啤酒外的酒精饮料;⾼粱酒</t>
  </si>
  <si>
    <t>专音</t>
  </si>
  <si>
    <t>海南尚岭博韵商贸有限公司</t>
  </si>
  <si>
    <t>鸡尾酒;清酒（⽇本⽶酒）;⽶酒;⽩酒;⻩酒;果酒;果酒（含酒精）;葡萄酒;⽩⼲酒（中国⽩酒）;甜酒</t>
  </si>
  <si>
    <t>思韵仙</t>
  </si>
  <si>
    <t>秦司安</t>
  </si>
  <si>
    <t>⽶酒;鸡尾酒;开胃酒;⽩酒;果酒（含酒精）;樱桃酒;葡萄酒;伏特加酒;烧酒;威⼠忌</t>
  </si>
  <si>
    <t>贵州仁怀盏酱酒业有限责任公司</t>
  </si>
  <si>
    <t>预调甜酒;开胃酒;鸡尾酒;⽶酒;⽼酒（中国蒸馏烈酒）;酒精饮料（啤酒除外）;果酒（含酒精）;蒸馏饮料;⽩酒;葡萄酒</t>
  </si>
  <si>
    <t>雄牦魂</t>
  </si>
  <si>
    <t>四川雄牦金标酒业有限公司</t>
  </si>
  <si>
    <t>果酒（含酒精）;蒸馏饮料;利⼝酒;⽶酒;⻘稞酒;葡萄酒;烈酒（饮料）;⾷⽤酒精;鸡尾酒;⽩酒</t>
  </si>
  <si>
    <t>EAST RENAISSANCE</t>
  </si>
  <si>
    <t>艺壤在线科技有限公司</t>
  </si>
  <si>
    <t>⾷⽤酒精;⽶酒;⽩酒;果酒（含酒精）;清酒（⽇本⽶酒）;⽩兰地;⻩酒;威⼠忌;酒精饮料（啤酒除外）;鸡尾酒</t>
  </si>
  <si>
    <t>雄牦峡</t>
  </si>
  <si>
    <t>利⼝酒;烈酒（饮料）;⻘稞酒;⽩酒;⾷⽤酒精;果酒（含酒精）;蒸馏饮料;⽶酒;鸡尾酒;葡萄酒</t>
  </si>
  <si>
    <t>黥黔天成</t>
  </si>
  <si>
    <t>清酒（⽇本⽶酒）;⽩酒;威⼠忌;果酒（含酒精）;⻩酒;鸡尾酒;烧酒;⾼粱酒;⽶酒;⽩兰地</t>
  </si>
  <si>
    <t>畲香农 畲</t>
  </si>
  <si>
    <t>桐庐华创文化传媒有限公司</t>
  </si>
  <si>
    <t>烈酒（饮料）;⽶酒;⻩酒;鸡尾酒;果酒（含酒精）;含⽔果酒精饮料;蒸馏饮料;葡萄酒;烧酒;⽩酒</t>
  </si>
  <si>
    <t>新姬能</t>
  </si>
  <si>
    <t>赣州秒店多项目管理有限公司</t>
  </si>
  <si>
    <t>果酒（含酒精）;烈酒（饮料）;餐后酒（利⼝酒和烈酒）;酒精饮料原汁;蜂蜜酒;⽶酒;以葡萄酒为主的饮料;开胃酒</t>
  </si>
  <si>
    <t>贵添夏女神酒</t>
  </si>
  <si>
    <t>深圳拉比智酷信息科技有限公司</t>
  </si>
  <si>
    <t>⽩酒;⻩酒;⽶酒;⾼粱酒;烧酒;⽩兰地;红葡萄酒;鸡尾酒;烈酒;威⼠忌</t>
  </si>
  <si>
    <t>来心亮</t>
  </si>
  <si>
    <t>来新亮</t>
  </si>
  <si>
    <t>⽩酒;酒精饮料（啤酒除外）;葡萄酒;⻩酒;鸡尾酒;汽酒;烧酒;果酒（含酒精）;清酒;⽶酒</t>
  </si>
  <si>
    <t>钓厨御品</t>
  </si>
  <si>
    <t>北京钓台预膳餐饮管理有限公司</t>
  </si>
  <si>
    <t>清酒（⽇本⽶酒）;果酒（含酒精）;⻩酒;预先混合的酒精饮料（以啤酒为主的除外）;酒精饮料（啤酒除外）;蒸馏饮料;⽩兰地;⽶酒;葡萄酒;⽩酒</t>
  </si>
  <si>
    <t>大师倾</t>
  </si>
  <si>
    <t>曾建国</t>
  </si>
  <si>
    <t>烧酒;威⼠忌;⻩酒;清酒（⽇本⽶酒）;⽩酒;⽩兰地;果酒（含酒精）;鸡尾酒;葡萄酒;酒精饮料（啤酒除外）</t>
  </si>
  <si>
    <t>黔福红鼎</t>
  </si>
  <si>
    <t>贵州恺蒂达贸易有限公司</t>
  </si>
  <si>
    <t>葡萄酒;⽩⼲酒（中国⽩酒）;清酒;⻩酒;烧酒;果酒（含酒精）;烈酒（饮料）;⽩酒;含酒精的饮料（啤酒除外）;⽩兰地</t>
  </si>
  <si>
    <t>宁银王</t>
  </si>
  <si>
    <t>魏霞</t>
  </si>
  <si>
    <t>⻩酒;汽酒;⽶酒;果酒;甜酒;葡萄酒;⽩酒;烧酒;酒精饮料（啤酒除外）;烈酒</t>
  </si>
  <si>
    <t>千年农夫</t>
  </si>
  <si>
    <t>天津众一企业管理咨询有限公司</t>
  </si>
  <si>
    <t>⽶酒;⽩酒;蒸馏饮料;⽩兰地;鸡尾酒;⻩酒;葡萄酒;果酒（含酒精）;烧酒;⻘稞酒</t>
  </si>
  <si>
    <t>贵州麦旭弘诚贸易有限责任公司</t>
  </si>
  <si>
    <t>葡萄酒;⽶酒;酒精饮料（啤酒除外）;⾷⽤酒精;⻩酒;果酒（含酒精）;蜂蜜酒;⽩兰地;威⼠忌;⽩酒</t>
  </si>
  <si>
    <t>将川豫</t>
  </si>
  <si>
    <t>河南川豫酒业发展有限公司</t>
  </si>
  <si>
    <t>果酒（含酒精）;开胃酒;烧酒;⽩酒;伏特加酒;⽼酒（中国蒸馏烈酒）;蜂蜜酒;利⼝酒;⻩酒;葡萄酒</t>
  </si>
  <si>
    <t>紫月台</t>
  </si>
  <si>
    <t>萨瑞国际贸易（重庆）有限公司</t>
  </si>
  <si>
    <t>⽶酒;葡萄酒;⽩兰地;威⼠忌;烧酒;蒸馏饮料;茴芹酒（利⼝酒）;已调味的⻨芽酿制的酒精饮料（啤酒除外）;果酒（含酒精）;烈酒（饮料）</t>
  </si>
  <si>
    <t>Z</t>
  </si>
  <si>
    <t>虚实渲染（上海）生物科技有限公司</t>
  </si>
  <si>
    <t>调制好的葡萄酒鸡尾酒;⽔果汽酒;⼲型苹果酒;酒精饮料浓缩汁;果酒（含酒精）;⽩酒;含酒精的鸡尾酒混合饮品;薄荷酒;烈酒（饮料）;汽酒</t>
  </si>
  <si>
    <t>着熟</t>
  </si>
  <si>
    <t>上海星学体育文化传播有限公司</t>
  </si>
  <si>
    <t>含⽔果酒精饮料;⽩酒;⻘稞酒;⾷⽤酒精;鸡尾酒;蜂蜜酒;⻩酒;果酒（含酒精）;开胃酒;⽶酒</t>
  </si>
  <si>
    <t>BEAU-CHARMOIS</t>
  </si>
  <si>
    <t>法国LGI有限公司</t>
  </si>
  <si>
    <t>威⼠忌;朗姆酒;⽩兰地;葡萄酒;杜松⼦酒;果酒（含酒精）;烧酒;酒精饮料（啤酒除外）;蒸馏饮料;⽩酒</t>
  </si>
  <si>
    <t>延昭</t>
  </si>
  <si>
    <t>衡水延昭酿酒有限公司</t>
  </si>
  <si>
    <t>酒精饮料原汁;果酒（含酒精）;⽩酒;蒸煮提取物（利⼝酒和烈酒）;开胃酒;由⾕物蒸馏的⽩酒;利⼝酒;⽩兰地;烧酒;葡萄酒</t>
  </si>
  <si>
    <t>油尖旺</t>
  </si>
  <si>
    <t>贵州天下一家实业有限公司</t>
  </si>
  <si>
    <t>⻩酒;果酒（含酒精）;酒精饮料（啤酒除外）;⽩酒;⽶酒;威⼠忌;葡萄酒;开胃酒;利⼝酒;烈酒（饮料）</t>
  </si>
  <si>
    <t>如是潘</t>
  </si>
  <si>
    <t>深圳市澳菲力时装有限公司</t>
  </si>
  <si>
    <t>果酒（含酒精）;烈酒（饮料）;⽶酒;⽩酒;烧酒;葡萄酒;酒精饮料原汁;⽩兰地;⻩酒;酒精饮料（啤酒除外）</t>
  </si>
  <si>
    <t>景阳门</t>
  </si>
  <si>
    <t>山东景阳门酒业有限公司</t>
  </si>
  <si>
    <t>⽩酒;烧酒;⽶酒;预先混合的酒精饮料（以啤酒为主的除外）;酒精饮料原汁;⻩酒;餐后酒（利⼝酒和烈酒）;烈酒（饮料）;⽩兰地;果酒（含酒精）</t>
  </si>
  <si>
    <t>蒙抬杠</t>
  </si>
  <si>
    <t>深圳市美圣特商贸有限公司</t>
  </si>
  <si>
    <t>⽩兰地;⽩酒;利⼝酒;蒸煮提取物（利⼝酒和烈酒）;酒精饮料原汁;烧酒;酒精饮料（啤酒除外）;⻘稞酒;烈酒（饮料）;葡萄酒</t>
  </si>
  <si>
    <t>楷轩</t>
  </si>
  <si>
    <t>茅春苗</t>
  </si>
  <si>
    <t>威⼠忌;杨梅酒;苹果酒;⽩兰地;⻩酒;果酒（含酒精）;葡萄酒;清酒（⽇本⽶酒）;⽩酒;⽶酒</t>
  </si>
  <si>
    <t>大师钻</t>
  </si>
  <si>
    <t>⽩酒;鸡尾酒;葡萄酒;烈酒（饮料）;⽶酒;烧酒;果酒（含酒精）;酒精饮料（啤酒除外）;⻩酒;清酒（⽇本⽶酒）</t>
  </si>
  <si>
    <t>溪水山花</t>
  </si>
  <si>
    <t>黑龙江博垒建筑工程有限公司</t>
  </si>
  <si>
    <t>⾕物制蒸馏酒精饮料;果酒;⻩酒;汽酒;⾷⽤酒精;烧酒;⽶酒;葡萄酒;酒精饮料（啤酒除外）;⽩酒</t>
  </si>
  <si>
    <t>醍醐绿蚁</t>
  </si>
  <si>
    <t>贵州省仁怀市曲匠酒业有限公司</t>
  </si>
  <si>
    <t>⾼粱酒;⻘稞酒;⽩⼲酒（中国⽩酒）;⽩酒;烧酒;由⾕物蒸馏的⽩酒;葡萄酒;⻩酒;五加⽪酒（中国混合烈酒）;蒸煮提取物（利⼝酒和烈酒）</t>
  </si>
  <si>
    <t>WERDIN 威尔汀</t>
  </si>
  <si>
    <t>惠超</t>
  </si>
  <si>
    <t>威⼠忌;果酒（含酒精）;⽩酒;伏特加酒;葡萄酒;酸酒（低等葡萄酒）;以葡萄酒为主的饮料;利⼝酒;烧酒;含⽔果酒精饮料</t>
  </si>
  <si>
    <t>野赢</t>
  </si>
  <si>
    <t>柯鹏</t>
  </si>
  <si>
    <t>开胃酒;⽩兰地;葡萄酒;⽩酒;果酒（含酒精）;清酒;鸡尾酒;⻩酒;含⽔果酒精饮料;酒精饮料（啤酒除外）</t>
  </si>
  <si>
    <t>义诚天下</t>
  </si>
  <si>
    <t>味诚天下酒业有限公司</t>
  </si>
  <si>
    <t>甜酒;⽩⼲酒（中国⽩酒）;⽩酒;葡萄酒;烧酒;⽶酒;⽼酒（中国蒸馏烈酒）;⽩兰地;⻩酒;⾼粱酒</t>
  </si>
  <si>
    <t>BOYA FORTRESS</t>
  </si>
  <si>
    <t>泉州静发酒业有限公司</t>
  </si>
  <si>
    <t>烈酒（饮料）;⽩兰地;甜酒;⽶酒;鸡尾酒;果酒（含酒精）;⽩酒;酒精饮料（啤酒除外）;葡萄酒;蒸馏饮料</t>
  </si>
  <si>
    <t>JSUERS</t>
  </si>
  <si>
    <t>⾼粱酒;果酒;汽酒;⻩酒;⽶酒;鸡尾酒;葡萄酒;烧酒（烈酒）;威⼠忌;⽩酒</t>
  </si>
  <si>
    <t>观山吕洞</t>
  </si>
  <si>
    <t>北京馥郁天成商贸有限公司</t>
  </si>
  <si>
    <t>果酒（含酒精）;⽩酒;烈酒（饮料）;酒精饮料原汁;烧酒;酒精饮料（啤酒除外）;⾷⽤酒精;蒸馏饮料;含⽔果酒精饮料;酒精饮料浓缩汁</t>
  </si>
  <si>
    <t>匀小宝</t>
  </si>
  <si>
    <t>周聪</t>
  </si>
  <si>
    <t>⻘稞酒;⻩酒;含⽔果酒精饮料;⾷⽤酒精;⽩⼲酒（中国⽩酒）;烧酒;⽩酒;烧酒（烈酒）;⾼粱酒;⽼酒（中国蒸馏烈酒）</t>
  </si>
  <si>
    <t>草会</t>
  </si>
  <si>
    <t>内蒙古庞泉洒业有限公司</t>
  </si>
  <si>
    <t>⾼粱酒;果酒（含酒精）;苹果酒;餐后酒（利⼝酒和烈酒）;葡萄酒;⾷⽤酒精;烧酒;⽩酒;⽩⼲酒（中国⽩酒）;烈酒浓缩汁;⻩酒;烈酒（饮料）</t>
  </si>
  <si>
    <t>HFBUNUOSAGU</t>
  </si>
  <si>
    <t>赣州禾富布诺萨谷酒业有限公司</t>
  </si>
  <si>
    <t>⻘稞酒;汽酒;酒精饮料（啤酒除外）;葡萄酒;威⼠忌;⽩兰地;果酒;开胃酒;⽩酒;利⼝酒</t>
  </si>
  <si>
    <t>LILLCIRK</t>
  </si>
  <si>
    <t>林凤辉</t>
  </si>
  <si>
    <t>预先混合的酒精饮料（以啤酒为主的除外）;酒精饮料（啤酒除外）;鸡尾酒;蒸馏饮料;⻩酒;葡萄酒;⽶酒;⽩酒;果酒（含酒精）;烈酒（饮料）</t>
  </si>
  <si>
    <t>悦物优品</t>
  </si>
  <si>
    <t>秦思语</t>
  </si>
  <si>
    <t>含酒精的饮料（啤酒除外）;含酒精的⽓泡⽔;果酒（含酒精）;葡萄酒;清酒;甜酒;红葡萄酒;含⽜奶的鸡尾酒;⽩酒;威⼠忌</t>
  </si>
  <si>
    <t>MUREUS</t>
  </si>
  <si>
    <t>深圳市甯羽生物科技有限公司</t>
  </si>
  <si>
    <t>薄荷酒;蜂蜜酒;烧酒;⻩酒;⽩酒;⽶酒;果酒（含酒精）;⽩兰地;威⼠忌;鸡尾酒</t>
  </si>
  <si>
    <t>逢爽家宴</t>
  </si>
  <si>
    <t>上海良琛实业发展有限公司</t>
  </si>
  <si>
    <t>⽩酒;⽶酒;⻩酒;伏特加酒;酒精饮料原汁;果酒（含酒精）;鸡尾酒;葡萄酒;酒精饮料（啤酒除外）;含⽔果酒精饮料</t>
  </si>
  <si>
    <t>榉</t>
  </si>
  <si>
    <t>翔宇药业股份有限公司</t>
  </si>
  <si>
    <t>葡萄酒;酒精饮料原汁;⾷⽤酒精;⻘稞酒;蜂蜜酒;⽩酒;酒精饮料（啤酒除外）;酒精饮料浓缩汁;含⽔果酒精饮料;预先混合的酒精饮料（以啤酒为主的除外）</t>
  </si>
  <si>
    <t>霜公子</t>
  </si>
  <si>
    <t>郝淑敏</t>
  </si>
  <si>
    <t>烧酒;含酒精的鸡尾酒混合饮品;⻘稞酒;⽢蔗汁酿朗姆酒;餐后酒（利⼝酒和烈酒）;清酒;⾷⽤酒精;威末酒;⽼酒（中国蒸馏烈酒）;含酒精的⽓泡⽔</t>
  </si>
  <si>
    <t>问天涯 酒</t>
  </si>
  <si>
    <t>问天洞藏（湖北）酒业有限公司</t>
  </si>
  <si>
    <t>⽩酒;酒精饮料（啤酒除外）;薄荷酒;果酒;烈酒（饮料）;汽酒;⽶酒;⾷⽤酒精;蜂蜜酒;⻩酒</t>
  </si>
  <si>
    <t>问天崖 酒</t>
  </si>
  <si>
    <t>⽩酒;汽酒;⾷⽤酒精;⻩酒;蜂蜜酒;酒精饮料（啤酒除外）;果酒;烈酒（饮料）;薄荷酒;⽶酒</t>
  </si>
  <si>
    <t>禾青久</t>
  </si>
  <si>
    <t>珠海美思通科技有限公司</t>
  </si>
  <si>
    <t>蒸馏饮料;⽶酒;⽩酒;⾷⽤酒精;烧酒;⻩酒;⽩⼲酒（中国⽩酒）;开胃酒;⽩兰地;果酒（含酒精）</t>
  </si>
  <si>
    <t>闽公馆客家私房菜</t>
  </si>
  <si>
    <t>黄志雄</t>
  </si>
  <si>
    <t>葡萄酒;⽩酒;威⼠忌;⻩酒;开胃酒;酒精饮料（啤酒除外）;清酒;果酒;⽩兰地;鸡尾酒</t>
  </si>
  <si>
    <t>湖东三善堂沈功</t>
  </si>
  <si>
    <t>沈文洲</t>
  </si>
  <si>
    <t>烧酒;⾷⽤酒精;⽶酒;利⼝酒;⻩酒;酒精饮料（啤酒除外）;果酒（含酒精）;清酒;蒸煮提取物（利⼝酒和烈酒）;葡萄酒</t>
  </si>
  <si>
    <t>谋宾</t>
  </si>
  <si>
    <t>葡萄酒;⽩酒;酒精饮料（啤酒除外）;威⼠忌;清酒;果酒（含酒精）;⻩酒;含⽔果酒精饮料;蒸馏饮料;⽶酒</t>
  </si>
  <si>
    <t>冠珍圆</t>
  </si>
  <si>
    <t>冯伟东</t>
  </si>
  <si>
    <t>清酒;⾼粱酒;松叶酒;以葡萄酒为主的开胃酒;烧酒（烈酒）;露酒;果酒;烈酒;⽼酒（中国蒸馏烈酒）;蒸煮提取物（利⼝酒和烈酒）</t>
  </si>
  <si>
    <t>华彩七仙女</t>
  </si>
  <si>
    <t>贵州金祥新农业科技有限公司</t>
  </si>
  <si>
    <t>葡萄酒;清酒;⽩酒;⽩⼲酒（中国⽩酒）;⻩酒;以葡萄酒为主的饮料;⾷⽤酒精;红葡萄酒;果酒（含酒精）;酒精饮料（啤酒除外）</t>
  </si>
  <si>
    <t>负暄烧房</t>
  </si>
  <si>
    <t>贵州酱造贵标技术服务有限公司</t>
  </si>
  <si>
    <t>餐后酒（利⼝酒和烈酒）;⾕物制蒸馏酒精饮料;果酒（含酒精）;苹果酒;露酒;烈酒（饮料）;蒸馏饮料;⽩酒;⽶酒;葡萄酒</t>
  </si>
  <si>
    <t>杜卡伦名仕</t>
  </si>
  <si>
    <t>福建佰见酒业集团有限公司</t>
  </si>
  <si>
    <t>葡萄酒;蜂蜜酒;⽶酒;⽩酒;威⼠忌;果酒（含酒精）;开胃酒;利⼝酒;⽩兰地;⻩酒</t>
  </si>
  <si>
    <t>汉八方</t>
  </si>
  <si>
    <t>贵州汉八方酒业有限公司</t>
  </si>
  <si>
    <t>清酒;烧酒;⽩⼲酒（中国⽩酒）;烈酒（饮料）;红葡萄酒;葡萄酒;果酒（含酒精）;⻩酒;⽩酒;烧酒（烈酒）</t>
  </si>
  <si>
    <t>沱江往事</t>
  </si>
  <si>
    <t>谢军</t>
  </si>
  <si>
    <t>烧酒;酒精饮料（啤酒除外）;⻩酒;⽩酒;烈酒（饮料）;已调味的蒸馏酒;餐后酒（利⼝酒和烈酒）;葡萄酒;开胃酒;⽶酒</t>
  </si>
  <si>
    <t>吉聚乐</t>
  </si>
  <si>
    <t>郑远均</t>
  </si>
  <si>
    <t>葡萄酒;酒精饮料（啤酒除外）;烈酒（饮料）;⻩酒;⽶酒;甜酒;清酒（⽇本⽶酒）;烧酒;果酒（含酒精）;⽩酒</t>
  </si>
  <si>
    <t>喀拉托如克</t>
  </si>
  <si>
    <t>常玉龙</t>
  </si>
  <si>
    <t>葡萄酒;烈酒（饮料）;⽩兰地;⽩⼲酒（中国⽩酒）;⽩葡萄酒;朗姆酒;伏特加酒;⽩酒;混合威⼠忌酒;含酒精⽔果饮料</t>
  </si>
  <si>
    <t>湘井</t>
  </si>
  <si>
    <t>樊建港411521********2532</t>
  </si>
  <si>
    <t>果酒;葡萄酒;含酒精的饮料（啤酒除外）;开胃酒;⽩酒;鸡尾酒;⻘稞酒;苹果酒;清酒;烈酒（饮料）</t>
  </si>
  <si>
    <t>庆圆欢</t>
  </si>
  <si>
    <t>株洲市芦淞区芳华荣光百货商行</t>
  </si>
  <si>
    <t>⻘稞酒;⽩酒;由⾕物蒸馏的⽩酒;苦味酒;⻩酒;⾼粱酒;清酒;露酒;烧酒;葡萄酒</t>
  </si>
  <si>
    <t>溪口</t>
  </si>
  <si>
    <t>葡萄酒;烈酒（饮料）;鸡尾酒;⻘稞酒;果酒;清酒;⽩酒;苹果酒;开胃酒;含酒精的饮料（啤酒除外）</t>
  </si>
  <si>
    <t>酩品一号</t>
  </si>
  <si>
    <t>贵州大展酒业有限公司</t>
  </si>
  <si>
    <t>果酒（含酒精）;⻩酒;⽩酒;酒精饮料（啤酒除外）;清酒（⽇本⽶酒）;烧酒;鸡尾酒;葡萄酒;烈酒（饮料）;⽶酒</t>
  </si>
  <si>
    <t>霍兴茗</t>
  </si>
  <si>
    <t>霍山森呼吸石斛科技有限公司</t>
  </si>
  <si>
    <t>清酒;葡萄酒;烧酒;⻘稞酒;烈酒;⻩酒;⾷⽤酒精;⽼酒（中国蒸馏烈酒）;⽩酒;⽶酒</t>
  </si>
  <si>
    <t>LIBERO</t>
  </si>
  <si>
    <t>简若梅</t>
  </si>
  <si>
    <t>⻩酒;酒精饮料（啤酒除外）;开胃酒;鸡尾酒;清酒;⽩酒;烈酒;葡萄酒;威⼠忌;果酒（含酒精）</t>
  </si>
  <si>
    <t>宁·醉中仙·牌</t>
  </si>
  <si>
    <t>宁夏清风醉酒业有限公司</t>
  </si>
  <si>
    <t>蒸馏饮料;⽩酒;威⼠忌;⻩酒;鸡尾酒;⻘稞酒;清酒（⽇本⽶酒）;葡萄酒;⾷⽤酒精;烧酒</t>
  </si>
  <si>
    <t>迪恩子</t>
  </si>
  <si>
    <t>混合威⼠忌酒;⽩葡萄酒;含酒精⽔果饮料;⽩酒;朗姆酒;⽩⼲酒（中国⽩酒）;伏特加酒;烈酒（饮料）;⽩兰地;葡萄酒</t>
  </si>
  <si>
    <t>韶山东方红品牌管理有限公司</t>
  </si>
  <si>
    <t>苹果酒;⽶酒;⽩酒;葡萄酒;蒸煮提取物（利⼝酒和烈酒）;⻩酒;含⽔果酒精饮料;果酒（含酒精）;烧酒;鸡尾酒</t>
  </si>
  <si>
    <t>红颜日记</t>
  </si>
  <si>
    <t>广东珍珍企业管理有限公司</t>
  </si>
  <si>
    <t>苹果酒;葡萄酒;⽔果汽酒;蜂蜜酒;甜果酒;咖啡利⼝酒;果酒;樱桃酒;⽢蔗制酒精饮料;含酒精的充⽓饮料（啤酒除外）</t>
  </si>
  <si>
    <t>蒙源红餐之味</t>
  </si>
  <si>
    <t>刘文强</t>
  </si>
  <si>
    <t>含酒精蛋奶酒;含酒精⽔果饮料;开胃酒;清酒;葡萄汽酒;鸡尾酒;⻩酒;⽶酒;⽩酒;葡萄酒</t>
  </si>
  <si>
    <t>洞佬香</t>
  </si>
  <si>
    <t>龙丽琼</t>
  </si>
  <si>
    <t>果酒;甜酒;葡萄酒;⻩酒;⽶酒;清酒;⽩酒;⾷⽤酒精;汽酒;开胃酒</t>
  </si>
  <si>
    <t>WESTERNWILDERNESS</t>
  </si>
  <si>
    <t>贵州西部荒野酒业有限公司</t>
  </si>
  <si>
    <t>⽩酒;酒精饮料（啤酒除外）;果酒（含酒精）;鸡尾酒;⽶酒;烧酒;葡萄酒;烈酒;利⼝酒;开胃酒</t>
  </si>
  <si>
    <t>玉龙喀拉河</t>
  </si>
  <si>
    <t>含酒精⽔果饮料;烈酒（饮料）;⽩兰地;伏特加酒;⽩⼲酒（中国⽩酒）;朗姆酒;混合威⼠忌酒;⽩葡萄酒;葡萄酒;⽩酒</t>
  </si>
  <si>
    <t>赵氏御选坊</t>
  </si>
  <si>
    <t>大连御选坊贸易有限公司</t>
  </si>
  <si>
    <t>⻩酒;⽩兰地;葡萄酒;清酒（⽇本⽶酒）;威⼠忌;⽶酒;烧酒;鸡尾酒;⽩酒;茴⾹酒（利⼝酒）</t>
  </si>
  <si>
    <t>金玉坊</t>
  </si>
  <si>
    <t>含酒精的饮料（啤酒除外）;果酒;开胃酒;⽩酒;鸡尾酒;⻘稞酒;清酒;葡萄酒;苹果酒;烈酒（饮料）</t>
  </si>
  <si>
    <t>尊小品</t>
  </si>
  <si>
    <t>果酒;苹果酒;葡萄酒;开胃酒;鸡尾酒;⻘稞酒;⽩酒;含酒精的饮料（啤酒除外）;烈酒（饮料）;清酒</t>
  </si>
  <si>
    <t>酔潭稥</t>
  </si>
  <si>
    <t>镇江和谐梦酒业有限公司</t>
  </si>
  <si>
    <t>烈酒（饮料）;清酒（⽇本⽶酒）;烧酒;⽶酒;⽩兰地;葡萄酒;威⼠忌;⻩酒;鸡尾酒;⽩酒</t>
  </si>
  <si>
    <t>赣彩</t>
  </si>
  <si>
    <t>罗贵洪</t>
  </si>
  <si>
    <t>葡萄酒;⽩兰地;⻩酒;烧酒;朗姆酒;⽩酒;⽶酒;威⼠忌;伏特加酒;果酒（含酒精）</t>
  </si>
  <si>
    <t>爱创敢拼</t>
  </si>
  <si>
    <t>陈少健</t>
  </si>
  <si>
    <t>⽩兰地;蒸馏饮料;烧酒;酒精饮料（啤酒除外）;⻩酒;清酒（⽇本⽶酒）;⽩酒;⽶酒;葡萄酒;果酒（含酒精）</t>
  </si>
  <si>
    <t>樽江熙</t>
  </si>
  <si>
    <t>黄兆忠</t>
  </si>
  <si>
    <t>蒸煮提取物（利⼝酒和烈酒）;酒精饮料浓缩汁;酒精饮料（啤酒除外）;烧酒;果酒（含酒精）;⽩酒;葡萄酒;⽶酒;烧酒（烈酒）;⾷⽤酒精</t>
  </si>
  <si>
    <t>东山之上</t>
  </si>
  <si>
    <t>石家庄广樽商贸有限公司</t>
  </si>
  <si>
    <t>清酒;⽩酒;汽酒;甜酒;酒精饮料（啤酒除外）;⻩酒;⽶酒;露酒;果酒;梅酒</t>
  </si>
  <si>
    <t>醉氿稥</t>
  </si>
  <si>
    <t>葡萄酒;烈酒（饮料）;烧酒;鸡尾酒;威⼠忌;清酒（⽇本⽶酒）;⻩酒;⽶酒;⽩酒;⽩兰地</t>
  </si>
  <si>
    <t>松花玉液</t>
  </si>
  <si>
    <t>通化鑫鸿松花玉石有限公司</t>
  </si>
  <si>
    <t>朗姆酒;⽶酒;蜂蜜酒;果酒;葡萄酒;开胃酒;樱桃酒;⽩兰地;⽩酒;鸡尾酒</t>
  </si>
  <si>
    <t>桃园汀</t>
  </si>
  <si>
    <t>酒精饮料（啤酒除外）;葡萄酒;开胃酒;清酒（⽇本⽶酒）;烈酒;威⼠忌;⻩酒;⽩酒;果酒（含酒精）;鸡尾酒</t>
  </si>
  <si>
    <t>陈顺志 CHENSHUIZHI</t>
  </si>
  <si>
    <t>陈顺志</t>
  </si>
  <si>
    <t>葡萄酒;蜂蜜酒;清酒（⽇本⽶酒）;酒精饮料浓缩汁;开胃酒;鸡尾酒;⾷⽤酒精;⻩酒;果酒（含酒精）;⽩酒</t>
  </si>
  <si>
    <t>B</t>
  </si>
  <si>
    <t>张能</t>
  </si>
  <si>
    <t>伏特加酒;威⼠忌;果酒（含酒精）;清酒（⽇本⽶酒）;含⽔果酒精饮料;⽩酒;朗姆酒;鸡尾酒;葡萄酒;酒精饮料（啤酒除外）</t>
  </si>
  <si>
    <t>谢呈御品牌发展(盐城)有限公司</t>
  </si>
  <si>
    <t>⽩⼲酒（中国⽩酒）;甜酒;⻩酒;汽酒;苦味酒;⽶酒;烈酒（饮料）;葡萄酒;鸡尾酒;除啤酒外的酒精饮料</t>
  </si>
  <si>
    <t>尚选名仕金禧 RVRRANLY</t>
  </si>
  <si>
    <t>康艳菊</t>
  </si>
  <si>
    <t>利⼝酒;预先混合的酒精饮料（以啤酒为主的除外）;蒸煮提取物（利⼝酒和烈酒）;威⼠忌;含奶油利⼝酒;已调味的蒸馏酒;混合威⼠忌酒;⻨芽威⼠忌;⽩兰地;伏特加酒</t>
  </si>
  <si>
    <t>佰草御虂</t>
  </si>
  <si>
    <t>安徽精力元药业有限公司</t>
  </si>
  <si>
    <t>葡萄酒;⽶酒;⽩酒;烧酒;甜酒;鸡尾酒;⻩酒;果酒;蒸煮提取物（利⼝酒和烈酒）;露酒</t>
  </si>
  <si>
    <t>DSWN</t>
  </si>
  <si>
    <t>张凯翔</t>
  </si>
  <si>
    <t>酒精饮料（啤酒除外）;⽩酒;烈酒;葡萄酒;威⼠忌;果酒;蜂蜜酒;鸡尾酒;⽶酒;⻩酒</t>
  </si>
  <si>
    <t>山与飞鸟</t>
  </si>
  <si>
    <t>陕西美酒未迟贸易有限公司</t>
  </si>
  <si>
    <t>果酒（含酒精）;威⼠忌;⽶酒;预先混合的酒精饮料（以啤酒为主的除外）;烈酒（饮料）;⽩兰地;酒精饮料（啤酒除外）;葡萄酒;利⼝酒;伏特加酒</t>
  </si>
  <si>
    <t>茗源宏</t>
  </si>
  <si>
    <t>贵州茗源宏酒业有限公司</t>
  </si>
  <si>
    <t>果酒（含酒精）;茴芹酒（利⼝酒）;鸡尾酒;⽩酒;⻩酒;薄荷酒;以葡萄酒为主的饮料;苦味酒;⽩兰地;烈酒（饮料）</t>
  </si>
  <si>
    <t>万里聚嘎洒汤锅</t>
  </si>
  <si>
    <t>云南玉溪嘎洒汤锅餐饮服务有限公司</t>
  </si>
  <si>
    <t>果酒（含酒精）;蒸馏饮料;酒精饮料（啤酒除外）;⽶酒;烧酒;蜂蜜酒;烈酒（饮料）;⽩酒;葡萄酒;⽼酒（中国蒸馏烈酒）</t>
  </si>
  <si>
    <t>冠典</t>
  </si>
  <si>
    <t>严洁</t>
  </si>
  <si>
    <t>果酒（含酒精）;蒸馏饮料;葡萄酒;威⼠忌;⽩酒;⾷⽤酒精;⽩兰地;⽶酒;⻩酒;酒精饮料（啤酒除外）</t>
  </si>
  <si>
    <t>裕慕囍</t>
  </si>
  <si>
    <t>青岛银大国际贸易有限公司</t>
  </si>
  <si>
    <t>鸡尾酒;烧酒;葡萄酒;烈酒（饮料）;⻩酒;威⼠忌;酒精饮料原汁;⽶酒;⽩酒;⽩兰地</t>
  </si>
  <si>
    <t>合福兴</t>
  </si>
  <si>
    <t>刘治点</t>
  </si>
  <si>
    <t>酒精饮料原汁;⽶酒;汽酒;⾷⽤酒精;⽩酒;⻩酒;果酒（含酒精）;葡萄酒;烈酒（饮料）;蒸馏饮料</t>
  </si>
  <si>
    <t>呼德艾力</t>
  </si>
  <si>
    <t>阿亚拉</t>
  </si>
  <si>
    <t>⻩酒;蒸馏饮料;烈酒（饮料）;汽酒;清酒（⽇本⽶酒）;果酒（含酒精）;酒精饮料（啤酒除外）;鸡尾酒;⽩酒;葡萄酒</t>
  </si>
  <si>
    <t>云兴观露</t>
  </si>
  <si>
    <t>金堂县雲兴山泉水食品厂</t>
  </si>
  <si>
    <t>酒精饮料（啤酒除外）;威⼠忌;⽶酒;果酒（含酒精）;⽩酒;鸡尾酒;葡萄酒;烧酒;⾼粱酒;烈酒（饮料）</t>
  </si>
  <si>
    <t>崇善兴</t>
  </si>
  <si>
    <t>邹崇书</t>
  </si>
  <si>
    <t>鸡尾酒;葡萄酒;⽩酒;露酒;果酒;汽酒;⽶酒;⻩酒;甜酒;酒精饮料（啤酒除外）</t>
  </si>
  <si>
    <t>长沙慧朋文化有限公司</t>
  </si>
  <si>
    <t>酒精饮料（啤酒除外）;⻩酒;⽩酒;⽩⼲酒（中国⽩酒）;果酒;葡萄酒;⽶酒;⾷⽤酒精;烧酒（烈酒）;⽼酒（中国蒸馏烈酒）</t>
  </si>
  <si>
    <t>王子总</t>
  </si>
  <si>
    <t>刘贺</t>
  </si>
  <si>
    <t>烧酒;⻩酒;含⽔果酒精饮料;果酒（含酒精）;葡萄酒;威⼠忌;⽶酒;⽩酒;开胃酒;⾷⽤酒精</t>
  </si>
  <si>
    <t>黑龙江省龙江家园酒业有限公司</t>
  </si>
  <si>
    <t>⽶酒;清酒（⽇本⽶酒）;果酒（含酒精）;⽩酒;⾕物制蒸馏酒精饮料;鸡尾酒;葡萄酒;⻘稞酒;烈酒（饮料）;酒精饮料（啤酒除外）</t>
  </si>
  <si>
    <t>3ENEHAR NNAHETA</t>
  </si>
  <si>
    <t>格拉佐夫斯基莱克洛夫多奇尼亚工厂公司</t>
  </si>
  <si>
    <t>伏特加酒;预先混合的酒精饮料（以啤酒为主的除外）;酒精饮料（啤酒除外）;⾕物制蒸馏酒精饮料</t>
  </si>
  <si>
    <t>柔仁</t>
  </si>
  <si>
    <t>贵州柔酱酒业有限公司</t>
  </si>
  <si>
    <t>苹果酒;⾕物制蒸馏酒精饮料;⽩酒;烈酒（饮料）;露酒;果酒（含酒精）;⽶酒;蒸馏饮料;葡萄酒;餐后酒（利⼝酒和烈酒）</t>
  </si>
  <si>
    <t>WEIHNACHTSFEST WEIN</t>
  </si>
  <si>
    <t>弗里茨温德茨两合公司</t>
  </si>
  <si>
    <t>鸡尾酒;葡萄酒;朗姆酒;蜂蜜酒;薄荷酒;威⼠忌;酒精饮料（啤酒除外）;⻩酒;⽩酒;伏特加酒</t>
  </si>
  <si>
    <t>桃花屋东楼</t>
  </si>
  <si>
    <t>吴飞</t>
  </si>
  <si>
    <t>⽩酒;⽶酒;烧酒;⽩兰地;清酒（⽇本⽶酒）;含⽔果酒精饮料;烈酒（饮料）;鸡尾酒;朗姆酒;威⼠忌</t>
  </si>
  <si>
    <t>家兄弟</t>
  </si>
  <si>
    <t>深圳市酒之家贸易有限公司</t>
  </si>
  <si>
    <t>葡萄酒;蒸煮提取物（利⼝酒和烈酒）;酒精饮料（啤酒除外）;预先混合的酒精饮料（以啤酒为主的除外）;蜂蜜酒;⽩酒;⻩酒;⽶酒;蒸馏饮料;果酒（含酒精）</t>
  </si>
  <si>
    <t>上神玉露</t>
  </si>
  <si>
    <t>陈露</t>
  </si>
  <si>
    <t>⽩酒;葡萄酒;⽩兰地;果酒（含酒精）;威⼠忌;烈酒;利⼝酒;伏特加酒;鸡尾酒;汽酒</t>
  </si>
  <si>
    <t>桂丰泉</t>
  </si>
  <si>
    <t>阳雄志</t>
  </si>
  <si>
    <t>⾷⽤酒精;⽩酒;蒸馏⽶酒（泡盛酒）;酒精饮料（啤酒除外）;⽶酒;含酒精的饮料（啤酒除外）;果酒;露酒;⻩酒</t>
  </si>
  <si>
    <t>诗笔</t>
  </si>
  <si>
    <t>韦银华</t>
  </si>
  <si>
    <t>⻩酒;含酒精的饮料（啤酒除外）;含⽔果酒精饮料;⽶酒;⾷⽤酒精;甜酒;果酒（含酒精）;含酒精的充⽓饮料（啤酒除外）;⽩酒;露酒</t>
  </si>
  <si>
    <t>蓬椒流香</t>
  </si>
  <si>
    <t>四川椒房流香农业科技有限公司</t>
  </si>
  <si>
    <t>含⽔果酒精饮料;⾕物制蒸馏酒精饮料;⽩酒;⽩兰地;露酒;⾷⽤酒精;烈酒（饮料）;酒精饮料（啤酒除外）;烧酒;⽶酒</t>
  </si>
  <si>
    <t>五醍浆福顺</t>
  </si>
  <si>
    <t>江苏震洲五醍浆酒业有限公司</t>
  </si>
  <si>
    <t>⽩酒;果酒（含酒精）;鸡尾酒;酒精饮料（啤酒除外）;⻩酒;⽶酒;葡萄酒;含⽔果酒精饮料;清酒（⽇本⽶酒）;烧酒</t>
  </si>
  <si>
    <t>海大炮</t>
  </si>
  <si>
    <t>谭翼</t>
  </si>
  <si>
    <t>⽩酒;烧酒;葡萄酒;清酒（⽇本⽶酒）;⻩酒;酒精饮料（啤酒除外）;果酒（含酒精）;鸡尾酒;烈酒（饮料）;⽶酒</t>
  </si>
  <si>
    <t>眉州特渟</t>
  </si>
  <si>
    <t>丹棱县张场马嘴河酒厂</t>
  </si>
  <si>
    <t>葡萄酒;⽶酒;⾼粱酒;酒精饮料（啤酒除外）;汽酒;⽩酒;果酒（含酒精）;⽩⼲酒（中国⽩酒）;烈酒（饮料）;烧酒</t>
  </si>
  <si>
    <t>熙御</t>
  </si>
  <si>
    <t>张国华</t>
  </si>
  <si>
    <t>⽩酒;烈酒;⽶酒;葡萄酒;鸡尾酒;杜松⼦酒;⽩兰地;威⼠忌;蜂蜜酒;含⽔果酒精饮料</t>
  </si>
  <si>
    <t>饮止酿</t>
  </si>
  <si>
    <t>贵州开坛香酒业销售有限公司</t>
  </si>
  <si>
    <t>薄荷酒;⻩酒;⽶酒;⽩酒;威⼠忌;烈酒（饮料）;开胃酒;⽩兰地;果酒（含酒精）;鸡尾酒</t>
  </si>
  <si>
    <t>半山有良乐金樽</t>
  </si>
  <si>
    <t>陈绪</t>
  </si>
  <si>
    <t>⻘稞酒;果酒（含酒精）;鸡尾酒;⾷⽤酒精;⽶酒;酒精饮料（啤酒除外）;⽩酒;蒸馏饮料;葡萄酒;烧酒</t>
  </si>
  <si>
    <t>五醍浆 古瓷瓶</t>
  </si>
  <si>
    <t>⽩酒;果酒（含酒精）;葡萄酒;含⽔果酒精饮料;⽶酒;⻩酒;鸡尾酒;酒精饮料（啤酒除外）;烧酒;清酒（⽇本⽶酒）</t>
  </si>
  <si>
    <t>懋王府</t>
  </si>
  <si>
    <t>⽩酒;鸡尾酒;果酒（含酒精）;⽶酒;甜果酒;葡萄酒;烧酒;开胃酒;含酒精的⽓泡⽔;威⼠忌</t>
  </si>
  <si>
    <t>红小韵</t>
  </si>
  <si>
    <t>戚文顺412828********6037</t>
  </si>
  <si>
    <t>果酒（含酒精）;苹果酒;烧酒;⻘稞酒;清酒（⽇本⽶酒）;含酒精的饮料（啤酒除外）;开胃酒;烈酒（饮料）;葡萄酒;⽩酒</t>
  </si>
  <si>
    <t>莓夃酿</t>
  </si>
  <si>
    <t>东港市昌源食品有限公司</t>
  </si>
  <si>
    <t>⾕物制蒸馏酒精饮料;含⽔果酒精饮料;鸡尾酒;烈酒（饮料）;⽶酒;烧酒;含酒精的饮料（啤酒除外）;果酒（含酒精）;餐后酒（利⼝酒和烈酒）;酒精饮料原汁</t>
  </si>
  <si>
    <t>荆沄</t>
  </si>
  <si>
    <t>胡杰</t>
  </si>
  <si>
    <t>果酒;⾷⽤酒精;⽶酒;烧酒;苹果酒;⻘稞酒;樱桃酒;⻩酒;⽩兰地;⽩酒</t>
  </si>
  <si>
    <t>马士国散搂子</t>
  </si>
  <si>
    <t>马士国</t>
  </si>
  <si>
    <t>⽶酒;果酒（含酒精）;酒精饮料原汁;葡萄酒;烈酒（饮料）;⾷⽤酒精;酒精饮料（啤酒除外）;⽩酒;烧酒;⻩酒</t>
  </si>
  <si>
    <t>臻醏</t>
  </si>
  <si>
    <t>果酒（含酒精）;⽶酒;葡萄酒;含⽔果酒精饮料;烧酒;⽩酒;⾕物制蒸馏酒精饮料;鸡尾酒;威⼠忌;⻩酒</t>
  </si>
  <si>
    <t>潮汕龙溪</t>
  </si>
  <si>
    <t>汕头市四面八方电子有限公司</t>
  </si>
  <si>
    <t>烧酒;⻘稞酒;含⽔果酒精饮料;⽩酒;果酒（含酒精）;清酒（⽇本⽶酒）;葡萄酒;⽶酒;⻩酒;烈酒（饮料）</t>
  </si>
  <si>
    <t>炎究</t>
  </si>
  <si>
    <t>浙江健兴生物科技有限公司</t>
  </si>
  <si>
    <t>含⽔果酒精饮料;烈酒（饮料）;葡萄酒;酒精饮料（啤酒除外）;果酒（含酒精）;清酒（⽇本⽶酒）;烧酒;⽩酒;⽶酒;⻩酒</t>
  </si>
  <si>
    <t>驿舍</t>
  </si>
  <si>
    <t>香港驿舍有限公司</t>
  </si>
  <si>
    <t>开胃酒;酒精饮料（啤酒除外）;果酒;⽩酒;葡萄酒;⾷⽤酒精;酒精饮料原汁;⽶酒;烈酒;果酒（含酒精）</t>
  </si>
  <si>
    <t>青山关长城湾 QINGSHAN PASS GREAT WALL BAYA</t>
  </si>
  <si>
    <t>青山关文旅发展有限公司</t>
  </si>
  <si>
    <t>含酒精⽔果饮料;预先混合的酒精饮料（以啤酒为主的除外）;含酒精的充⽓饮料（啤酒除外）;含⽔果酒精饮料;蒸馏饮料;果酒（含酒精）;开胃酒;烧酒;酒精饮料原汁;⽩酒</t>
  </si>
  <si>
    <t>醉湘</t>
  </si>
  <si>
    <t>合肥鼎祎品牌管理有限公司</t>
  </si>
  <si>
    <t>利⼝酒;⻩酒;含⽔果酒精饮料;⽩酒;葡萄酒;⽶酒;酒精饮料（啤酒除外）;开胃酒;烧酒</t>
  </si>
  <si>
    <t>酒之家兄弟</t>
  </si>
  <si>
    <t>果酒（含酒精）;⽩酒;酒精饮料（啤酒除外）;预先混合的酒精饮料（以啤酒为主的除外）;⻩酒;⽶酒;蒸煮提取物（利⼝酒和烈酒）;蒸馏饮料;蜂蜜酒;葡萄酒</t>
  </si>
  <si>
    <t>温州姆氏德控股有限公司</t>
  </si>
  <si>
    <t>鸡尾酒;⻩酒;葡萄酒;亚⼒酒;汽酒;酒精饮料（啤酒除外）;果酒（含酒精）;烈酒（饮料）;预先混合的酒精饮料（以啤酒为主的除外）;⽩酒</t>
  </si>
  <si>
    <t>黔阳河</t>
  </si>
  <si>
    <t>陈德芬</t>
  </si>
  <si>
    <t>烧酒;⽩酒;果酒;葡萄酒;鸡尾酒;烈酒;⽶酒;⻩酒;除啤酒外的酒精饮料;清酒</t>
  </si>
  <si>
    <t>圆梦人 DREAM REALIZER</t>
  </si>
  <si>
    <t>深圳市前海圆梦人投资有限公司</t>
  </si>
  <si>
    <t>苹果酒;酒精饮料（啤酒除外）;⾷⽤酒精;烈酒;⽩兰地;⽶酒;葡萄酒;⽩酒;蒸馏饮料;威⼠忌</t>
  </si>
  <si>
    <t>MT·JIAODING 轿顶山荒野户外公园 ALPINE OUTDOOR PARK</t>
  </si>
  <si>
    <t>汉源县麋鹿旅游有限责任公司</t>
  </si>
  <si>
    <t>⻩酒;清酒;⻘稞酒;开胃酒;汽酒;⽩酒;果酒;已调味的⻨芽酿制的酒精饮料（啤酒除外）;甜酒;⽶酒</t>
  </si>
  <si>
    <t>延明洞</t>
  </si>
  <si>
    <t>郭长明</t>
  </si>
  <si>
    <t>酒精饮料原汁;⽶酒;烧酒;葡萄酒;含酒精⽔果饮料;清酒（⽇本⽶酒）;果酒（含酒精）;鸡尾酒;含酒精的⽔果鸡尾酒饮料;含酒精的⽓泡⽔</t>
  </si>
  <si>
    <t>小书包</t>
  </si>
  <si>
    <t>潍坊山嵩园农业科技有限公司</t>
  </si>
  <si>
    <t>果酒（含酒精）;烈酒（饮料）;酒精饮料（啤酒除外）;⽶酒;⾼粱酒;以朗姆酒为主的饮料;⻘梅酒;含酒精的⽓泡⽔;⻘稞酒;酒精饮料原汁;以蒸馏酒为主的开胃酒;含酒精的鸡尾酒混合饮品;含酒精的饮料（啤酒除外）;鸡尾酒;⽩兰地;含酒精的充⽓饮料（啤酒除外）;⻩酒;⽩酒;朗姆酒（酒精饮料）;⾷⽤酒精</t>
  </si>
  <si>
    <t>古海遗珠</t>
  </si>
  <si>
    <t>绵阳祥鼎商贸有限公司</t>
  </si>
  <si>
    <t>鸡尾酒;葡萄酒;烧酒;⽶酒;果酒;⾷⽤酒精;⽩酒;烈酒;清酒;⻩酒</t>
  </si>
  <si>
    <t>窖今古</t>
  </si>
  <si>
    <t>郭耿波</t>
  </si>
  <si>
    <t>汽酒;清酒;⽩酒;葡萄酒;甜酒;⻩酒;⽶酒;开胃酒;果酒;⾷⽤酒精</t>
  </si>
  <si>
    <t>浞浀</t>
  </si>
  <si>
    <t>潍坊华晨食品有限公司</t>
  </si>
  <si>
    <t>⽶酒;露酒;⽩酒</t>
  </si>
  <si>
    <t>牧人灶</t>
  </si>
  <si>
    <t>呼和木仁</t>
  </si>
  <si>
    <t>鸡尾酒;烈酒（饮料）;⻩酒;烧酒;⽢蔗制烈酒;葡萄酒;⽶酒;果酒（含酒精）;酒精饮料（啤酒除外）;⽩酒</t>
  </si>
  <si>
    <t>漠北红鹰</t>
  </si>
  <si>
    <t>开胃酒;朗姆酒;伏特加酒;利⼝酒;⽩兰地;威⼠忌;混合威⼠忌酒;鸡尾酒;葡萄酒;烈酒（饮料）</t>
  </si>
  <si>
    <t>宅云台</t>
  </si>
  <si>
    <t>贵州欢客人酒业有限公司</t>
  </si>
  <si>
    <t>由⾕物蒸馏的⽩酒;预先混合的酒精饮料（以啤酒为主的除外）;果酒（含酒精）;清酒（⽇本⽶酒）;鸡尾酒;⽶酒;⻩酒;⾕物制蒸馏酒精饮料;红葡萄酒;⽩酒</t>
  </si>
  <si>
    <t>拉斯堡（上海）国际贸易有限公司</t>
  </si>
  <si>
    <t>⽩兰地;酸酒（低等葡萄酒）;⽶酒;果酒（含酒精）;含⽔果酒精饮料;⻩酒;葡萄酒;苹果酒;威⼠忌;伏特加酒</t>
  </si>
  <si>
    <t>虞仙果度</t>
  </si>
  <si>
    <t>⽩酒;葡萄酒;⻩酒;⾼粱酒;利⼝酒;甜酒;果酒;烧酒;鸡尾酒;杨梅酒</t>
  </si>
  <si>
    <t>鸡尾酒;苦味酒;开胃酒;葡萄酒;预先混合的酒精饮料（以啤酒为主的除外）;蒸煮提取物（利⼝酒和烈酒）;⽩酒;果酒（含酒精）;杜松⼦酒;酒精饮料（啤酒除外）</t>
  </si>
  <si>
    <t>今世缘紫一帆</t>
  </si>
  <si>
    <t>杜松⼦酒;预先混合的酒精饮料（以啤酒为主的除外）;果酒（含酒精）;苦味酒;葡萄酒;酒精饮料（啤酒除外）;蒸煮提取物（利⼝酒和烈酒）;⽩酒;开胃酒;鸡尾酒</t>
  </si>
  <si>
    <t>绥棱汇丰酿酒有限公司</t>
  </si>
  <si>
    <t>烈酒（饮料）;⽩酒;果酒（含酒精）;葡萄酒;烧酒;酒精饮料（啤酒除外）;⽶酒;鸡尾酒;清酒（⽇本⽶酒）;⻩酒</t>
  </si>
  <si>
    <t>罗鹏</t>
  </si>
  <si>
    <t>贵州省仁怀市红益品酒业有限公司</t>
  </si>
  <si>
    <t>烈酒（饮料）;⽩酒;鸡尾酒;威⼠忌;⽩兰地;苹果酒;葡萄酒;果酒（含酒精）;利⼝酒;烧酒</t>
  </si>
  <si>
    <t>ANTHONY'S FARM</t>
  </si>
  <si>
    <t>康思美可公司</t>
  </si>
  <si>
    <t>含酒精的充⽓饮料（啤酒除外）;葡萄汽酒;⽔果汽酒;葡萄酒;以葡萄酒为主的饮料</t>
  </si>
  <si>
    <t>KAMULAN FAMILY OF HAN DYNASTY 汉帝卡慕法兰家族</t>
  </si>
  <si>
    <t>清酒;⽩酒;葡萄酒;⻩酒;烈酒;⽶酒;鸡尾酒;⽩兰地;威⼠忌;果酒</t>
  </si>
  <si>
    <t>名客吕</t>
  </si>
  <si>
    <t>贵州国白酒业有限责任公司</t>
  </si>
  <si>
    <t>烈酒（饮料）;⽼酒（中国蒸馏烈酒）;⽩酒;威⼠忌;酒精饮料（啤酒除外）;葡萄酒;鸡尾酒;含⽔果酒精饮料;⾼粱酒;果酒</t>
  </si>
  <si>
    <t>客家云萃</t>
  </si>
  <si>
    <t>深圳市华稷实业有限公司</t>
  </si>
  <si>
    <t>烈酒（饮料）;⽶酒;葡萄酒;梅酒;⽩酒;⻘稞酒;⾼粱酒;酒精饮料（啤酒除外）;果酒（含酒精）;清酒</t>
  </si>
  <si>
    <t>羊头家族</t>
  </si>
  <si>
    <t>温州醉客品牌文化管理有限公司</t>
  </si>
  <si>
    <t>以葡萄酒为主的饮料;葡萄酒;薄荷酒;酒精饮料（啤酒除外）;红葡萄酒;果酒（含酒精）;⽶酒;烧酒;鸡尾酒;⻩酒</t>
  </si>
  <si>
    <t>MANOIR DU BERGER</t>
  </si>
  <si>
    <t>薄荷酒;鸡尾酒;烧酒;果酒（含酒精）;红葡萄酒;酒精饮料（啤酒除外）;⽶酒;以葡萄酒为主的饮料;⻩酒;葡萄酒</t>
  </si>
  <si>
    <t>今世缘红一帆</t>
  </si>
  <si>
    <t>果酒（含酒精）;开胃酒;⽩酒;苦味酒;酒精饮料（啤酒除外）;预先混合的酒精饮料（以啤酒为主的除外）;蒸煮提取物（利⼝酒和烈酒）;鸡尾酒;葡萄酒;杜松⼦酒</t>
  </si>
  <si>
    <t>林斛冲</t>
  </si>
  <si>
    <t>霍山县林斛冲生物科技有限公司</t>
  </si>
  <si>
    <t>⽶酒;⻩酒;甜酒;⽩酒;酒精饮料（啤酒除外）;葡萄酒;烈酒（饮料）;清酒（⽇本⽶酒）;烧酒;果酒（含酒精）</t>
  </si>
  <si>
    <t>石醉九洲</t>
  </si>
  <si>
    <t>贵州第酱酒业有限公司</t>
  </si>
  <si>
    <t>果酒（含酒精）;苹果酒;餐后酒（利⼝酒和烈酒）;烈酒（饮料）;葡萄酒;露酒;⽩酒;蒸馏饮料;⽶酒;⾕物制蒸馏酒精饮料</t>
  </si>
  <si>
    <t>米辞</t>
  </si>
  <si>
    <t>海口龙华区雪优森食品经营部（个体工商户）</t>
  </si>
  <si>
    <t>葡萄酒;清酒（⽇本⽶酒）;威⼠忌;酒精饮料（啤酒除外）;甜酒;果酒;梅酒;⽩酒;⽶酒;⻩酒</t>
  </si>
  <si>
    <t>长江黄金游轮</t>
  </si>
  <si>
    <t>重庆长江黄金游轮有限公司</t>
  </si>
  <si>
    <t>酒精饮料（啤酒除外）;葡萄酒;开胃酒;利⼝酒;含⽔果酒精饮料;⽩酒;烈酒;果酒;清酒;⽶酒</t>
  </si>
  <si>
    <t>河南一六体育产业有限责任公司</t>
  </si>
  <si>
    <t>⽶酒;⾷⽤酒精;威⼠忌;酒精饮料（啤酒除外）;清酒（⽇本⽶酒）;果酒;葡萄酒;朗姆酒;⽩酒;⻩酒</t>
  </si>
  <si>
    <t>FORTUNE-RING 福星吉运</t>
  </si>
  <si>
    <t>湖南涓流润物文化创意有限公司</t>
  </si>
  <si>
    <t>⻩酒;伏特加酒;烧酒;威⼠忌;餐后酒（利⼝酒和烈酒）;烈酒（饮料）;⽩酒;酒精饮料（啤酒除外）;葡萄酒</t>
  </si>
  <si>
    <t>尚怀创·和</t>
  </si>
  <si>
    <t>长沙尚怀创农业科技有限公司</t>
  </si>
  <si>
    <t>果酒（含酒精）;⽶酒;酒精饮料原汁;烈酒（饮料）;⽩酒;葡萄酒;酒精饮料（啤酒除外）;清酒（⽇本⽶酒）;⽩兰地;烧酒</t>
  </si>
  <si>
    <t>醉郝果</t>
  </si>
  <si>
    <t>贵州醉领仙酒业有限公司</t>
  </si>
  <si>
    <t>酒精饮料原汁;烈酒（饮料）;葡萄酒;酒精饮料（啤酒除外）;⽩酒;⽶酒;由⾕物蒸馏的⽩酒;威⼠忌;鸡尾酒;伏特加酒</t>
  </si>
  <si>
    <t>正略</t>
  </si>
  <si>
    <t>遵义市恺翊谋商贸有限公司</t>
  </si>
  <si>
    <t>葡萄酒;⻩酒;果酒（含酒精）;烈酒（饮料）;⽩酒;⽩兰地;苹果酒;酒精饮料（啤酒除外）;烧酒;开胃酒</t>
  </si>
  <si>
    <t>东方黑</t>
  </si>
  <si>
    <t>霸州市天瑞铁路器材工程有限公司</t>
  </si>
  <si>
    <t>果酒（含酒精）;烈酒（饮料）;酒精饮料（啤酒除外）;以葡萄酒为主的饮料;⽩酒;⻩酒;鸡尾酒;⽶酒;烧酒;葡萄酒</t>
  </si>
  <si>
    <t>金种子九一六</t>
  </si>
  <si>
    <t>安徽金种子酒业股份有限公司</t>
  </si>
  <si>
    <t>果酒（含酒精）;烧酒;酒精饮料浓缩汁;烈酒（饮料）;葡萄酒;⻩酒;含⽔果酒精饮料;⽩酒;⽶酒;鸡尾酒</t>
  </si>
  <si>
    <t>东方缔标</t>
  </si>
  <si>
    <t>亳州市名杰酒类销售有限公司</t>
  </si>
  <si>
    <t>葡萄酒;酒精饮料（啤酒除外）;鸡尾酒;⻩酒;⽶酒;以朗姆酒为主的饮料;果酒（含酒精）;烈酒;烧酒;⽩酒</t>
  </si>
  <si>
    <t>嘉周珍果瑶</t>
  </si>
  <si>
    <t>周林松</t>
  </si>
  <si>
    <t>烧酒;红葡萄酒;果酒（含酒精）;除啤酒外的酒精饮料;含⽔果酒精饮料;葡萄酒;烈酒;⽩酒;以葡萄酒为主的饮料;酒精饮料原汁</t>
  </si>
  <si>
    <t>果酒（含酒精）;苦味酒;杜松⼦酒;酒精饮料（啤酒除外）;预先混合的酒精饮料（以啤酒为主的除外）;葡萄酒;⽩酒;开胃酒;鸡尾酒;蒸煮提取物（利⼝酒和烈酒）</t>
  </si>
  <si>
    <t>日丰企业集团有限公司</t>
  </si>
  <si>
    <t>柑⾹酒;葡萄酒;汽酒;鸡尾酒;烧酒;⽶酒;蒸馏饮料;⻩酒;果酒（含酒精）;烈酒（饮料）</t>
  </si>
  <si>
    <t>白水仙人</t>
  </si>
  <si>
    <t>常熟市金辉酒业销售有限公司</t>
  </si>
  <si>
    <t>⽩酒;含⽔果酒精饮料;威⼠忌;⻩酒;鸡尾酒;伏特加酒;葡萄酒;含酒精的⽓泡⽔;果酒（含酒精）;⽩兰地</t>
  </si>
  <si>
    <t>遂龄</t>
  </si>
  <si>
    <t>中粱（遂宁）酒业有限公司</t>
  </si>
  <si>
    <t>果酒;烧酒（烈酒）;⽩兰地;⽩酒;清酒;汽酒;⻩酒;威⼠忌;含酒精的饮料（啤酒除外）;蒸馏饮料</t>
  </si>
  <si>
    <t>院家将</t>
  </si>
  <si>
    <t>贵州德盛凯缘贸易有限公司</t>
  </si>
  <si>
    <t>蒸馏饮料;葡萄酒;⽶酒;⽩酒;⻩酒;鸡尾酒;⽼酒（中国蒸馏烈酒）;⾕物制蒸馏酒精饮料;含酒精的⽓泡⽔;果酒（含酒精）</t>
  </si>
  <si>
    <t>威⼠忌;果酒;烈酒（饮料）;酒精饮料（啤酒除外）;⽼酒（中国蒸馏烈酒）;含⽔果酒精饮料;⾼粱酒;⽩酒;鸡尾酒;葡萄酒</t>
  </si>
  <si>
    <t>白口</t>
  </si>
  <si>
    <t>⽶酒;含酒精的饮料（啤酒除外）;⾼粱酒;⽩⼲酒（中国⽩酒）;烧酒（烈酒）;果酒（含酒精）;朗姆酒;⽩酒;⽼酒（中国蒸馏烈酒）;烈酒</t>
  </si>
  <si>
    <t>雪颐莲</t>
  </si>
  <si>
    <t>山东安然纳米实业发展有限公司</t>
  </si>
  <si>
    <t>⻘稞酒;果酒（含酒精）;清酒（⽇本⽶酒）;烧酒;⽩兰地;葡萄酒;威⼠忌;⽶酒;⽩酒;鸡尾酒</t>
  </si>
  <si>
    <t>开胃酒;鸡尾酒;蒸煮提取物（利⼝酒和烈酒）;苦味酒;⽩酒;预先混合的酒精饮料（以啤酒为主的除外）;果酒（含酒精）;杜松⼦酒;酒精饮料（啤酒除外）;葡萄酒</t>
  </si>
  <si>
    <t>俵嫂熊猫羊</t>
  </si>
  <si>
    <t>华贵酒窖(广州)有限公司</t>
  </si>
  <si>
    <t>蜂蜜酒;⽶酒;葡萄酒;鸡尾酒;⽩酒;酒精饮料浓缩汁;⻩酒;预先混合的酒精饮料（以啤酒为主的除外）;烧酒;利⼝酒</t>
  </si>
  <si>
    <t>珍品龙酒十五</t>
  </si>
  <si>
    <t>贵州省仁怀市程润陈香酒业有限公司</t>
  </si>
  <si>
    <t>葡萄酒;清酒（⽇本⽶酒）;⽼酒（中国蒸馏烈酒）;酒精饮料（啤酒除外）;⽶酒;利⼝酒;⽩酒;果酒（含酒精）;⻩酒;开胃酒</t>
  </si>
  <si>
    <t>贵御珍品十五</t>
  </si>
  <si>
    <t>酒精饮料（啤酒除外）;⽩酒;⻩酒;⽶酒;⽼酒（中国蒸馏烈酒）;葡萄酒;果酒（含酒精）;开胃酒;利⼝酒;清酒（⽇本⽶酒）</t>
  </si>
  <si>
    <t>酷爱学</t>
  </si>
  <si>
    <t>黄志鹏</t>
  </si>
  <si>
    <t>烈酒（饮料）;葡萄酒;威⼠忌;鸡尾酒;汽酒;⽶酒;⽩酒;⽩兰地;酒精饮料（啤酒除外）;果酒（含酒精）</t>
  </si>
  <si>
    <t>积善黔行</t>
  </si>
  <si>
    <t>贵州省残疾人福利基金会</t>
  </si>
  <si>
    <t>⽼酒（中国蒸馏烈酒）;清酒;汽酒;⽩酒;烧酒;葡萄酒;烈酒（饮料）;⽶酒;果酒（含酒精）;⾷⽤酒精</t>
  </si>
  <si>
    <t>唐山市丰南文化旅游发展有限公司</t>
  </si>
  <si>
    <t>果酒（含酒精）;开胃酒;蒸馏饮料;酒精饮料（啤酒除外）;葡萄酒;薄荷酒;威⼠忌;⻩酒;含⽔果酒精饮料;⽩酒</t>
  </si>
  <si>
    <t>石少</t>
  </si>
  <si>
    <t>蒸馏饮料;⽶酒;苹果酒;⾕物制蒸馏酒精饮料;果酒（含酒精）;餐后酒（利⼝酒和烈酒）;露酒;葡萄酒;烈酒（饮料）;⽩酒</t>
  </si>
  <si>
    <t>种子九一六</t>
  </si>
  <si>
    <t>含⽔果酒精饮料;烈酒（饮料）;酒精饮料浓缩汁;果酒（含酒精）;⽶酒;葡萄酒;⻩酒;烧酒;鸡尾酒;⽩酒</t>
  </si>
  <si>
    <t>益阳市龙海商贸有限公司</t>
  </si>
  <si>
    <t>烈酒（饮料）;甜酒;果酒（含酒精）;酒精饮料（啤酒除外）;烧酒;⽩酒;露酒;清酒;蒸馏饮料;⽶酒</t>
  </si>
  <si>
    <t>北京京奥椅业有限公司</t>
  </si>
  <si>
    <t>⽶酒;鸡尾酒;伏特加酒;⾷⽤酒精;开胃酒;威⼠忌;酒精饮料（啤酒除外）;⻩酒;⽩酒;葡萄酒</t>
  </si>
  <si>
    <t>北域旗选</t>
  </si>
  <si>
    <t>吉林省北域严选贸易有限公司</t>
  </si>
  <si>
    <t>烈酒;⽼酒（中国蒸馏烈酒）;葡萄酒;开胃酒;伏特加酒;烧酒;蒸馏饮料;⽩酒;酒精饮料（啤酒除外）;果酒</t>
  </si>
  <si>
    <t>豫粟台</t>
  </si>
  <si>
    <t>河南中粟优选农业科技有限公司</t>
  </si>
  <si>
    <t>鸡尾酒;⽶酒;葡萄酒;⻩酒;⽩酒;果酒;清酒;烈酒（饮料）;烧酒;酒精饮料（啤酒除外）</t>
  </si>
  <si>
    <t>榴之阆</t>
  </si>
  <si>
    <t>阆中市玖君种养殖专业合作社</t>
  </si>
  <si>
    <t>预调甜酒;烧酒;含酒精⽔果饮料;含⽔果酒精饮料;预先混合的酒精饮料（以啤酒为主的除外）;甜果酒;⽢蔗制酒精饮料;以葡萄酒为主的饮料;⻘梅酒;果酒</t>
  </si>
  <si>
    <t>阿普贝思</t>
  </si>
  <si>
    <t>阿普贝思（北京）建筑景观设计咨询有限公司</t>
  </si>
  <si>
    <t>果酒（含酒精）;预先混合的酒精饮料（以啤酒为主的除外）;⽩酒;葡萄酒;朗姆酒;伏特加酒;含酒精的⽓泡⽔;烈酒（饮料）;含⽔果酒精饮料;⽶酒</t>
  </si>
  <si>
    <t>红俏</t>
  </si>
  <si>
    <t>武蒙华</t>
  </si>
  <si>
    <t>葡萄酒;⾼粱酒;伏特加酒;⻩酒;⽶酒;鸡尾酒;果酒（含酒精）;烈酒（饮料）;⽩酒;酒精饮料（啤酒除外）</t>
  </si>
  <si>
    <t>纽福兰</t>
  </si>
  <si>
    <t>宁波纽福兰商贸有限公司</t>
  </si>
  <si>
    <t>果酒;烧酒;⽩酒;酒精饮料浓缩汁;预先混合的酒精饮料（以啤酒为主的除外）;⾷⽤酒精;酒精饮料原汁;蒸馏饮料;⽶酒;酒精饮料（啤酒除外）</t>
  </si>
  <si>
    <t>升藏升窖</t>
  </si>
  <si>
    <t>张小华</t>
  </si>
  <si>
    <t>⽶酒;鸡尾酒;烧酒;果酒（含酒精）;⾷⽤酒精;餐后酒（利⼝酒和烈酒）;⽩酒;烈酒（饮料）;⽩兰地;开胃酒</t>
  </si>
  <si>
    <t>局大井</t>
  </si>
  <si>
    <t>蒋衍宾23108********1491X</t>
  </si>
  <si>
    <t>酒精饮料（啤酒除外）;⾷⽤酒精;清酒;⽩酒;⻩酒;果酒（含酒精）;⽶酒;葡萄酒;含⽔果酒精饮料;烧酒</t>
  </si>
  <si>
    <t>KNCORDY</t>
  </si>
  <si>
    <t>江苏康能生物工程股份有限公司</t>
  </si>
  <si>
    <t>烧酒;⽩酒;⻘稞酒;⾼粱酒;⽩⼲酒（中国⽩酒）;葡萄酒;果酒;⽶酒;⻩酒;清酒</t>
  </si>
  <si>
    <t>KONENCORDY</t>
  </si>
  <si>
    <t>⽩酒;果酒;⽩⼲酒（中国⽩酒）;⽶酒;清酒;⻩酒;葡萄酒;⾼粱酒;烧酒;⻘稞酒</t>
  </si>
  <si>
    <t>最逸</t>
  </si>
  <si>
    <t>赵鹏宇</t>
  </si>
  <si>
    <t>⽩兰地;酒精饮料（啤酒除外）;⽶酒;⾷⽤酒精;⻩酒;鸡尾酒;葡萄酒;果酒（含酒精）;含⽔果酒精饮料;⽩酒</t>
  </si>
  <si>
    <t>荷已解忧</t>
  </si>
  <si>
    <t>⽩酒;⽶酒;⾷⽤酒精;开胃酒;烧酒;⾕物制蒸馏酒精饮料;果酒（含酒精）;葡萄酒;含⽔果酒精饮料;酒精饮料（啤酒除外）</t>
  </si>
  <si>
    <t>荷您友约</t>
  </si>
  <si>
    <t>烧酒;⽶酒;⽩酒;葡萄酒;⾕物制蒸馏酒精饮料;酒精饮料（啤酒除外）;含⽔果酒精饮料;⾷⽤酒精;果酒（含酒精）;开胃酒</t>
  </si>
  <si>
    <t>LA SEVE DU CLOS</t>
  </si>
  <si>
    <t>阿诺恩特公司</t>
  </si>
  <si>
    <t>汉黟</t>
  </si>
  <si>
    <t>乔金生</t>
  </si>
  <si>
    <t>果酒（含酒精）;⽶酒;⽩酒;清酒（⽇本⽶酒）;⻩酒;烧酒;酒精饮料（啤酒除外）;开胃酒;餐后酒（利⼝酒和烈酒）;葡萄酒</t>
  </si>
  <si>
    <t>龚廷达</t>
  </si>
  <si>
    <t>樱桃酒;梅酒;葡萄酒;烧酒;清酒;⾼粱酒;果酒（含酒精）;酒精饮料（啤酒除外）;烈酒（饮料）;⽩酒</t>
  </si>
  <si>
    <t>润享海润</t>
  </si>
  <si>
    <t>海润国际贸易有限公司</t>
  </si>
  <si>
    <t>酒精饮料（啤酒除外）;开胃酒;⽩兰地;含⽔果酒精饮料;威⼠忌;苹果酒;果酒（含酒精）;⻩酒;葡萄酒;⽩酒;烈酒</t>
  </si>
  <si>
    <t>巴斯克葡瑞</t>
  </si>
  <si>
    <t>拉菲罗斯柴尔德酒庄</t>
  </si>
  <si>
    <t>葡萄酒;酒精饮料（啤酒除外）</t>
  </si>
  <si>
    <t>档口醉</t>
  </si>
  <si>
    <t>山西邦俐贸易有限公司</t>
  </si>
  <si>
    <t>烧酒;开胃酒;烈酒;清酒;葡萄酒;⾷⽤酒精;⽩酒;果酒;⾼粱酒;⻘稞酒</t>
  </si>
  <si>
    <t>穗稻韵</t>
  </si>
  <si>
    <t>陆景东</t>
  </si>
  <si>
    <t>葡萄酒;清酒（⽇本⽶酒）;酒精饮料（啤酒除外）;鸡尾酒;开胃酒;⽩酒;烈酒;果酒（含酒精）;威⼠忌;⻩酒</t>
  </si>
  <si>
    <t>三圣玖坊</t>
  </si>
  <si>
    <t>赵磊</t>
  </si>
  <si>
    <t>果酒（含酒精）;⽶酒;⽩酒;葡萄酒;⽩兰地;⻩酒;威⼠忌;酒精饮料（啤酒除外）;⾷⽤酒精;鸡尾酒</t>
  </si>
  <si>
    <t>牧盟</t>
  </si>
  <si>
    <t>陈文首</t>
  </si>
  <si>
    <t>餐后酒（利⼝酒和烈酒）;葡萄酒;威⼠忌;⽩酒;烧酒;鸡尾酒;果酒（含酒精）;含⽔果酒精饮料;酒精饮料（啤酒除外）;烈酒</t>
  </si>
  <si>
    <t>百圆民</t>
  </si>
  <si>
    <t>张洪台</t>
  </si>
  <si>
    <t>⽩兰地;蒸馏饮料;⽩酒;威⼠忌;烈酒（饮料）;果酒（含酒精）;⽶酒;酒精饮料（啤酒除外）;⻩酒;葡萄酒</t>
  </si>
  <si>
    <t>雷庄松泉</t>
  </si>
  <si>
    <t>雷修才</t>
  </si>
  <si>
    <t>酒精饮料原汁;含⽔果酒精饮料;甜酒;以蒸馏酒为主的开胃酒;烧酒（烈酒）;⽶酒;⽩酒;⽼酒（中国蒸馏烈酒）;红葡萄酒;葡萄酒</t>
  </si>
  <si>
    <t>缔造清花</t>
  </si>
  <si>
    <t>霍乃喜</t>
  </si>
  <si>
    <t>⾼粱酒;露酒;⽩酒;烈酒（饮料）;果酒（含酒精）;烧酒;由⾕物蒸馏的⽩酒;烧酒（烈酒）;⽩⼲酒（中国⽩酒）;⽼酒（中国蒸馏烈酒）</t>
  </si>
  <si>
    <t>锐亚</t>
  </si>
  <si>
    <t>张凯</t>
  </si>
  <si>
    <t>⾼粱酒;酒精饮料（啤酒除外）;⽶酒;烈酒（饮料）;伏特加酒;鸡尾酒;⽩酒;⻩酒;葡萄酒;果酒（含酒精）</t>
  </si>
  <si>
    <t>花果汇米</t>
  </si>
  <si>
    <t>韩青华</t>
  </si>
  <si>
    <t>⽶酒;鸡尾酒;⽩酒;烧酒;含⽔果酒精饮料;苹果酒;烈酒（饮料）;⻩酒;葡萄酒;开胃酒</t>
  </si>
  <si>
    <t>正元喜顺</t>
  </si>
  <si>
    <t>承德星瀚商贸有限公司</t>
  </si>
  <si>
    <t>⽶酒;果酒（含酒精）;含⽔果酒精饮料;蒸馏饮料;清酒;利⼝酒;酒精饮料（啤酒除外）;汽酒;⽩酒;葡萄酒</t>
  </si>
  <si>
    <t>澳感</t>
  </si>
  <si>
    <t>⻩酒;鸡尾酒;果酒（含酒精）;⾼粱酒;烈酒（饮料）;伏特加酒;酒精饮料（啤酒除外）;⽩酒;⽶酒;葡萄酒</t>
  </si>
  <si>
    <t>云华十二先生</t>
  </si>
  <si>
    <t>杭州十二先生文化发展有限公司</t>
  </si>
  <si>
    <t>⻩酒;⽶酒;预先混合的酒精饮料（以啤酒为主的除外）;果酒（含酒精）;烧酒;含⽔果酒精饮料;清酒;酒精饮料（啤酒除外）;⽩酒;葡萄酒</t>
  </si>
  <si>
    <t>百圆老</t>
  </si>
  <si>
    <t>葡萄酒;⻩酒;⽩酒;烈酒（饮料）;蒸馏饮料;⽶酒;果酒（含酒精）;⽩兰地;威⼠忌;酒精饮料（啤酒除外）</t>
  </si>
  <si>
    <t>永丰炮</t>
  </si>
  <si>
    <t>北京永丰众诚餐饮有限公司</t>
  </si>
  <si>
    <t>蒸煮提取物（利⼝酒和烈酒）;⽩⼲酒（中国⽩酒）;红葡萄酒;⻩酒;五加⽪酒（中国混合烈酒）;⽩酒;烈酒（饮料）;烧酒;⽼酒（中国蒸馏烈酒）;⽶酒</t>
  </si>
  <si>
    <t>楚豫隆</t>
  </si>
  <si>
    <t>彭胡望</t>
  </si>
  <si>
    <t>鸡尾酒;果酒（含酒精）;葡萄酒;酒精饮料（啤酒除外）;⽩⼲酒（中国⽩酒）;烈酒（饮料）;⽶酒;⻩酒;⽩酒;烧酒</t>
  </si>
  <si>
    <t>空动</t>
  </si>
  <si>
    <t>杨桢琦</t>
  </si>
  <si>
    <t>葡萄酒;⻩酒;伏特加酒;⾼粱酒;果酒（含酒精）;⽶酒;烈酒（饮料）;⽩酒;酒精饮料（啤酒除外）;鸡尾酒</t>
  </si>
  <si>
    <t>皇家八珍</t>
  </si>
  <si>
    <t>河北山庄老酒股份有限公司</t>
  </si>
  <si>
    <t>酒精饮料（啤酒除外）;⾷⽤酒精;⽼酒（中国蒸馏烈酒）;⽩酒;烧酒;蒸煮提取物（利⼝酒和烈酒）;烈酒（饮料）;葡萄酒;汽酒;⻩酒</t>
  </si>
  <si>
    <t>安巴五月</t>
  </si>
  <si>
    <t>道孚县安巴五月农业科技发展有限公司</t>
  </si>
  <si>
    <t>⽶酒;清酒;⻘稞酒;⻩酒;葡萄酒;鸡尾酒;伏特加酒;⽩酒;果酒（含酒精）;酒精饮料原汁</t>
  </si>
  <si>
    <t>路易莎庄园</t>
  </si>
  <si>
    <t>葡萄酒;红葡萄酒;鸡尾酒;甜酒;⽩葡萄酒;葡萄汽酒;⽩兰地;利⼝酒;威⼠忌;果酒</t>
  </si>
  <si>
    <t>黄山姊妹文化发展有限公司</t>
  </si>
  <si>
    <t>⻩酒;汽酒;伏特加酒;酒精饮料（啤酒除外）;葡萄酒;蜂蜜酒;⽩酒;果酒（含酒精）;清酒（⽇本⽶酒）;⽶酒</t>
  </si>
  <si>
    <t>东大方</t>
  </si>
  <si>
    <t>长兴兴方餐饮有限公司</t>
  </si>
  <si>
    <t>果酒（含酒精）;鸡尾酒;⽶酒;烧酒;⽩酒;杨梅酒;含酒精的⽔果鸡尾酒饮料;⻩酒;葡萄酒;天然汽酒</t>
  </si>
  <si>
    <t>化石鸟五洲龙脉</t>
  </si>
  <si>
    <t>王新文</t>
  </si>
  <si>
    <t>果酒（含酒精）;葡萄酒;酒精饮料（啤酒除外）;汽酒;⾷⽤酒精;⽶酒;烧酒;⻩酒;⽩酒;蜂蜜酒</t>
  </si>
  <si>
    <t>早磨坊</t>
  </si>
  <si>
    <t>黑龙江大明宝贝面粉有限公司</t>
  </si>
  <si>
    <t>含⽔果酒精饮料;⽩兰地;烈酒（饮料）;⽶酒;清酒;果酒（含酒精）;葡萄酒;⽩酒;酒精饮料（啤酒除外）;鸡尾酒</t>
  </si>
  <si>
    <t>历史宾</t>
  </si>
  <si>
    <t>陈子雷</t>
  </si>
  <si>
    <t>⽶酒;红葡萄酒;⻘梅酒;果酒;甜酒;⽩酒;威⼠忌;酒精饮料（啤酒除外）;⻩酒;汽酒</t>
  </si>
  <si>
    <t>诗意酒澜 酒</t>
  </si>
  <si>
    <t>河南诚仕源贸易有限公司</t>
  </si>
  <si>
    <t>葡萄酒;⽩兰地;威⼠忌;含酒精蛋奶酒;⽼酒（中国蒸馏烈酒）;果酒（含酒精）;⽩酒;酒精饮料（啤酒除外）;含⽔果酒精饮料;甜酒</t>
  </si>
  <si>
    <t>愿福酒乡</t>
  </si>
  <si>
    <t>酒精饮料（啤酒除外）;汽酒;⻘梅酒;威⼠忌;果酒;甜酒;⽶酒;红葡萄酒;⽩酒;⻩酒</t>
  </si>
  <si>
    <t>银河富贵</t>
  </si>
  <si>
    <t>红葡萄酒;甜酒;⽩酒;果酒;威⼠忌;酒精饮料（啤酒除外）;汽酒;⻩酒;⻘梅酒;⽶酒</t>
  </si>
  <si>
    <t>BLUE BASH ORIGINAL</t>
  </si>
  <si>
    <t>张婷婷</t>
  </si>
  <si>
    <t>利⼝酒;鸡尾酒;威⼠忌;除啤酒外的酒精饮料;⽩酒;⽩兰地;酒精饮料（啤酒除外）;果酒（含酒精）;葡萄酒;清酒</t>
  </si>
  <si>
    <t>烈域酒业</t>
  </si>
  <si>
    <t>郭淼</t>
  </si>
  <si>
    <t>鸡尾酒;含⽔果酒精饮料;⽶酒;⾷⽤酒精;酒精饮料（啤酒除外）;⻩酒;⽩酒;果酒（含酒精）;葡萄酒;⽩兰地</t>
  </si>
  <si>
    <t>赢福清花</t>
  </si>
  <si>
    <t>黄国富</t>
  </si>
  <si>
    <t>酒精饮料（啤酒除外）;⽩兰地;⽶酒;⻩酒;梨酒;甜酒;⽩酒;烧酒;威⼠忌;汽酒</t>
  </si>
  <si>
    <t>眼见未来</t>
  </si>
  <si>
    <t>王山林</t>
  </si>
  <si>
    <t>利⼝酒;⽶酒;⽩酒;⻘稞酒;⻩酒;烈酒（饮料）;葡萄酒;清酒（⽇本⽶酒）;烧酒;果酒（含酒精）</t>
  </si>
  <si>
    <t>霖醇布鲁大师</t>
  </si>
  <si>
    <t>果酒（含酒精）;鸡尾酒;利⼝酒;⽩兰地;威⼠忌;⽩酒;除啤酒外的酒精饮料;清酒;葡萄酒;酒精饮料（啤酒除外）</t>
  </si>
  <si>
    <t>观滘</t>
  </si>
  <si>
    <t>赵仁杰</t>
  </si>
  <si>
    <t>果酒（含酒精）;⽩兰地;酒精饮料（啤酒除外）;含⽔果酒精饮料;⾷⽤酒精;⽩酒;鸡尾酒;葡萄酒;⻩酒;⽶酒</t>
  </si>
  <si>
    <t>财赋金窖</t>
  </si>
  <si>
    <t>威⼠忌;⽶酒;酒精饮料（啤酒除外）;⻩酒;果酒;⽩酒;汽酒;⻘梅酒;红葡萄酒;甜酒</t>
  </si>
  <si>
    <t>源布鲁</t>
  </si>
  <si>
    <t>鸡尾酒;⽩兰地;酒精饮料（啤酒除外）;除啤酒外的酒精饮料;清酒;利⼝酒;⽩酒;葡萄酒;威⼠忌;果酒（含酒精）</t>
  </si>
  <si>
    <t>阿卜杜热合曼·如则麦麦提</t>
  </si>
  <si>
    <t>桃红葡萄酒;威⼠忌;混合威⼠忌酒;烈酒;⽩酒;朗姆酒（酒精饮料）;⽼酒（中国蒸馏烈酒）;果酒;开胃酒;含⽔果酒精饮料</t>
  </si>
  <si>
    <t>戴台</t>
  </si>
  <si>
    <t>贵州鼎汇茂生态农业开发有限公司</t>
  </si>
  <si>
    <t>蒸馏饮料;苹果酒;餐后酒（利⼝酒和烈酒）;露酒;烈酒（饮料）;⽶酒;果酒（含酒精）;葡萄酒;⽩酒;⾕物制蒸馏酒精饮料</t>
  </si>
  <si>
    <t>葡萄酒;⽶酒;⻩酒;含酒精的⽔果鸡尾酒饮料;天然汽酒;鸡尾酒;⽩酒;烧酒;杨梅酒;果酒（含酒精）</t>
  </si>
  <si>
    <t>龙凤砖</t>
  </si>
  <si>
    <t>陕西秦砖酒业有限公司</t>
  </si>
  <si>
    <t>清酒（⽇本⽶酒）;预先混合的酒精饮料（以啤酒为主的除外）;⽩⼲酒（中国⽩酒）;烧酒（烈酒）;烈性⼲酒;以蒸馏酒为主的开胃酒;除啤酒外的酒精饮料;烈酒;⽼酒（中国蒸馏烈酒）;烈酒（饮料）</t>
  </si>
  <si>
    <t>众鑫和瑞</t>
  </si>
  <si>
    <t>陕西众鑫和瑞商贸有限公司</t>
  </si>
  <si>
    <t>果酒;⻩酒;除啤酒外的酒精饮料;葡萄酒;以葡萄酒为主的饮料;⽶酒;以葡萄酒为主的开胃酒;由⾕物蒸馏的⽩酒;⽔果汽酒;⽩酒</t>
  </si>
  <si>
    <t>家庭卫仕</t>
  </si>
  <si>
    <t>杭州方回春堂集团有限公司</t>
  </si>
  <si>
    <t>果酒（含酒精）;蒸馏饮料;酒精饮料（啤酒除外）;含⽔果酒精饮料;酒精饮料浓缩汁;⾷⽤酒精;烈酒（饮料）;开胃酒;葡萄酒;⽩酒</t>
  </si>
  <si>
    <t>紫韵杉</t>
  </si>
  <si>
    <t>⽩兰地;鸡尾酒;葡萄酒;威⼠忌;⻘稞酒;⽩酒;果酒（含酒精）;清酒（⽇本⽶酒）;烧酒;⽶酒</t>
  </si>
  <si>
    <t>喆M纯 ZHE M CHUN</t>
  </si>
  <si>
    <t>沈塑琼</t>
  </si>
  <si>
    <t>鸡尾酒;蜂蜜酒;果酒（含酒精）;葡萄酒;⽩酒;⽶酒;⻩酒;烧酒;清酒（⽇本⽶酒）;酒精饮料（啤酒除外）</t>
  </si>
  <si>
    <t>飞龙颂</t>
  </si>
  <si>
    <t>黄庆新</t>
  </si>
  <si>
    <t>葡萄酒;果酒（含酒精）;鸡尾酒;⽶酒;伏特加酒;⽩⼲酒（中国⽩酒）;酒精饮料（啤酒除外）;⽩酒;威⼠忌;⻩酒</t>
  </si>
  <si>
    <t>藏世匠香</t>
  </si>
  <si>
    <t>酒精饮料（啤酒除外）;⽩酒;⽩兰地;⽶酒;烧酒;甜酒;威⼠忌;汽酒;⻩酒;梨酒</t>
  </si>
  <si>
    <t>帝爹拉蓝钻 18</t>
  </si>
  <si>
    <t>葡萄酒;⽩酒;⻩酒;利⼝酒;⽶酒;开胃酒;蜂蜜酒;果酒（含酒精）;⽩兰地;威⼠忌</t>
  </si>
  <si>
    <t>历史仁</t>
  </si>
  <si>
    <t>酒精饮料（啤酒除外）;汽酒;甜酒;⻘梅酒;果酒;⽩酒;⽶酒;⻩酒;红葡萄酒;威⼠忌</t>
  </si>
  <si>
    <t>风正名仕</t>
  </si>
  <si>
    <t>贵州省仁怀市雅号酒业有限公司</t>
  </si>
  <si>
    <t>含⽔果酒精饮料;⽶酒;利⼝酒;烧酒;⾷⽤酒精;果酒（含酒精）;葡萄酒;⽩酒;⻩酒;烈酒（饮料）</t>
  </si>
  <si>
    <t>常禾筱酒</t>
  </si>
  <si>
    <t>王荣琼</t>
  </si>
  <si>
    <t>烈酒（饮料）;开胃酒;⻩酒;⽩酒;蒸馏饮料;葡萄酒;⽶酒;果酒;⾷⽤酒精;烧酒</t>
  </si>
  <si>
    <t>梅日乐</t>
  </si>
  <si>
    <t>黄宝锋</t>
  </si>
  <si>
    <t>酒精饮料（啤酒除外）;鸡尾酒;含⽔果酒精饮料;⽶酒;梅酒;⽩酒;葡萄酒;⻩酒;⾷⽤酒精;果酒（含酒精）</t>
  </si>
  <si>
    <t>青年神果</t>
  </si>
  <si>
    <t>刘晓政</t>
  </si>
  <si>
    <t>含酒精的饮料（啤酒除外）;威⼠忌;⽶酒;⾷⽤酒精;葡萄酒;⽩酒;⻘稞酒;含酒精⽔果饮料;开胃酒;含酒精的⽔果鸡尾酒饮料</t>
  </si>
  <si>
    <t>以一正</t>
  </si>
  <si>
    <t>苏州天池酒业有限公司</t>
  </si>
  <si>
    <t>葡萄酒;烈酒（饮料）;酒精饮料原汁;⻩酒;⽩酒;酒精饮料（啤酒除外）;果酒（含酒精）;⽶酒;烧酒;利⼝酒</t>
  </si>
  <si>
    <t>九隆彩</t>
  </si>
  <si>
    <t>重庆九隆彩商贸有限公司</t>
  </si>
  <si>
    <t>酸酒（低等葡萄酒）;以葡萄酒为主的饮料;不起泡葡萄酒;起泡红葡萄酒;起泡⽩葡萄酒;桃红葡萄酒;阿蒙蒂拉多⽩葡萄酒;红葡萄酒;葡萄酒;⽩葡萄酒</t>
  </si>
  <si>
    <t>清花牧遥</t>
  </si>
  <si>
    <t>南京绿金讯车停车管理服务有限公司</t>
  </si>
  <si>
    <t>烈酒（饮料）;⽼酒（中国蒸馏烈酒）;果酒（含酒精）;由⾕物蒸馏的⽩酒;烧酒（烈酒）;⾼粱酒;烧酒;露酒;⽩酒;⽩⼲酒（中国⽩酒）</t>
  </si>
  <si>
    <t>RA.BURI</t>
  </si>
  <si>
    <t>广州裕泰盛绿色食品科技有限公司</t>
  </si>
  <si>
    <t>酒精饮料（啤酒除外）;以葡萄酒为主的饮料;果酒（含酒精）;鸡尾酒;含酒精的⽓泡⽔;含⽔果酒精饮料;汽酒;清酒（⽇本⽶酒）;威⼠忌;葡萄酒</t>
  </si>
  <si>
    <t>古泉禧</t>
  </si>
  <si>
    <t>⽶酒;⻩酒;威⼠忌;梨酒;⽩兰地;汽酒;烧酒;甜酒;⽩酒;酒精饮料（啤酒除外）</t>
  </si>
  <si>
    <t>龙樽河</t>
  </si>
  <si>
    <t>魏津</t>
  </si>
  <si>
    <t>鸡尾酒;含⽔果酒精饮料;⾷⽤酒精;⽩酒;葡萄酒;酒精饮料（啤酒除外）;⽩兰地;⽶酒;⻩酒;果酒（含酒精）</t>
  </si>
  <si>
    <t>黔味醉厨茗</t>
  </si>
  <si>
    <t>赵阳</t>
  </si>
  <si>
    <t>⾷⽤酒精;酒精饮料（啤酒除外）;果酒;⾕物制蒸馏酒精饮料;⻘稞酒;⽶酒;含酒精的⽓泡⽔;⽩酒;汽酒;由⾕物蒸馏的⽩酒</t>
  </si>
  <si>
    <t>FAMILLE LOUIS HAULLER</t>
  </si>
  <si>
    <t>豪勒家族酒庄</t>
  </si>
  <si>
    <t>葡萄酒;起泡红葡萄酒;果酒（含酒精）;起泡⽩葡萄酒;酒精饮料（啤酒除外）;红葡萄酒;⽩葡萄酒;蒸煮提取物（利⼝酒和烈酒）;以葡萄酒为主的饮料;烈酒（饮料）</t>
  </si>
  <si>
    <t>黄丽蓉</t>
  </si>
  <si>
    <t>葡萄酒;蒸馏饮料;⽩兰地;威⼠忌;⽶酒;⽩酒;果酒（含酒精）;鸡尾酒;⻩酒;烧酒</t>
  </si>
  <si>
    <t>洞主洞香</t>
  </si>
  <si>
    <t>朱辉灵</t>
  </si>
  <si>
    <t>开胃酒;烧酒;蜂蜜酒;含⽔果酒精饮料;⻩酒;鸡尾酒;葡萄酒;⽶酒;⽩酒;果酒（含酒精）</t>
  </si>
  <si>
    <t>礼藏名</t>
  </si>
  <si>
    <t>⽶酒;酒精饮料（啤酒除外）;汽酒;甜酒;⽩酒;梨酒;烧酒;威⼠忌;⻩酒;⽩兰地</t>
  </si>
  <si>
    <t>励首</t>
  </si>
  <si>
    <t>汽酒;⻩酒;⽩酒;威⼠忌;烧酒;酒精饮料（啤酒除外）;⽶酒;⽩兰地;甜酒;梨酒</t>
  </si>
  <si>
    <t>WEALTH INFLUENCE</t>
  </si>
  <si>
    <t>邵逸文</t>
  </si>
  <si>
    <t>鸡尾酒;杜松⼦酒;烈酒（饮料）;威⼠忌;葡萄酒;⽩兰地;酒精饮料（啤酒除外）;⽩酒;蒸煮提取物（利⼝酒和烈酒）;以葡萄酒为主的饮料</t>
  </si>
  <si>
    <t>蘑凰</t>
  </si>
  <si>
    <t>杨志鹏</t>
  </si>
  <si>
    <t>⽶酒;葡萄酒;五加⽪酒（中国混合烈酒）;⽇式甜⽶酒;⻘稞酒;蜂蜜酒;⽩酒;鸡尾酒;甜酒;果酒（含酒精）</t>
  </si>
  <si>
    <t>罗兹剑</t>
  </si>
  <si>
    <t>⽩酒;⽩⼲酒（中国⽩酒）;⻩酒;烈酒;刺五加酒;⽼酒（中国蒸馏烈酒）;酒精饮料（啤酒除外）;⽶酒;果酒;烧酒</t>
  </si>
  <si>
    <t>福元满</t>
  </si>
  <si>
    <t>曾春英</t>
  </si>
  <si>
    <t>鸡尾酒;葡萄酒;含酒精的饮料（啤酒除外）;露酒;梅酒;果酒;松叶酒;⽩酒;樱桃酒;汽酒</t>
  </si>
  <si>
    <t>君献天下</t>
  </si>
  <si>
    <t>甜酒;⽩酒;⽶酒;酒精饮料（啤酒除外）;汽酒;威⼠忌;红葡萄酒;⻘梅酒;果酒;⻩酒</t>
  </si>
  <si>
    <t>沪锚</t>
  </si>
  <si>
    <t>贵州省仁怀市联合企业管理有限公司</t>
  </si>
  <si>
    <t>⽶酒;果酒（含酒精）;酒精饮料原汁;烧酒;⽩酒;⾼粱酒;蒸馏饮料;烈酒（饮料）;酒精饮料浓缩汁;葡萄酒</t>
  </si>
  <si>
    <t>叶小包</t>
  </si>
  <si>
    <t>深圳市意利投资控股有限公司</t>
  </si>
  <si>
    <t>鸡尾酒;酒精饮料（啤酒除外）;含⽔果酒精饮料;葡萄酒;果酒（含酒精）;预先混合的酒精饮料（以啤酒为主的除外）;⾕物制蒸馏酒精饮料;烈酒（饮料）;酒精饮料浓缩汁;酒精饮料原汁</t>
  </si>
  <si>
    <t>白渡湾</t>
  </si>
  <si>
    <t>王昌学</t>
  </si>
  <si>
    <t>烈酒（饮料）;葡萄汽酒;果酒（含酒精）;⽶酒;⻩酒;⾷⽤酒精;⽩酒;红葡萄酒;烧酒;以葡萄酒为主的饮料</t>
  </si>
  <si>
    <t>酒村基</t>
  </si>
  <si>
    <t>⻩酒;⻘梅酒;⽩酒;⽶酒;果酒;威⼠忌;红葡萄酒;汽酒;甜酒;酒精饮料（啤酒除外）</t>
  </si>
  <si>
    <t>青香双禧</t>
  </si>
  <si>
    <t>⻘梅酒;⽶酒;汽酒;⻩酒;威⼠忌;果酒;酒精饮料（啤酒除外）;红葡萄酒;⽩酒;甜酒</t>
  </si>
  <si>
    <t>尽君欢</t>
  </si>
  <si>
    <t>果酒（含酒精）;威⼠忌;烧酒;⻩酒;清酒（⽇本⽶酒）;葡萄酒;⽩酒;酒精饮料（啤酒除外）;烈酒（饮料）;薄荷酒</t>
  </si>
  <si>
    <t>青香筑</t>
  </si>
  <si>
    <t>威⼠忌;酒精饮料（啤酒除外）;⻩酒;⽩酒;烧酒;⽩兰地;⽶酒;梨酒;甜酒;汽酒</t>
  </si>
  <si>
    <t>育人者</t>
  </si>
  <si>
    <t>莱阳市童蒙教育科技有限公司</t>
  </si>
  <si>
    <t>果酒（含酒精）;烈酒（饮料）;含⽔果酒精饮料;蒸馏饮料;鸡尾酒;利⼝酒;葡萄酒;⻩酒;⽩酒;酒精饮料（啤酒除外）</t>
  </si>
  <si>
    <t>人远</t>
  </si>
  <si>
    <t>贵州省仁怀市鼎泰丰酒业有限公司</t>
  </si>
  <si>
    <t>葡萄酒;含酒精的饮料（啤酒除外）;清酒（⽇本⽶酒）;⻩酒;⾕物制蒸馏酒精饮料;蜂蜜酒;⽶酒;烈酒;⽩酒;果酒（含酒精）</t>
  </si>
  <si>
    <t>芒杏河</t>
  </si>
  <si>
    <t>含⽔果酒精饮料;⽩酒;⽼酒（中国蒸馏烈酒）;汽酒;红葡萄酒;蒸馏⽶酒（泡盛酒）;除啤酒外的酒精饮料;烈酒;由⾕物蒸馏的⽩酒;清酒</t>
  </si>
  <si>
    <t>兴忠义</t>
  </si>
  <si>
    <t>武威市兴忠义商贸有限公司</t>
  </si>
  <si>
    <t>酒精饮料（啤酒除外）;清酒;⽶酒;⽩酒;红葡萄酒;预先混合的酒精饮料（以啤酒为主的除外）;含⽔果酒精饮料;含酒精的鸡尾酒混合饮品;果酒（含酒精）;⻩酒</t>
  </si>
  <si>
    <t>九华铭</t>
  </si>
  <si>
    <t>鸡尾酒;⽶酒;伏特加酒;果酒（含酒精）;酒精饮料（啤酒除外）;⻩酒;威⼠忌;葡萄酒;⽩⼲酒（中国⽩酒）;⽩酒</t>
  </si>
  <si>
    <t>传贤基</t>
  </si>
  <si>
    <t>汽酒;⻩酒;红葡萄酒;⻘梅酒;酒精饮料（啤酒除外）;⽩酒;⽶酒;威⼠忌;果酒;甜酒</t>
  </si>
  <si>
    <t>域拉图杰德城堡  YULATU JED CASTLE</t>
  </si>
  <si>
    <t>周建丽</t>
  </si>
  <si>
    <t>果酒（含酒精）;鸡尾酒;烈酒（饮料）;酒精饮料（啤酒除外）;⽢蔗制烈酒;葡萄酒;⻩酒;烧酒;⽶酒;⽩酒</t>
  </si>
  <si>
    <t>工承</t>
  </si>
  <si>
    <t>⽶酒;甜酒;烧酒;汽酒;⻩酒;酒精饮料（啤酒除外）;⽩酒;梨酒;威⼠忌;⽩兰地</t>
  </si>
  <si>
    <t>湘愿</t>
  </si>
  <si>
    <t>甜酒;烧酒;⽩酒;威⼠忌;⻩酒;酒精饮料（啤酒除外）;汽酒;⽩兰地;梨酒;⽶酒</t>
  </si>
  <si>
    <t>戎钓</t>
  </si>
  <si>
    <t>王芝超</t>
  </si>
  <si>
    <t>酒精饮料（啤酒除外）;⽶酒;⻩酒;⽩酒;烈酒（饮料）;清酒（⽇本⽶酒）;烧酒;⾷⽤酒精;葡萄酒;果酒（含酒精）</t>
  </si>
  <si>
    <t>伯欢康逸</t>
  </si>
  <si>
    <t>李靖朝</t>
  </si>
  <si>
    <t>烈酒（饮料）;⽶酒;果酒（含酒精）;鸡尾酒;开胃酒;酒精饮料（啤酒除外）;⾷⽤酒精;葡萄酒;甜果酒;⽩酒</t>
  </si>
  <si>
    <t>赣胜</t>
  </si>
  <si>
    <t>顾玉红</t>
  </si>
  <si>
    <t>葡萄酒;⽩⼲酒（中国⽩酒）;烧酒;⽶酒;⾼粱酒;果酒（含酒精）;⻘稞酒;⽩酒;⾷⽤酒精;烈酒</t>
  </si>
  <si>
    <t>君康芪业（固阳）科技有限公司</t>
  </si>
  <si>
    <t>葡萄酒;⽩酒</t>
  </si>
  <si>
    <t>天使宝贝布鲁大师</t>
  </si>
  <si>
    <t>果酒（含酒精）;鸡尾酒;利⼝酒;⽩兰地;威⼠忌;酒精饮料（啤酒除外）;⽩酒;除啤酒外的酒精饮料;葡萄酒;清酒</t>
  </si>
  <si>
    <t>德恺庄园</t>
  </si>
  <si>
    <t>葡萄酒;⽩酒;混合威⼠忌酒;伏特加酒;加烈葡萄酒;烈酒（饮料）;⽩兰地;果酒（含酒精）;杜松⼦酒;利⼝酒</t>
  </si>
  <si>
    <t>波利蒙帝</t>
  </si>
  <si>
    <t>江法兴</t>
  </si>
  <si>
    <t>葡萄酒;鸡尾酒;酒精饮料（啤酒除外）;⽶酒;烧酒;⻩酒;⽩酒;开胃酒;烈酒（饮料）;果酒（含酒精）</t>
  </si>
  <si>
    <t>燕济堂</t>
  </si>
  <si>
    <t>燕济堂（柳州）科技有限公司</t>
  </si>
  <si>
    <t>烈酒（饮料）;酒精饮料（啤酒除外）;威⼠忌;⻩酒;烧酒;蒸馏饮料;⽩酒;果酒（含酒精）;含⽔果酒精饮料;葡萄酒</t>
  </si>
  <si>
    <t>笋香飞哥</t>
  </si>
  <si>
    <t>湖南竹芝实业有限责任公司</t>
  </si>
  <si>
    <t>果酒;开胃酒;鸡尾酒;葡萄酒;⽶酒;酒精饮料（啤酒除外）;烈酒;⽩酒;蜂蜜酒;⾷⽤酒精</t>
  </si>
  <si>
    <t>鸿渐陆羽</t>
  </si>
  <si>
    <t>贵州鱼鳅寨农业科技有限公司</t>
  </si>
  <si>
    <t>葡萄酒;果酒（含酒精）;⻩酒;⽶酒;开胃酒;⽩兰地;伏特加酒;鸡尾酒;⽩酒;威⼠忌</t>
  </si>
  <si>
    <t>印象中境</t>
  </si>
  <si>
    <t>葡萄酒;⻩酒;伏特加酒;⽶酒;鸡尾酒;⽩酒;威⼠忌;⽩兰地;果酒（含酒精）;开胃酒</t>
  </si>
  <si>
    <t>诱品大师</t>
  </si>
  <si>
    <t>果酒（含酒精）;开胃酒;蜂蜜酒;葡萄酒;烧酒;⽩酒;⻩酒;鸡尾酒;酒精饮料（啤酒除外）;清酒（⽇本⽶酒）</t>
  </si>
  <si>
    <t>香伴左右</t>
  </si>
  <si>
    <t>清酒;⽩酒;⻩酒;⽶酒;葡萄酒;果酒;汽酒;开胃酒;甜酒;⾷⽤酒精</t>
  </si>
  <si>
    <t>旌城福兴</t>
  </si>
  <si>
    <t>牛官兵</t>
  </si>
  <si>
    <t>⻘稞酒;⽼酒（中国蒸馏烈酒）;⽩酒;⾼粱酒;果酒（含酒精）;⽶酒;⽩⼲酒（中国⽩酒）;⾕物制蒸馏酒精饮料;烧酒;由⾕物蒸馏的⽩酒</t>
  </si>
  <si>
    <t>塔罗船长</t>
  </si>
  <si>
    <t>刘向娟</t>
  </si>
  <si>
    <t>果酒（含酒精）;烈性⼲酒;葡萄酒;蒸煮提取物（利⼝酒和烈酒）;威⼠忌;⽩兰地;⽩酒;伏特加酒;葡萄汽酒;酸酒（低等葡萄酒）</t>
  </si>
  <si>
    <t>兰南</t>
  </si>
  <si>
    <t>庞书迪</t>
  </si>
  <si>
    <t>含⽔果酒精饮料;⽩酒;葡萄酒;含酒精的⽓泡⽔;汽酒;含酒精的充⽓饮料（啤酒除外）;⻩酒;甜果酒;鸡尾酒;果酒（含酒精）</t>
  </si>
  <si>
    <t>FLUFFY FLORA</t>
  </si>
  <si>
    <t>青岛福麟辉品牌管理有限公司</t>
  </si>
  <si>
    <t>酒精饮料浓缩汁;果酒（含酒精）;蜂蜜酒;苹果酒;汽酒;含⽔果酒精饮料;除啤酒外的酒精饮料;葡萄酒;酒精饮料（啤酒除外）;鸡尾酒</t>
  </si>
  <si>
    <t>RHINO VINI</t>
  </si>
  <si>
    <t>胡克林</t>
  </si>
  <si>
    <t>蒸馏饮料;威⼠忌;葡萄酒;清酒;汽酒;鸡尾酒;⽩兰地;⻩酒;果酒;⽩酒</t>
  </si>
  <si>
    <t>台蕰</t>
  </si>
  <si>
    <t>贵州金窖供应链管理有限公司</t>
  </si>
  <si>
    <t>⽩⼲酒（中国⽩酒）;鸡尾酒;⽩酒;⾼粱酒;⻩酒;果酒;⽼酒（中国蒸馏烈酒）;烧酒（烈酒）;烈酒（饮料）;葡萄酒</t>
  </si>
  <si>
    <t>趣鲸</t>
  </si>
  <si>
    <t>王梓骅</t>
  </si>
  <si>
    <t>甜果酒;烈酒（饮料）;伏特加酒;开胃酒;威⼠忌;鸡尾酒;酒精饮料（啤酒除外）;⽩酒;葡萄酒;果酒（含酒精）</t>
  </si>
  <si>
    <t>景岫</t>
  </si>
  <si>
    <t>杨帆</t>
  </si>
  <si>
    <t>威⼠忌;⽩兰地;⽩酒;鸡尾酒;开胃酒;⻘稞酒;⽶酒;葡萄酒;⾷⽤酒精;烧酒</t>
  </si>
  <si>
    <t>匠浓清少匠</t>
  </si>
  <si>
    <t>张红清</t>
  </si>
  <si>
    <t>烧酒;酒精饮料（啤酒除外）;果酒（含酒精）;葡萄酒;鸡尾酒;⽩酒;⽶酒;清酒（⽇本⽶酒）;烈酒（饮料）;开胃酒</t>
  </si>
  <si>
    <t>钧泉九酿</t>
  </si>
  <si>
    <t>王建红</t>
  </si>
  <si>
    <t>开胃酒;⽶酒;葡萄酒;烧酒;⾷⽤酒精;威⼠忌;果酒;⽩酒;鸡尾酒;⻩酒</t>
  </si>
  <si>
    <t>西夏王宁垦红</t>
  </si>
  <si>
    <t>宁夏农垦集团有限公司</t>
  </si>
  <si>
    <t>烈酒（饮料）;果酒（含酒精）;葡萄酒;含⽔果酒精饮料;酒精饮料浓缩汁;⽩酒;⽩兰地;酒精饮料原汁;预先混合的酒精饮料（以啤酒为主的除外）;烧酒</t>
  </si>
  <si>
    <t>中境·匠无止境</t>
  </si>
  <si>
    <t>鸡尾酒;葡萄酒;⻩酒;威⼠忌;⽩兰地;开胃酒;⽩酒;伏特加酒;⽶酒;果酒（含酒精）</t>
  </si>
  <si>
    <t>中境山水印象</t>
  </si>
  <si>
    <t>鸡尾酒;⻩酒;伏特加酒;果酒（含酒精）;⽩兰地;开胃酒;葡萄酒;⽩酒;⽶酒;威⼠忌</t>
  </si>
  <si>
    <t>项贵妃</t>
  </si>
  <si>
    <t>彭子强</t>
  </si>
  <si>
    <t>葡萄酒;酒精饮料原汁;⽩酒;酒精饮料（啤酒除外）;⽶酒;果酒（含酒精）;烈酒（饮料）;餐后酒（利⼝酒和烈酒）;烧酒;⻩酒</t>
  </si>
  <si>
    <t>中尚凤藏</t>
  </si>
  <si>
    <t>温岭中尚商贸有限公司</t>
  </si>
  <si>
    <t>含⽔果酒精饮料;蒸馏饮料;⽶酒;葡萄酒;⽩酒;酒精饮料原汁;⻩酒;果酒（含酒精）;烧酒;酒精饮料（啤酒除外）</t>
  </si>
  <si>
    <t>锐氏</t>
  </si>
  <si>
    <t>张梦雪</t>
  </si>
  <si>
    <t>⾼粱酒;酒精饮料（啤酒除外）;烈酒（饮料）;果酒（含酒精）;⽩酒;⻩酒;鸡尾酒;⽶酒;葡萄酒;伏特加酒</t>
  </si>
  <si>
    <t>GREY DEER</t>
  </si>
  <si>
    <t>王利东</t>
  </si>
  <si>
    <t>⽩酒;⾼粱酒;伏特加酒;烈酒（饮料）;果酒（含酒精）;⻩酒;酒精饮料（啤酒除外）;⽶酒;葡萄酒;鸡尾酒</t>
  </si>
  <si>
    <t>富兮梅花岭</t>
  </si>
  <si>
    <t>长沙市望城区茶亭镇梅花岭社区居民委员会</t>
  </si>
  <si>
    <t>果酒;葡萄酒;蒸馏饮料;⾼粱酒;杨梅酒;清酒;含⽔果酒精饮料;甜果酒;⽶酒;⽩酒</t>
  </si>
  <si>
    <t>㳵</t>
  </si>
  <si>
    <t>淳安千岛湖万季商业管理有限公司</t>
  </si>
  <si>
    <t>果酒;混合威⼠忌酒;杜松⼦酒;酒精饮料（啤酒除外）;烈酒;利⼝酒;威⼠忌;烈酒（饮料）;⻨芽威⼠忌;鸡尾酒</t>
  </si>
  <si>
    <t>创敌</t>
  </si>
  <si>
    <t>贵州酬陈酱酒集团有限公司</t>
  </si>
  <si>
    <t>威⼠忌;⻩酒;烧酒;⽩酒;果酒（含酒精）;⾕物制蒸馏酒精饮料;蒸馏饮料;葡萄酒;酒精饮料（啤酒除外）;⽶酒</t>
  </si>
  <si>
    <t>伊红颜</t>
  </si>
  <si>
    <t>天和益生（北京）健康科技有限公司</t>
  </si>
  <si>
    <t>鸡尾酒;葡萄酒;⻩酒;清酒（⽇本⽶酒）;⽩酒;果酒（含酒精）;含⽔果酒精饮料;汽酒;蒸馏饮料;⽶酒</t>
  </si>
  <si>
    <t>幽并</t>
  </si>
  <si>
    <t>汾阳酒祖酒业有限公司</t>
  </si>
  <si>
    <t>⾼粱酒;⻩酒;果酒;⽶酒;苦荞酒;露酒;清酒;⻘稞酒;梅酒;⽩酒</t>
  </si>
  <si>
    <t>HOME STORY</t>
  </si>
  <si>
    <t>贵州味掘商贸有限公司</t>
  </si>
  <si>
    <t>酒精饮料原汁;酒精饮料浓缩汁;酒精饮料（啤酒除外）;预先混合的酒精饮料（以啤酒为主的除外）;⽩酒;利⼝酒;烈酒（饮料）;蒸馏饮料;果酒（含酒精）;⽶酒</t>
  </si>
  <si>
    <t>冬道煮</t>
  </si>
  <si>
    <t>佛山市南海区原野地一驴顺风食荘</t>
  </si>
  <si>
    <t>烈酒（饮料）;⻩酒;含⽔果酒精饮料;果酒（含酒精）;⻘梅酒;葡萄酒;苦味酒;⽩酒;⾷⽤酒精;清酒</t>
  </si>
  <si>
    <t>陶美人</t>
  </si>
  <si>
    <t>舟山市客想你食品有限公司</t>
  </si>
  <si>
    <t>烈酒（饮料）;果酒（含酒精）;杨梅酒;葡萄酒;含酒精的饮料（啤酒除外）;⽩酒;⽶酒;甜酒;⻩酒;红葡萄酒</t>
  </si>
  <si>
    <t>RARISSIMES</t>
  </si>
  <si>
    <t>刘秋梅</t>
  </si>
  <si>
    <t>⽩兰地;⽩酒;⽶酒;威⼠忌;鸡尾酒;预先混合的酒精饮料（以啤酒为主的除外）;酒精饮料浓缩汁;葡萄酒;酒精饮料（啤酒除外）;酒精饮料原汁</t>
  </si>
  <si>
    <t>中境鸿渐</t>
  </si>
  <si>
    <t>⽩酒;⽶酒;鸡尾酒;威⼠忌;伏特加酒;果酒（含酒精）;葡萄酒;开胃酒;⻩酒;⽩兰地</t>
  </si>
  <si>
    <t>YELLOW BIRD</t>
  </si>
  <si>
    <t>张凯鹏</t>
  </si>
  <si>
    <t>⽩酒;鸡尾酒;⽶酒;葡萄酒;果酒（含酒精）;酒精饮料（啤酒除外）;伏特加酒;烈酒（饮料）;⾼粱酒;⻩酒</t>
  </si>
  <si>
    <t>中境印象</t>
  </si>
  <si>
    <t>果酒（含酒精）;⽩酒;⽩兰地;鸡尾酒;伏特加酒;⻩酒;威⼠忌;⽶酒;开胃酒;葡萄酒</t>
  </si>
  <si>
    <t>介祉</t>
  </si>
  <si>
    <t>张玲</t>
  </si>
  <si>
    <t>⽩酒;蒸煮提取物（利⼝酒和烈酒）;⻘稞酒;⽼酒（中国蒸馏烈酒）;蒸馏⽶酒（泡盛酒）;⾕物制蒸馏酒精饮料;梅酒;⽩⼲酒（中国⽩酒）;⽶酒;烧酒</t>
  </si>
  <si>
    <t>裕美华</t>
  </si>
  <si>
    <t>邬小天</t>
  </si>
  <si>
    <t>蒸馏饮料;酒精饮料（啤酒除外）;葡萄酒;汽酒;烈酒（饮料）;果酒（含酒精）;⽩酒;⾷⽤酒精;⽶酒;清酒（⽇本⽶酒）</t>
  </si>
  <si>
    <t>熙贵妃</t>
  </si>
  <si>
    <t>魏义连</t>
  </si>
  <si>
    <t>烈酒（饮料）;⽩酒;葡萄酒;餐后酒（利⼝酒和烈酒）;⽶酒;⻩酒;果酒（含酒精）;酒精饮料（啤酒除外）;烧酒;酒精饮料原汁</t>
  </si>
  <si>
    <t>卡图印象</t>
  </si>
  <si>
    <t>四川卡图印象贸易有限公司</t>
  </si>
  <si>
    <t>酒精饮料浓缩汁;果酒（含酒精）;含⽔果酒精饮料;⽩酒;酒精饮料（啤酒除外）;清酒（⽇本⽶酒）;葡萄酒;酒精饮料原汁;烈酒（饮料）;酸酒（低等葡萄酒）</t>
  </si>
  <si>
    <t>樽江情</t>
  </si>
  <si>
    <t>烧酒（烈酒）;酒精饮料（啤酒除外）;葡萄酒;酒精饮料浓缩汁;⽶酒;⽩酒;果酒（含酒精）;烧酒;⾷⽤酒精;蒸煮提取物（利⼝酒和烈酒）</t>
  </si>
  <si>
    <t>YELLOW GOOSE</t>
  </si>
  <si>
    <t>李子帅</t>
  </si>
  <si>
    <t>⽶酒;伏特加酒;⾼粱酒;葡萄酒;鸡尾酒;⽩酒;酒精饮料（啤酒除外）;烈酒（饮料）;⻩酒;果酒（含酒精）</t>
  </si>
  <si>
    <t>黔良知</t>
  </si>
  <si>
    <t>江苏酒客多互联科技有限公司</t>
  </si>
  <si>
    <t>开胃酒;⻩酒;⽩酒;葡萄酒;⻘稞酒;果酒（含酒精）;烧酒;利⼝酒;含⽔果酒精饮料;⽶酒</t>
  </si>
  <si>
    <t>LUYIPULANG</t>
  </si>
  <si>
    <t>烟台爱菲尔企业管理有限公司</t>
  </si>
  <si>
    <t>烈酒;酒精饮料（啤酒除外）;开胃酒;鸡尾酒;⽩酒;葡萄酒;果酒（含酒精）;威⼠忌;⽩兰地;利⼝酒</t>
  </si>
  <si>
    <t>视界灰姑娘</t>
  </si>
  <si>
    <t>杨钟</t>
  </si>
  <si>
    <t>酒精饮料（啤酒除外）;⽩酒;⽶酒;清酒（⽇本⽶酒）;酒精饮料原汁;鸡尾酒;烈酒（饮料）;葡萄酒;威⼠忌;伏特加酒</t>
  </si>
  <si>
    <t>膳小默</t>
  </si>
  <si>
    <t>韩彪</t>
  </si>
  <si>
    <t>果酒（含酒精）;鸡尾酒;清酒（⽇本⽶酒）;除啤酒外的酒精饮料;⽩酒;蒸馏饮料;葡萄酒;酒精饮料浓缩汁;⾷⽤酒精;烧酒</t>
  </si>
  <si>
    <t>食欢之道</t>
  </si>
  <si>
    <t>河南八图八商贸有限公司</t>
  </si>
  <si>
    <t>⾷⽤酒精;含⽔果酒精饮料;葡萄酒;威⼠忌;果酒（含酒精）;⽩酒;薄荷酒;烧酒;鸡尾酒;⽶酒</t>
  </si>
  <si>
    <t>MSTRSWNE</t>
  </si>
  <si>
    <t>⽶酒;烧酒;朗姆酒;⽩兰地;威⼠忌;葡萄酒;烈酒（饮料）;伏特加酒;⽩酒;⽼酒（中国蒸馏烈酒）</t>
  </si>
  <si>
    <t>旌熊猫</t>
  </si>
  <si>
    <t>金科</t>
  </si>
  <si>
    <t>果酒;烈酒浓缩汁;清酒;甜酒;⽶酒;烧酒;佐餐酒;⻘稞酒;⽩酒;葡萄酒</t>
  </si>
  <si>
    <t>京西康</t>
  </si>
  <si>
    <t>江西京西康控股集团有限公司</t>
  </si>
  <si>
    <t>⽩酒;葡萄酒;鸡尾酒;烧酒;⽼酒（中国蒸馏烈酒）;含酒精的⽓泡⽔;苹果酒;威⼠忌;果酒;烈酒</t>
  </si>
  <si>
    <t>有念</t>
  </si>
  <si>
    <t>陕西联合足球俱乐部有限公司</t>
  </si>
  <si>
    <t>果酒（含酒精）;开胃酒;⾷⽤酒精;酒精饮料（啤酒除外）;烈酒（饮料）;烧酒;蒸馏饮料;鸡尾酒;葡萄酒;⽩酒</t>
  </si>
  <si>
    <t>越礼</t>
  </si>
  <si>
    <t>元儒农业科技（诸暨）有限公司</t>
  </si>
  <si>
    <t>果酒;酒精饮料（啤酒除外）;⽩酒;⽶酒;⻩酒;含⽔果酒精饮料;朗姆酒;鸡尾酒;葡萄酒;烈酒（饮料）</t>
  </si>
  <si>
    <t>JNS-BELIEVE</t>
  </si>
  <si>
    <t>迈克高仕有限责任公司(德拉华有限责任公司)</t>
  </si>
  <si>
    <t>伏特加酒;⽩兰地;酒精饮料（啤酒除外）;开胃酒;葡萄酒;鸡尾酒;威⼠忌;果酒;烈酒;⽩酒</t>
  </si>
  <si>
    <t>金寿禧</t>
  </si>
  <si>
    <t>⻘稞酒;烧酒;⻘梅酒;烈酒;⽶酒;露酒;⽩⼲酒（中国⽩酒）;清酒（⽇本⽶酒）;⻩酒;⽩酒</t>
  </si>
  <si>
    <t>一路圆容</t>
  </si>
  <si>
    <t>贵州雄振酒业有限公司</t>
  </si>
  <si>
    <t>果酒（含酒精）;烧酒;⻩酒;烈酒（饮料）;含酒精⽔果饮料;⾷⽤酒精;⽩酒;⽶酒;鸡尾酒;葡萄酒</t>
  </si>
  <si>
    <t>中境酒都印象</t>
  </si>
  <si>
    <t>鸡尾酒;葡萄酒;⽩酒;⽩兰地;威⼠忌;开胃酒;⽶酒;果酒（含酒精）;⻩酒;伏特加酒</t>
  </si>
  <si>
    <t>锐奈</t>
  </si>
  <si>
    <t>⽩酒;⻩酒;鸡尾酒;葡萄酒;烈酒（饮料）;果酒（含酒精）;⽶酒;⾼粱酒;酒精饮料（啤酒除外）;伏特加酒</t>
  </si>
  <si>
    <t>雅动</t>
  </si>
  <si>
    <t>⽩酒;⻩酒;酒精饮料（啤酒除外）;⽶酒;果酒（含酒精）;鸡尾酒;伏特加酒;⾼粱酒;葡萄酒;烈酒（饮料）</t>
  </si>
  <si>
    <t>熹康秀</t>
  </si>
  <si>
    <t>延津县卓安商贸有限公司</t>
  </si>
  <si>
    <t>烧酒;⽼酒（中国蒸馏烈酒）;⽶酒;⻩酒;⽩酒;⻘稞酒;开胃酒;利⼝酒;烈酒（饮料）;苦味酒</t>
  </si>
  <si>
    <t>滏锦坊</t>
  </si>
  <si>
    <t>邯郸市滏锦坊酒业有限公司</t>
  </si>
  <si>
    <t>⽶酒;葡萄酒;⽩酒;樱桃酒;蒸馏饮料;酒精饮料（啤酒除外）;酒精饮料原汁;⻩酒;清酒（⽇本⽶酒）;餐后酒（利⼝酒和烈酒）</t>
  </si>
  <si>
    <t>葫芦子妹</t>
  </si>
  <si>
    <t>邯郸市东浦贸易有限公司</t>
  </si>
  <si>
    <t>果酒（含酒精）;葡萄酒;⽶酒;开胃酒;清酒;烧酒;鸡尾酒;烈酒（饮料）;威⼠忌;⽩酒</t>
  </si>
  <si>
    <t>宣酌</t>
  </si>
  <si>
    <t>肖安友</t>
  </si>
  <si>
    <t>悦己小白</t>
  </si>
  <si>
    <t>果酒（含酒精）;鸡尾酒;伏特加酒;烈酒（饮料）;威⼠忌;杜松⼦酒;⽩酒;⽩兰地;朗姆酒;葡萄酒</t>
  </si>
  <si>
    <t>姚花春·银招财</t>
  </si>
  <si>
    <t>河南姚花春酒业有限公司</t>
  </si>
  <si>
    <t>茴芹酒（利⼝酒）;烈酒（饮料）;⾕物制蒸馏酒精饮料;酒精饮料（啤酒除外）;⽢蔗制酒精饮料;葡萄酒;以葡萄酒为主的饮料;茴⾹酒;蒸馏饮料;果酒（含酒精）</t>
  </si>
  <si>
    <t>姚花春·金招财</t>
  </si>
  <si>
    <t>蒸馏饮料;⽢蔗制酒精饮料;以葡萄酒为主的饮料;果酒（含酒精）;⾕物制蒸馏酒精饮料;酒精饮料（啤酒除外）;茴⾹酒;葡萄酒;烈酒（饮料）;茴芹酒（利⼝酒）</t>
  </si>
  <si>
    <t>PURPLE TAIL</t>
  </si>
  <si>
    <t>张丽宁</t>
  </si>
  <si>
    <t>⻩酒;⾼粱酒;葡萄酒;伏特加酒;酒精饮料（啤酒除外）;⽶酒;果酒（含酒精）;烈酒（饮料）;⽩酒;鸡尾酒</t>
  </si>
  <si>
    <t>老谭云粮</t>
  </si>
  <si>
    <t>谭大万</t>
  </si>
  <si>
    <t>果酒;⽶酒;烈酒;汽酒;开胃酒;⻩酒;酒精饮料（啤酒除外）;⽩酒;烧酒;葡萄酒</t>
  </si>
  <si>
    <t>盈通府</t>
  </si>
  <si>
    <t>刘惠峰</t>
  </si>
  <si>
    <t>⻩酒;⽩酒;⽶酒;烧酒;⾼粱酒;果酒（含酒精）;葡萄酒;⻘稞酒;清酒;⽼酒（中国蒸馏烈酒）</t>
  </si>
  <si>
    <t>满日鸿</t>
  </si>
  <si>
    <t>⽩⼲酒（中国⽩酒）;⽼酒（中国蒸馏烈酒）;刺五加酒;果酒;⾼粱酒;⽩酒;⽶酒;酒精饮料（啤酒除外）;⾷⽤酒精;烧酒</t>
  </si>
  <si>
    <t>镇江伴山餐饮管理有限公司</t>
  </si>
  <si>
    <t>烈酒浓缩汁;蒸煮提取物（利⼝酒和烈酒）;⽩酒;清酒;甜酒;果酒;⽶酒;⻩酒;含⽔果酒精饮料;酒精饮料浓缩汁</t>
  </si>
  <si>
    <t>GROGIRL</t>
  </si>
  <si>
    <t>江苏健鹰食品科技有限公司</t>
  </si>
  <si>
    <t>以葡萄酒为主的饮料;烈酒;清酒（⽇本⽶酒）;威⼠忌;伏特加酒;利⼝酒;⽩兰地;朗姆酒;含⽔果酒精饮料;⽢蔗制酒精饮料</t>
  </si>
  <si>
    <t>皇室奥秘</t>
  </si>
  <si>
    <t>何晓龙</t>
  </si>
  <si>
    <t>果酒（含酒精）;鸡尾酒;清酒（⽇本⽶酒）;⽩酒;烈酒;威⼠忌;开胃酒;酒精饮料（啤酒除外）;⻩酒;葡萄酒</t>
  </si>
  <si>
    <t>双脉宗</t>
  </si>
  <si>
    <t>张英心</t>
  </si>
  <si>
    <t>开胃酒;葡萄酒;烈酒（饮料）;⽶酒;⽩酒;⽼酒（中国蒸馏烈酒）;果酒（含酒精）;清酒（⽇本⽶酒）;烧酒;⻩酒</t>
  </si>
  <si>
    <t>君翰台</t>
  </si>
  <si>
    <t>贵州君瀚台酒业有限公司</t>
  </si>
  <si>
    <t>葡萄酒;酒精饮料浓缩汁;⽶酒;含⽔果酒精饮料;⽩兰地;果酒（含酒精）;鸡尾酒;利⼝酒;烈酒（饮料）;烧酒</t>
  </si>
  <si>
    <t>柏富堡</t>
  </si>
  <si>
    <t>伏特加酒;蒸煮提取物（利⼝酒和烈酒）;烈性⼲酒;威⼠忌;葡萄酒;葡萄汽酒;酸酒（低等葡萄酒）;⽩兰地;⽩酒;果酒（含酒精）</t>
  </si>
  <si>
    <t>昭阳昭露</t>
  </si>
  <si>
    <t>昭通市昭阳区甘露商贸有限公司</t>
  </si>
  <si>
    <t>烧酒;含酒精的⽓泡⽔;酒精饮料（啤酒除外）;葡萄酒;⽩酒;果酒（含酒精）;酒精饮料原汁;蒸馏饮料;开胃酒;烈酒（饮料）</t>
  </si>
  <si>
    <t>瓦麒麟</t>
  </si>
  <si>
    <t>游云酒业（丽江）有限公司</t>
  </si>
  <si>
    <t>杜松⼦酒;烈酒（饮料）;酒精饮料浓缩汁;酒精饮料（啤酒除外）;预先混合的酒精饮料（以啤酒为主的除外）;含酒精的⽔果鸡尾酒饮料;果酒（含酒精）;鸡尾酒;含⽔果酒精饮料;含酒精的鸡尾酒混合饮品</t>
  </si>
  <si>
    <t>橙色廉洁公司</t>
  </si>
  <si>
    <t>蒸馏饮料;柑⾹酒;含⽔果酒精饮料;朗姆酒;伏特加酒;威⼠忌;酒精饮料（啤酒除外）;烈酒（饮料）;⽩兰地;杜松⼦酒</t>
  </si>
  <si>
    <t>锐俏</t>
  </si>
  <si>
    <t>果酒（含酒精）;烈酒（饮料）;⽩酒;⻩酒;伏特加酒;鸡尾酒;⾼粱酒;酒精饮料（啤酒除外）;葡萄酒;⽶酒</t>
  </si>
  <si>
    <t>ALICEHEBN 爱丽斯赫本</t>
  </si>
  <si>
    <t>张司</t>
  </si>
  <si>
    <t>⾷⽤酒精;葡萄酒;⽩酒;烈酒（饮料）;⽩兰地;威⼠忌;⻩酒;酒精饮料（啤酒除外）;果酒（含酒精）;伏特加酒</t>
  </si>
  <si>
    <t>萨几提 SAJIT</t>
  </si>
  <si>
    <t>艾则孜江·沙依木</t>
  </si>
  <si>
    <t>⽩兰地;果酒;⽢蔗制酒精饮料;苹果酒;⽩酒;⽔果汽酒;红葡萄酒;天然汽酒;以葡萄酒为主的饮料;葡萄酒</t>
  </si>
  <si>
    <t>恭盛</t>
  </si>
  <si>
    <t>南宁市蒋记烧坊酒业有限公司</t>
  </si>
  <si>
    <t>⽶酒;⽩酒;⻩酒;果酒;朗姆酒;清酒;由⾕物蒸馏的⽩酒;烧酒;葡萄酒;甜酒</t>
  </si>
  <si>
    <t>万㳵</t>
  </si>
  <si>
    <t>烈酒（饮料）;酒精饮料（啤酒除外）;果酒;鸡尾酒;混合威⼠忌酒;⻨芽威⼠忌;杜松⼦酒;烈酒;利⼝酒;威⼠忌</t>
  </si>
  <si>
    <t>秘谈</t>
  </si>
  <si>
    <t>葡萄酒;⽶酒;⽩酒;⾕物制蒸馏酒精饮料;烧酒;果酒（含酒精）;蒸馏饮料;酒精饮料（啤酒除外）;⻩酒;威⼠忌</t>
  </si>
  <si>
    <t>匠浓清上匠</t>
  </si>
  <si>
    <t>果酒（含酒精）;开胃酒;⽶酒;酒精饮料（啤酒除外）;葡萄酒;鸡尾酒;烧酒;⽩酒;烈酒（饮料）;清酒（⽇本⽶酒）</t>
  </si>
  <si>
    <t>柚元喜</t>
  </si>
  <si>
    <t>⽩兰地;⻩酒;威⼠忌;⽩酒;⻘稞酒;含⽔果酒精饮料;鸡尾酒;酒精饮料（啤酒除外）;果酒;葡萄酒</t>
  </si>
  <si>
    <t>亨圣</t>
  </si>
  <si>
    <t>沂源县山谷香酒业有限公司</t>
  </si>
  <si>
    <t>酒精饮料原汁;酒精饮料（啤酒除外）;⽶酒;烧酒;⻩酒;由⾕物蒸馏的⽩酒;葡萄酒;果酒;预先混合的酒精饮料（以啤酒为主的除外）;⽩酒</t>
  </si>
  <si>
    <t>醉而红·奇迹</t>
  </si>
  <si>
    <t>泸州壹品酒业有限公司</t>
  </si>
  <si>
    <t>以葡萄酒为主的饮料;威⼠忌;⻩酒;鸡尾酒;⽶酒;葡萄酒;含⽔果酒精饮料;⽩酒;⽩兰地;酒精饮料原汁</t>
  </si>
  <si>
    <t>烟屿</t>
  </si>
  <si>
    <t>烟台意隆包装有限公司</t>
  </si>
  <si>
    <t>果酒（含酒精）;鸡尾酒;威⼠忌;酒精饮料原汁;酒精饮料（啤酒除外）;葡萄酒;蒸馏饮料;⽶酒;⻩酒;烧酒</t>
  </si>
  <si>
    <t>TORCHIO</t>
  </si>
  <si>
    <t>陈秋</t>
  </si>
  <si>
    <t>烈酒（饮料）;⽩酒;⽩兰地;酒精饮料（啤酒除外）;⽶酒;利⼝酒;⾷⽤酒精;果酒（含酒精）;烧酒;葡萄酒</t>
  </si>
  <si>
    <t>拓歌</t>
  </si>
  <si>
    <t>酒精饮料（啤酒除外）;果酒（含酒精）;烧酒;利⼝酒;⽩兰地;烈酒（饮料）;⾷⽤酒精;⽶酒;⽩酒;葡萄酒</t>
  </si>
  <si>
    <t>姚花春·红招财</t>
  </si>
  <si>
    <t>蒸馏饮料;烈酒（饮料）;酒精饮料（啤酒除外）;茴⾹酒;⾕物制蒸馏酒精饮料;⽢蔗制酒精饮料;以葡萄酒为主的饮料;茴芹酒（利⼝酒）;葡萄酒;果酒（含酒精）</t>
  </si>
  <si>
    <t>斟龙潭</t>
  </si>
  <si>
    <t>陈晓利</t>
  </si>
  <si>
    <t>⽩酒;⻩酒;鸡尾酒;烧酒;葡萄酒;⽩兰地;⽶酒;⾼粱酒;威⼠忌;果酒（含酒精）</t>
  </si>
  <si>
    <t>赣公子</t>
  </si>
  <si>
    <t>⽼酒（中国蒸馏烈酒）;⽩酒;烈酒;⽶酒;⾼粱酒;果酒（含酒精）;⾷⽤酒精;烧酒;杨梅酒;葡萄酒</t>
  </si>
  <si>
    <t>汣天池</t>
  </si>
  <si>
    <t>陈鹏飞</t>
  </si>
  <si>
    <t>鸡尾酒;酒精饮料（啤酒除外）;含⽔果酒精饮料;⻩酒;葡萄酒;⽩兰地;⽶酒;⽩酒;果酒（含酒精）;⾷⽤酒精</t>
  </si>
  <si>
    <t>稞池</t>
  </si>
  <si>
    <t>⽶酒;⻩酒;葡萄酒;⽩兰地;⽩酒;果酒（含酒精）;鸡尾酒;酒精饮料（啤酒除外）;⾷⽤酒精;含⽔果酒精饮料</t>
  </si>
  <si>
    <t>酿御欢</t>
  </si>
  <si>
    <t>⽩⼲酒（中国⽩酒）;⽶酒;⻩酒;由⾕物蒸馏的⽩酒;蒸馏饮料;⾕物制蒸馏酒精饮料;酒精饮料（啤酒除外）;烧酒;⽼酒（中国蒸馏烈酒）;⽩酒</t>
  </si>
  <si>
    <t>霍盛世</t>
  </si>
  <si>
    <t>青岛雅登欧食品有限公司</t>
  </si>
  <si>
    <t>鸡尾酒;⽶酒;烧酒;蒸馏饮料;⽩⼲酒（中国⽩酒）;⾕物制蒸馏酒精饮料;果酒（含酒精）;清酒（⽇本⽶酒）;⽩酒;酒精饮料（啤酒除外）</t>
  </si>
  <si>
    <t>醴巨人</t>
  </si>
  <si>
    <t>郭文斌</t>
  </si>
  <si>
    <t>甜酒;汽酒;梅酒;烈酒;果酒;⽶酒;烧酒;⻩酒;⽩酒;清酒</t>
  </si>
  <si>
    <t>贵名彩</t>
  </si>
  <si>
    <t>高杨杨</t>
  </si>
  <si>
    <t>⽶酒;露酒;⻘稞酒;苦荞酒;烧酒;⽩酒;清酒;⾼粱酒;烈酒;杨梅酒</t>
  </si>
  <si>
    <t>粮口福</t>
  </si>
  <si>
    <t>邹焕兵</t>
  </si>
  <si>
    <t>果酒（含酒精）;葡萄酒;威⼠忌;预先混合的酒精饮料（以啤酒为主的除外）;蒸馏饮料;⽩酒;⽶酒;⾷⽤酒精;⾼粱酒;⽩兰地</t>
  </si>
  <si>
    <t>金典古</t>
  </si>
  <si>
    <t>贵州百年金典酒庄有限公司</t>
  </si>
  <si>
    <t>葡萄酒;烧酒（烈酒）;⽶酒;⾼粱酒;酒精饮料（啤酒除外）;餐后酒（利⼝酒和烈酒）;蒸煮提取物（利⼝酒和烈酒）;⽩酒;开胃酒;苦味酒</t>
  </si>
  <si>
    <t>九大品</t>
  </si>
  <si>
    <t>刘玉霞</t>
  </si>
  <si>
    <t>烧酒;⽩酒;果酒（含酒精）;⽶酒;⽩⼲酒（中国⽩酒）;清酒;葡萄酒;果酒;⽼酒（中国蒸馏烈酒）;⻩酒</t>
  </si>
  <si>
    <t>白马里鹏 WHITE HORSE LI PEN</t>
  </si>
  <si>
    <t>香港白马里鹏实业有限公司</t>
  </si>
  <si>
    <t>酒精饮料原汁;果酒（含酒精）;开胃酒;葡萄酒;烧酒;⽶酒;鸡尾酒;烈酒（饮料）;含⽔果酒精饮料;⽩酒</t>
  </si>
  <si>
    <t>澎羽</t>
  </si>
  <si>
    <t>鹰潭余江区唯自然新型水果种植专业合作社</t>
  </si>
  <si>
    <t>烧酒;开胃酒;⻩酒;鸡尾酒;威⼠忌;果酒（含酒精）;⽩酒;葡萄酒;⽔果汽酒;⽶酒</t>
  </si>
  <si>
    <t>贵品池</t>
  </si>
  <si>
    <t>果酒（含酒精）;⽶酒;鸡尾酒;⽩酒;⻩酒;⽩兰地;含⽔果酒精饮料;⾷⽤酒精;酒精饮料（啤酒除外）;葡萄酒</t>
  </si>
  <si>
    <t>醉皖梦</t>
  </si>
  <si>
    <t>青岛狄秋茂贸易有限公司</t>
  </si>
  <si>
    <t>清酒（⽇本⽶酒）;⾕物制蒸馏酒精饮料;烧酒;⽩酒;⽶酒;蒸馏饮料;鸡尾酒;⽩⼲酒（中国⽩酒）;酒精饮料（啤酒除外）;果酒（含酒精）</t>
  </si>
  <si>
    <t>烟台烟才网络科技有限公司</t>
  </si>
  <si>
    <t>甜酒;⽩兰地;威⼠忌;果酒;⽩酒;红葡萄酒;葡萄酒;朗姆酒;⽩葡萄酒;桃红葡萄酒</t>
  </si>
  <si>
    <t>楚方达</t>
  </si>
  <si>
    <t>方国正</t>
  </si>
  <si>
    <t>酒精饮料原汁;含⽔果酒精饮料;⽶酒;果酒（含酒精）;⻩酒;威⼠忌;酒精饮料（啤酒除外）;⽩酒;烈酒（饮料）;烧酒</t>
  </si>
  <si>
    <t>杏壶匠</t>
  </si>
  <si>
    <t>青岛负负得正贸易有限公司</t>
  </si>
  <si>
    <t>果酒（含酒精）;鸡尾酒;⽩酒;⽩⼲酒（中国⽩酒）;酒精饮料（啤酒除外）;⽶酒;⾕物制蒸馏酒精饮料;烧酒;蒸馏饮料;清酒（⽇本⽶酒）</t>
  </si>
  <si>
    <t>品汣都</t>
  </si>
  <si>
    <t>雷怀舟</t>
  </si>
  <si>
    <t>鸡尾酒;含⽔果酒精饮料;⽩酒;果酒（含酒精）;⾷⽤酒精;⽩兰地;⽶酒;⻩酒;酒精饮料（啤酒除外）;葡萄酒</t>
  </si>
  <si>
    <t>咏呈祥</t>
  </si>
  <si>
    <t>张培标</t>
  </si>
  <si>
    <t>果酒（含酒精）;清酒（⽇本⽶酒）;⽩兰地;酒精饮料（啤酒除外）;由⾕物蒸馏的⽩酒;烧酒;汽酒;⻩酒;⽶酒;⽩酒</t>
  </si>
  <si>
    <t>东芳梅好</t>
  </si>
  <si>
    <t>吉成武</t>
  </si>
  <si>
    <t>⾷⽤酒精;酒精饮料（啤酒除外）;含⽔果酒精饮料;果酒（含酒精）;⽩兰地;葡萄酒;⽶酒;⻩酒;⽩酒;鸡尾酒</t>
  </si>
  <si>
    <t>故香寻</t>
  </si>
  <si>
    <t>骆梦琦</t>
  </si>
  <si>
    <t>清酒（⽇本⽶酒）;开胃酒;威⼠忌;⽩酒;烈酒;⻩酒;果酒（含酒精）;鸡尾酒;酒精饮料（啤酒除外）;葡萄酒</t>
  </si>
  <si>
    <t>金典窖</t>
  </si>
  <si>
    <t>⽶酒;⾼粱酒;烧酒（烈酒）;葡萄酒;酒精饮料（啤酒除外）;餐后酒（利⼝酒和烈酒）;蒸煮提取物（利⼝酒和烈酒）;苦味酒;开胃酒;⽩酒</t>
  </si>
  <si>
    <t>觐及</t>
  </si>
  <si>
    <t>梅酒;⽶酒;⽩酒;甜酒;烈酒;汽酒;清酒;⻩酒;果酒;烧酒</t>
  </si>
  <si>
    <t>四岳</t>
  </si>
  <si>
    <t>河南共工文化传播有限公司</t>
  </si>
  <si>
    <t>开胃酒;⽶酒;⾷⽤酒精;⻩酒;以葡萄酒为主的饮料;酒精饮料原汁;果酒（含酒精）;烧酒;葡萄酒;⽩酒</t>
  </si>
  <si>
    <t>号令酒州</t>
  </si>
  <si>
    <t>上海御手网络科技有限公司</t>
  </si>
  <si>
    <t>苹果酒;烧酒;⽶酒;蒸馏饮料;汽酒;⻘稞酒;鸡尾酒;⽩酒;葡萄酒;⻩酒</t>
  </si>
  <si>
    <t>浏懿</t>
  </si>
  <si>
    <t>汽酒;烈酒;甜酒;⽶酒;⻩酒;⽩酒;果酒;梅酒;清酒;烧酒</t>
  </si>
  <si>
    <t>皇慈</t>
  </si>
  <si>
    <t>河北绿福达实业集团有限公司</t>
  </si>
  <si>
    <t>鸡尾酒;烧酒;葡萄酒;⻩酒;⽩酒;⽶酒;⾼粱酒;果酒（含酒精）;⻘稞酒;酒精饮料（啤酒除外）</t>
  </si>
  <si>
    <t>乾丰泰</t>
  </si>
  <si>
    <t>河北曲滏玉堂春白酒酿造有限公司</t>
  </si>
  <si>
    <t>酒精饮料（啤酒除外）;果酒;苹果酒;酸酒（低等葡萄酒）;葡萄酒;含酒精⽔果饮料;⽩酒;⽶酒;鸡尾酒;烧酒</t>
  </si>
  <si>
    <t>沭世缘</t>
  </si>
  <si>
    <t>单玉竹</t>
  </si>
  <si>
    <t>樱桃酒;葡萄酒;开胃酒;鸡尾酒;蜂蜜酒;⽩酒;清酒;苹果酒;⻩酒;果酒</t>
  </si>
  <si>
    <t>阔山河</t>
  </si>
  <si>
    <t>邹艳</t>
  </si>
  <si>
    <t>果酒（含酒精）;蜂蜜酒;含⽔果酒精饮料;⻘稞酒;汽酒;蒸馏饮料;⾼粱酒;果酒;葡萄酒;⽩酒</t>
  </si>
  <si>
    <t>氲酒</t>
  </si>
  <si>
    <t>陈煜</t>
  </si>
  <si>
    <t>⽼酒（中国蒸馏烈酒）;⽩酒;烧酒（烈酒）</t>
  </si>
  <si>
    <t>JYMC</t>
  </si>
  <si>
    <t>黑龙江壹玖壹柒贸易有限公司</t>
  </si>
  <si>
    <t>含⽔果酒精饮料;除啤酒外的酒精饮料;葡萄汽酒;鸡尾酒;果酒;⽶酒;甜酒;⽩酒;以葡萄酒为主的饮料;葡萄酒</t>
  </si>
  <si>
    <t>菊界</t>
  </si>
  <si>
    <t>开封伍佰任新技术工作室</t>
  </si>
  <si>
    <t>⽶酒;葡萄酒;⽩酒;清酒;⽼酒（中国蒸馏烈酒）;蒸煮提取物（利⼝酒和烈酒）;烈酒（饮料）;果酒（含酒精）;酒精饮料（啤酒除外）;威⼠忌</t>
  </si>
  <si>
    <t>CRYSTAL ANGEL</t>
  </si>
  <si>
    <t>四川省头等舱酒业有限公司</t>
  </si>
  <si>
    <t>酒精饮料（啤酒除外）;⽩酒;加烈葡萄酒;葡萄酒;果酒（含酒精）;⽩兰地;起泡红葡萄酒;葡萄汽酒;起泡⽩葡萄酒;鸡尾酒</t>
  </si>
  <si>
    <t>太春</t>
  </si>
  <si>
    <t>⻩酒;蒸馏饮料;⽩酒;⾼粱酒;露酒;⽶酒;烧酒;葡萄酒;烈酒;果酒（含酒精）</t>
  </si>
  <si>
    <t>咱家铺子一品堂</t>
  </si>
  <si>
    <t>安徽咱家铺子食品有限公司</t>
  </si>
  <si>
    <t>鸡尾酒;⽩兰地;含⽔果酒精饮料;梅酒;樱桃酒;含酒精的饮料（啤酒除外）;果酒（含酒精）;酒精饮料原汁;葡萄酒;甜果酒</t>
  </si>
  <si>
    <t>韦莱翔卓</t>
  </si>
  <si>
    <t>天津凯丽电子商务有限公司</t>
  </si>
  <si>
    <t>葡萄酒;⽶酒;鸡尾酒;酒精饮料（啤酒除外）;烧酒;果酒（含酒精）;烈酒（饮料）;⻩酒;威⼠忌;⽩酒</t>
  </si>
  <si>
    <t>中初本草</t>
  </si>
  <si>
    <t>陈玉姝</t>
  </si>
  <si>
    <t>⽩酒;开胃酒;鸡尾酒;果酒（含酒精）;⻩酒;清酒;⽩兰地;酒精饮料（啤酒除外）;烧酒;葡萄酒</t>
  </si>
  <si>
    <t>氣勢磅礴</t>
  </si>
  <si>
    <t>李静</t>
  </si>
  <si>
    <t>葡萄酒;⽩⼲酒（中国⽩酒）;⽶酒;⻩酒;烧酒;露酒;⽼酒（中国蒸馏烈酒）;清酒;⽩酒;果酒</t>
  </si>
  <si>
    <t>䎅台</t>
  </si>
  <si>
    <t>欧杨</t>
  </si>
  <si>
    <t>葡萄酒;烧酒;⻩酒;⽩酒;烈酒;⽩兰地;⻘稞酒;⽶酒;果酒;鸡尾酒</t>
  </si>
  <si>
    <t>仡山阿妹</t>
  </si>
  <si>
    <t>杨再维</t>
  </si>
  <si>
    <t>果酒;甜酒;⻩酒;烧酒;⽶酒;含酒精⽔果饮料;⽩葡萄酒;⽩兰地;⽩酒;清酒</t>
  </si>
  <si>
    <t>鹿博士</t>
  </si>
  <si>
    <t>芝氏食品有限公司</t>
  </si>
  <si>
    <t>果酒（含酒精）;鸡尾酒;烈酒（饮料）;清酒（⽇本⽶酒）;⻘稞酒;⽶酒;⻩酒;⽩酒;葡萄酒;利⼝酒</t>
  </si>
  <si>
    <t>FORTUNE VALLEY</t>
  </si>
  <si>
    <t>青岛洋湾实业有限公司</t>
  </si>
  <si>
    <t>鸡尾酒;⽶酒;开胃酒;烈酒（饮料）;⻩酒;葡萄酒;烧酒;利⼝酒;⽩酒;威⼠忌</t>
  </si>
  <si>
    <t>宿联供销</t>
  </si>
  <si>
    <t>宿州市埇桥区芦岭供销合作社有限公司</t>
  </si>
  <si>
    <t>梨酒;樱桃酒;⽩酒;开胃酒;烧酒;苹果酒;蜂蜜酒;葡萄酒;⻩酒;果酒（含酒精）</t>
  </si>
  <si>
    <t>晋商晋享</t>
  </si>
  <si>
    <t>新吴区私享时光商务服务中心</t>
  </si>
  <si>
    <t>烈酒（饮料）;⻘稞酒;⻩酒;葡萄酒;果酒（含酒精）;梨酒;⽶酒;鸡尾酒;烧酒;⽩酒</t>
  </si>
  <si>
    <t>极道致</t>
  </si>
  <si>
    <t>陈志彬</t>
  </si>
  <si>
    <t>蒸馏饮料;鸡尾酒;威⼠忌;果酒（含酒精）;葡萄酒;蜂蜜酒;⽩酒;⽩兰地;含⽔果酒精饮料;⽶酒</t>
  </si>
  <si>
    <t>仙斛仙</t>
  </si>
  <si>
    <t>谢骆华</t>
  </si>
  <si>
    <t>果酒（含酒精）;葡萄酒;⽶酒;酒精饮料（啤酒除外）;⻩酒;开胃酒;蒸馏饮料;清酒;威⼠忌;鸡尾酒</t>
  </si>
  <si>
    <t>九有余</t>
  </si>
  <si>
    <t>河南大宋惠民和剂国际中医药发展有限公司</t>
  </si>
  <si>
    <t>⽩酒;果酒（含酒精）;葡萄酒;⾼粱酒;⽩⼲酒（中国⽩酒）;⻩酒;烧酒;开胃酒;⾷⽤酒精;鸡尾酒</t>
  </si>
  <si>
    <t>鹤问湖 酒</t>
  </si>
  <si>
    <t>江西鹤问湖酒业有限公司</t>
  </si>
  <si>
    <t>威⼠忌;烧酒;开胃酒;蜂蜜酒;葡萄酒;朗姆酒;⻩酒;鸡尾酒;⽶酒;⽩酒</t>
  </si>
  <si>
    <t>柳翁</t>
  </si>
  <si>
    <t>广西柳州柳地酒业有限公司</t>
  </si>
  <si>
    <t>杨梅酒;梅酒;果酒;⻘梅酒;⻩酒;葡萄酒;⽩酒;甜酒;酒精饮料（啤酒除外）;⽶酒</t>
  </si>
  <si>
    <t>喜之双</t>
  </si>
  <si>
    <t>姜柯柯</t>
  </si>
  <si>
    <t>果酒（含酒精）;清酒（⽇本⽶酒）;⽶酒;葡萄酒;开胃酒;含酒精的饮料（啤酒除外）;鸡尾酒;苹果酒;烈酒（饮料）;⽩酒</t>
  </si>
  <si>
    <t>沪联供销</t>
  </si>
  <si>
    <t>开胃酒;烧酒;葡萄酒;蜂蜜酒;樱桃酒;梨酒;苹果酒;⻩酒;⽩酒;果酒（含酒精）</t>
  </si>
  <si>
    <t>量然居</t>
  </si>
  <si>
    <t>江苏淮安开心考拉软件系统有限责任公司</t>
  </si>
  <si>
    <t>果酒（含酒精）;蒸馏饮料;开胃酒;葡萄酒;⽩酒;⽶酒;梨酒;烧酒;⻩酒;烈酒（饮料）</t>
  </si>
  <si>
    <t>梅尹</t>
  </si>
  <si>
    <t>彭晓庆</t>
  </si>
  <si>
    <t>⽩兰地;⻩酒;烧酒;鸡尾酒;⻘稞酒;威⼠忌;⽩酒;⽶酒;葡萄酒;烈酒</t>
  </si>
  <si>
    <t>匿台</t>
  </si>
  <si>
    <t>贵州匠贺酒业有限公司</t>
  </si>
  <si>
    <t>烧酒;⻩酒;⾷⽤酒精;⾼粱酒;⻘稞酒;⽩酒;烈酒;⽶酒;汽酒;果酒</t>
  </si>
  <si>
    <t>菁典匠香</t>
  </si>
  <si>
    <t>李禹晨</t>
  </si>
  <si>
    <t>果酒（含酒精）;鸡尾酒;⽶酒;酒精饮料（啤酒除外）;⾷⽤酒精;⻩酒;⽩酒;葡萄酒;⽩兰地;含⽔果酒精饮料</t>
  </si>
  <si>
    <t>匠知君</t>
  </si>
  <si>
    <t>许可</t>
  </si>
  <si>
    <t>甜酒;⾼粱酒;烧酒;烈酒;⽩酒;葡萄酒;果酒;杨梅酒;⻩酒;⽶酒</t>
  </si>
  <si>
    <t>LDR</t>
  </si>
  <si>
    <t>酒投传说（河南）酒业有限公司</t>
  </si>
  <si>
    <t>⽶酒;⻩酒;果酒（含酒精）;烧酒;果酒;⽩酒;露酒;鸡尾酒;葡萄酒;清酒（⽇本⽶酒）</t>
  </si>
  <si>
    <t>侃大师</t>
  </si>
  <si>
    <t>鸡尾酒;葡萄酒;⽩兰地;⻘稞酒;威⼠忌;⻩酒;烧酒;⽶酒;烈酒;⽩酒</t>
  </si>
  <si>
    <t>梅厢记</t>
  </si>
  <si>
    <t>成都佳柚商贸有限公司</t>
  </si>
  <si>
    <t>鸡尾酒;酒精饮料（啤酒除外）;汽酒;预先混合的酒精饮料（以啤酒为主的除外）;含酒精的⽓泡⽔;开胃酒;清酒;含⽔果酒精饮料;烧酒;果酒</t>
  </si>
  <si>
    <t>在寻</t>
  </si>
  <si>
    <t>葡萄酒;⾷⽤酒精;⽩酒;⽶酒;烧酒;⻩酒;果酒（含酒精）;⽩兰地;伏特加酒;⾕物制蒸馏酒精饮料</t>
  </si>
  <si>
    <t>七甲社</t>
  </si>
  <si>
    <t>漳州市家佳食品有限公司</t>
  </si>
  <si>
    <t>⽶酒;葡萄酒;开胃酒;烧酒;鸡尾酒;烈酒（饮料）;⻩酒;⽩酒;⾷⽤酒精;果酒</t>
  </si>
  <si>
    <t>重庆市九奇达生态农业开发有限公司</t>
  </si>
  <si>
    <t>⽩⼲酒（中国⽩酒）;果酒（含酒精）;⽩酒;黑覆盆⼦酒;樱桃酒;⾼粱酒;梨酒;由⾕物蒸馏的⽩酒;苹果酒;果酒</t>
  </si>
  <si>
    <t>贤酒遵醇</t>
  </si>
  <si>
    <t>苹果酒;甜果酒;鸡尾酒;含⽔果酒精饮料;葡萄酒;⽶酒;⻘稞酒;⻩酒;果酒（含酒精）;⽩酒</t>
  </si>
  <si>
    <t>齐固集铁汉</t>
  </si>
  <si>
    <t>邯郸市知之知新能源科技有限公司</t>
  </si>
  <si>
    <t>⽩酒;⻩酒;苹果酒;蒸煮提取物（利⼝酒和烈酒）;酒精饮料（啤酒除外）;烧酒;鸡尾酒;酸酒（低等葡萄酒）;蒸馏饮料;清酒（⽇本⽶酒）</t>
  </si>
  <si>
    <t>格兰泽</t>
  </si>
  <si>
    <t>深圳威赞国际贸易有限公司</t>
  </si>
  <si>
    <t>清酒;⽩兰地;鸡尾酒;利⼝酒;葡萄酒;露酒;果酒（含酒精）;烈酒;⽩酒;威⼠忌</t>
  </si>
  <si>
    <t>洞宝泉</t>
  </si>
  <si>
    <t>泸州国宾泉酒业有限公司</t>
  </si>
  <si>
    <t>苦味酒;开胃酒;葡萄酒;⽩兰地;⽩酒;烧酒;⻘稞酒;酒精饮料（啤酒除外）;果酒（含酒精）;威⼠忌</t>
  </si>
  <si>
    <t>囍樱为有你</t>
  </si>
  <si>
    <t>辽宁浑河酒业有限公司</t>
  </si>
  <si>
    <t>威⼠忌;⽶酒;⽩酒;葡萄酒;露酒;烧酒;果酒（含酒精）;清酒（⽇本⽶酒）;利⼝酒</t>
  </si>
  <si>
    <t>碛口永裕泉</t>
  </si>
  <si>
    <t>刘荣</t>
  </si>
  <si>
    <t>⽩酒;酒精饮料（啤酒除外）;⽶酒;烧酒;⻩酒;⾕物制蒸馏酒精饮料;⻘稞酒;⾷⽤酒精;烈酒（饮料）;果酒（含酒精）</t>
  </si>
  <si>
    <t>鼎悠</t>
  </si>
  <si>
    <t>辉月食品有限公司</t>
  </si>
  <si>
    <t>⽩酒;⻩酒;⽶酒;酒精饮料（啤酒除外）;果酒（含酒精）;含⽔果酒精饮料;⾷⽤酒精;葡萄酒;鸡尾酒;⽩兰地</t>
  </si>
  <si>
    <t>醉然</t>
  </si>
  <si>
    <t>贵州省仁怀市醉然酒业有限公司</t>
  </si>
  <si>
    <t>鸡尾酒;利⼝酒;威⼠忌;⽩酒;⻘稞酒;⻩酒;葡萄酒;⽶酒;烧酒;果酒（含酒精）</t>
  </si>
  <si>
    <t>贵州省大胖刘餐饮管理服务有限公司</t>
  </si>
  <si>
    <t>⽩酒;除啤酒外的酒精饮料;开胃酒;⾼粱酒;杨梅酒;⻩酒;⽶酒;⻘梅酒;预先混合的酒精饮料（以啤酒为主的除外）;果酒</t>
  </si>
  <si>
    <t>妙韵坊</t>
  </si>
  <si>
    <t>河北五兴能源集团有限公司</t>
  </si>
  <si>
    <t>葡萄酒;果酒（含酒精）;烈酒（饮料）;烧酒;⽩酒;含⽔果酒精饮料</t>
  </si>
  <si>
    <t>窖贵山</t>
  </si>
  <si>
    <t>刘金花</t>
  </si>
  <si>
    <t>⽩酒;⻩酒;开胃酒;酒精饮料（啤酒除外）;葡萄酒;果酒;利⼝酒;烈酒（饮料）;⽶酒;烧酒</t>
  </si>
  <si>
    <t>何为醉珍酿</t>
  </si>
  <si>
    <t>湖南省大印湘西酒业有限公司</t>
  </si>
  <si>
    <t>苹果酒;烧酒;汽酒;果酒（含酒精）;烈酒（饮料）;葡萄酒;⽶酒;⽩酒;果酒;鸡尾酒</t>
  </si>
  <si>
    <t>虎腋池</t>
  </si>
  <si>
    <t>含山县林头镇赵丽华家庭农场</t>
  </si>
  <si>
    <t>果酒（含酒精）;威⼠忌;⽩酒;利⼝酒;烈酒;汽酒;⽶酒;甜酒;烧酒（烈酒）;葡萄酒</t>
  </si>
  <si>
    <t>成都林深见鹿文旅有限公司</t>
  </si>
  <si>
    <t>梅酒;葡萄酒;含⽔果酒精饮料;清酒;烧酒;⽶酒;⽩酒;含酒精⽔果饮料;⻘稞酒;果酒</t>
  </si>
  <si>
    <t>弥出</t>
  </si>
  <si>
    <t>厦门弥出贸易有限公司</t>
  </si>
  <si>
    <t>果酒（含酒精）;清酒（⽇本⽶酒）;⽩酒;烧酒（烈酒）;⽶酒;烈酒（饮料）;含⽔果酒精饮料;⻩酒;鸡尾酒;葡萄酒</t>
  </si>
  <si>
    <t>呶娃</t>
  </si>
  <si>
    <t>中藜优科（翁牛特旗）科技有限公司</t>
  </si>
  <si>
    <t>鸡尾酒;葡萄酒;利⼝酒;⽩酒;⻩酒;⻘稞酒;⽶酒;烧酒;威⼠忌;果酒</t>
  </si>
  <si>
    <t>奇治</t>
  </si>
  <si>
    <t>贵州奇治酒业有限公司</t>
  </si>
  <si>
    <t>烧酒;⽶酒;烈酒（饮料）;葡萄酒;⻘稞酒;鸡尾酒;⻩酒;果酒（含酒精）;酒精饮料（啤酒除外）;⽩酒</t>
  </si>
  <si>
    <t>义临台</t>
  </si>
  <si>
    <t>陈华浪</t>
  </si>
  <si>
    <t>利⼝酒;烧酒;⽶酒;预先混合的酒精饮料（以啤酒为主的除外）;⽩酒;红葡萄酒;蒸馏饮料;⻩酒;含⽔果酒精饮料;烈酒（饮料）</t>
  </si>
  <si>
    <t>白松洋</t>
  </si>
  <si>
    <t>⾕物制蒸馏酒精饮料;⽼酒（中国蒸馏烈酒）;利⼝酒;⾷⽤酒精;⽩酒;含酒精的饮料（啤酒除外）;⻩酒;果酒（含酒精）;⾼粱酒;⻘稞酒</t>
  </si>
  <si>
    <t>黄梅龙舟</t>
  </si>
  <si>
    <t>黄梅县农文旅投资开发有限公司</t>
  </si>
  <si>
    <t>⽩酒;葡萄酒;威⼠忌;⽩兰地;利⼝酒;朗姆酒;烧酒;伏特加酒;烈酒（饮料）;⽶酒</t>
  </si>
  <si>
    <t>兼酒大师</t>
  </si>
  <si>
    <t>合肥市榜十信息科技有限公司</t>
  </si>
  <si>
    <t>烈酒（饮料）;朗姆酒;⽩酒;伏特加酒;酒精饮料（啤酒除外）;葡萄酒;果酒（含酒精）;威⼠忌;鸡尾酒;⽶酒</t>
  </si>
  <si>
    <t>疆尹</t>
  </si>
  <si>
    <t>胡旭</t>
  </si>
  <si>
    <t>鸡尾酒;烈酒;⻘稞酒;葡萄酒;⻩酒;⽩酒;烧酒;⽶酒;⽩兰地;威⼠忌</t>
  </si>
  <si>
    <t>海滨王</t>
  </si>
  <si>
    <t>贵州遵酒酿酒集团有限公司</t>
  </si>
  <si>
    <t>葡萄酒;果酒;烧酒;蒸煮提取物(利⼝酒和烈酒);酒精饮料(啤酒除外);⻩酒;开胃酒;清酒;⽶酒;⽩酒</t>
  </si>
  <si>
    <t>厚再</t>
  </si>
  <si>
    <t>⻩酒;⽩酒;⾕物制蒸馏酒精饮料;⽩兰地;⾷⽤酒精;烧酒;果酒（含酒精）;葡萄酒;⽶酒;伏特加酒</t>
  </si>
  <si>
    <t>吃酒兽</t>
  </si>
  <si>
    <t>普洱吃酒兽商贸有限公司</t>
  </si>
  <si>
    <t>葡萄酒;蒸馏饮料;开胃酒;⽶酒;清酒;⽩兰地;⾷⽤酒精;鸡尾酒;含⽔果酒精饮料;⽩酒</t>
  </si>
  <si>
    <t>优家人</t>
  </si>
  <si>
    <t>王文海</t>
  </si>
  <si>
    <t>⽩酒;开胃酒;餐后酒（利⼝酒和烈酒）;蜂蜜酒;蒸馏饮料;苦味酒;⻩酒;果酒（含酒精）;葡萄酒;⽶酒</t>
  </si>
  <si>
    <t>品峨眉</t>
  </si>
  <si>
    <t>峨眉山品味酒业有限公司</t>
  </si>
  <si>
    <t>⻘稞酒;⾼粱酒;五加⽪酒（中国混合烈酒）;⽼酒（中国蒸馏烈酒）;⽢蔗制酒精饮料;梅酒;烧酒;⽩酒;烈酒;果酒</t>
  </si>
  <si>
    <t>网球候鸟</t>
  </si>
  <si>
    <t>深圳市网悦信息技术有限公司</t>
  </si>
  <si>
    <t>⾼粱酒;烈酒;由⾕物蒸馏的⽩酒;⻩酒;⽩酒;⽼酒（中国蒸馏烈酒）;烧酒（烈酒）;⻘稞酒;烧酒</t>
  </si>
  <si>
    <t>东方熊业</t>
  </si>
  <si>
    <t>御熊堂医药科技（湖北）有限公司</t>
  </si>
  <si>
    <t>汽酒;⽩酒;含⽔果酒精饮料;开胃酒;鸡尾酒;威⼠忌;葡萄酒;⽶酒;烧酒;露酒</t>
  </si>
  <si>
    <t>七福广济</t>
  </si>
  <si>
    <t>威高集团有限公司</t>
  </si>
  <si>
    <t>含⽔果酒精饮料;苦味酒;果酒（含酒精）;葡萄酒;鸡尾酒;酒精饮料（啤酒除外）;⽶酒;⽩酒;烈酒（饮料）;蒸馏饮料</t>
  </si>
  <si>
    <t>满坛藏</t>
  </si>
  <si>
    <t>开胃酒;⽩酒;⻩酒;酒精饮料（啤酒除外）;果酒;烧酒;利⼝酒;烈酒（饮料）;⽶酒;葡萄酒</t>
  </si>
  <si>
    <t>潇湘虎</t>
  </si>
  <si>
    <t>长沙港大贸易有限公司</t>
  </si>
  <si>
    <t>⽶酒;⾕物制蒸馏酒精饮料;鸡尾酒;葡萄酒;甜酒;果酒（含酒精）;烈酒（饮料）;⽩酒;⾼粱酒;酒精饮料（啤酒除外）</t>
  </si>
  <si>
    <t>吉集香</t>
  </si>
  <si>
    <t>毕建秋</t>
  </si>
  <si>
    <t>葡萄酒;⻩酒;烈酒（饮料）;酒精饮料（啤酒除外）;清酒;⽩酒;果酒（含酒精）;鸡尾酒;⽶酒;烧酒</t>
  </si>
  <si>
    <t>希土</t>
  </si>
  <si>
    <t>华发科技（内蒙古）有限公司</t>
  </si>
  <si>
    <t>果酒;烧酒;烈酒;⽩酒;甜酒;⾼粱酒;含⽔果酒精饮料;鸡尾酒;⻩酒;⽶酒</t>
  </si>
  <si>
    <t>永年郭府</t>
  </si>
  <si>
    <t>河北广府太极酒业有限公司</t>
  </si>
  <si>
    <t>⽩酒;果酒（含酒精）;葡萄酒;烈酒;烧酒;鸡尾酒;酒精饮料（啤酒除外）;清酒;⻩酒;⽶酒</t>
  </si>
  <si>
    <t>橘士忌</t>
  </si>
  <si>
    <t>广东中农农心生态农业有限公司</t>
  </si>
  <si>
    <t>烧酒;预先混合的酒精饮料（以啤酒为主的除外）;果酒（含酒精）;⻩酒;⽶酒;苹果酒;葡萄酒;烈酒（饮料）;利⼝酒;⽩酒</t>
  </si>
  <si>
    <t>阳万益</t>
  </si>
  <si>
    <t>深圳阳万益健康科技有限公司</t>
  </si>
  <si>
    <t>清酒;威⼠忌;酒精饮料（啤酒除外）;含酒精的饮料（啤酒除外）;⾕物制蒸馏酒精饮料;果酒;伏特加酒;葡萄酒;⻩酒;⽩兰地</t>
  </si>
  <si>
    <t>粹丰康</t>
  </si>
  <si>
    <t>彭娟</t>
  </si>
  <si>
    <t>开胃酒;葡萄酒;⽩兰地;⽩酒;清酒;⻘稞酒;⻩酒;果酒（含酒精）;⽶酒;⾼粱酒</t>
  </si>
  <si>
    <t>德盛道夫</t>
  </si>
  <si>
    <t>谢雄</t>
  </si>
  <si>
    <t>苹果酒;⽩酒;开胃酒;葡萄酒;烧酒;⻩酒;果酒;果酒（含酒精）;鸡尾酒;⽶酒</t>
  </si>
  <si>
    <t>庄园古川</t>
  </si>
  <si>
    <t>四川省古川酒业有限公司</t>
  </si>
  <si>
    <t>⽩酒;果酒;⻩酒;⽼酒（中国蒸馏烈酒）;⽶酒;⽓泡酒;烧酒;预先混合的酒精饮料（以啤酒为主的除外）;烈酒（饮料）;露酒</t>
  </si>
  <si>
    <t>愚悟清雅</t>
  </si>
  <si>
    <t>国勤资本有限公司</t>
  </si>
  <si>
    <t>⽶酒;⻩酒;烈酒（饮料）;葡萄酒;果酒;威⼠忌;⽩酒;烧酒;露酒;清酒（⽇本⽶酒）</t>
  </si>
  <si>
    <t>瓷太子</t>
  </si>
  <si>
    <t>李超</t>
  </si>
  <si>
    <t>果酒（含酒精）;⽶酒;烧酒;⽩酒;蒸馏饮料;葡萄酒;⽩兰地;鸡尾酒;⻩酒;威⼠忌</t>
  </si>
  <si>
    <t>川言</t>
  </si>
  <si>
    <t>汕头市鮀岛酒厂有限公司</t>
  </si>
  <si>
    <t>烧酒;酒精饮料（啤酒除外）;⻩酒;果酒（含酒精）;露酒;清酒（⽇本⽶酒）;⽩酒;鸡尾酒;⽶酒;烈酒（饮料）</t>
  </si>
  <si>
    <t>吉祥汵</t>
  </si>
  <si>
    <t>王笑</t>
  </si>
  <si>
    <t>⽩酒;烧酒（烈酒）;⽩⼲酒（中国⽩酒）;⽼酒（中国蒸馏烈酒）;⾼粱酒;露酒;烈酒（饮料）;果酒（含酒精）;由⾕物蒸馏的⽩酒;烧酒</t>
  </si>
  <si>
    <t>余夫字酒 余夫子</t>
  </si>
  <si>
    <t>河南清圣阁供应链管理有限公司</t>
  </si>
  <si>
    <t>含酒精的鸡尾酒混合饮品;调制好的葡萄酒鸡尾酒;酒精饮料（啤酒除外）;利⼝酒;⽩酒;含酒精⽔果饮料;葡萄酒;果酒（含酒精）;蒸煮提取物（利⼝酒和烈酒）;以朗姆酒为主的饮料</t>
  </si>
  <si>
    <t>添源时光记忆</t>
  </si>
  <si>
    <t>湖南新添源数智化供应链有限公司</t>
  </si>
  <si>
    <t>烈酒;露酒;烈性⼲酒;⽶酒;⽩⼲酒（中国⽩酒）;⾼粱酒;甜酒;⽩酒;不起泡葡萄酒;红葡萄酒</t>
  </si>
  <si>
    <t>柳地</t>
  </si>
  <si>
    <t>⽶酒;⽩酒;杨梅酒;⻩酒;梅酒;酒精饮料（啤酒除外）;葡萄酒;⻘梅酒;甜酒;果酒</t>
  </si>
  <si>
    <t>仁怀市暹泰酒业有限公司</t>
  </si>
  <si>
    <t>⽼酒（中国蒸馏烈酒）;烈酒（饮料）;鸡尾酒;⽩⼲酒（中国⽩酒）;酒精饮料（啤酒除外）;⾼粱酒;果酒;⽩酒;葡萄酒;烈酒</t>
  </si>
  <si>
    <t>宸咏</t>
  </si>
  <si>
    <t>晋城市宸咏基团康养服务有限公司</t>
  </si>
  <si>
    <t>果酒（含酒精）;鸡尾酒;利⼝酒;⻘稞酒;⽩酒;⽶酒;葡萄酒;⽩兰地;酒精饮料（啤酒除外）;清酒（⽇本⽶酒）</t>
  </si>
  <si>
    <t>纯乐士</t>
  </si>
  <si>
    <t>辽宁纯乐士生物科技有限公司</t>
  </si>
  <si>
    <t>葡萄酒;樱桃酒;⽩兰地;威⼠忌;鸡尾酒;含⽔果酒精饮料;⽩酒;酒精饮料原汁;含酒精的⽓泡⽔;果酒（含酒精）</t>
  </si>
  <si>
    <t>壹门贰将</t>
  </si>
  <si>
    <t>壹门贰酱（广州）营销管理有限公司</t>
  </si>
  <si>
    <t>⽶酒;葡萄酒;⽩酒;果酒（含酒精）;餐后酒（利⼝酒和烈酒）;烈酒（饮料）;威⼠忌;烧酒;⻩酒;酒精饮料（啤酒除外）</t>
  </si>
  <si>
    <t>挑河打堤</t>
  </si>
  <si>
    <t>韩亮</t>
  </si>
  <si>
    <t>鸡尾酒;⽶酒;葡萄酒;⽩兰地;⻩酒;⽩酒;⻘稞酒;⾷⽤酒精;烧酒;酒精饮料（啤酒除外）</t>
  </si>
  <si>
    <t>沙之梦</t>
  </si>
  <si>
    <t>周明学</t>
  </si>
  <si>
    <t>葡萄酒;烧酒;鸡尾酒;⽩兰地;烈酒（饮料）;⽶酒;甜酒;果酒（含酒精）;蜂蜜酒;⽩酒</t>
  </si>
  <si>
    <t>画地十策</t>
  </si>
  <si>
    <t>汝阳县张家老酒酒业有限公司</t>
  </si>
  <si>
    <t>酒精饮料（啤酒除外）;烧酒;⽶酒;烈酒（饮料）;鸡尾酒;蒸馏饮料;⻘稞酒;含⽔果酒精饮料;⽩酒;葡萄酒</t>
  </si>
  <si>
    <t>即嘉</t>
  </si>
  <si>
    <t>杨凯丽</t>
  </si>
  <si>
    <t>鸡尾酒;葡萄酒;果酒;⻩酒;烈酒（饮料）;清酒（⽇本⽶酒）;⽩酒;威⼠忌;酒精饮料（啤酒除外）;开胃酒</t>
  </si>
  <si>
    <t>聚满疆</t>
  </si>
  <si>
    <t>郝占军</t>
  </si>
  <si>
    <t>⾼粱酒;果酒;烈酒;清酒;红葡萄酒;甜酒;⽩酒;含酒精的⽓泡⽔;酒精饮料原汁;⻩酒</t>
  </si>
  <si>
    <t>宋朝礼</t>
  </si>
  <si>
    <t>青岛上和美酒业有限公司</t>
  </si>
  <si>
    <t>⽩⼲酒（中国⽩酒）;⽩酒;果酒（含酒精）;⻩酒;⽩葡萄酒;苹果酒;鸡尾酒;⽩兰地;葡萄酒;烧酒</t>
  </si>
  <si>
    <t>禄泰丰</t>
  </si>
  <si>
    <t>秦皇岛协瑞商贸有限公司</t>
  </si>
  <si>
    <t>⻩酒;开胃酒;⽩兰地;烈酒（饮料）;⽩酒;葡萄酒;清酒（⽇本⽶酒）;酒精饮料原汁;⽶酒;果酒（含酒精）</t>
  </si>
  <si>
    <t>钻神</t>
  </si>
  <si>
    <t>邓明梅</t>
  </si>
  <si>
    <t>⽶酒;葡萄酒;蜂蜜酒;烧酒;甜酒;鸡尾酒;⽩兰地;⽩酒;烈酒（饮料）;果酒（含酒精）</t>
  </si>
  <si>
    <t>迎江府东哥</t>
  </si>
  <si>
    <t>杨东</t>
  </si>
  <si>
    <t>烧酒;烈酒（饮料）;汽酒;清酒;⽩酒;⻩酒;含⽔果酒精饮料;葡萄酒;⽶酒;蜂蜜酒</t>
  </si>
  <si>
    <t>门天见</t>
  </si>
  <si>
    <t>重庆市綦江区蘭草园农家乐</t>
  </si>
  <si>
    <t>含酒精⽔果饮料;梅酒;⽶酒;汽酒;⾼粱酒;除啤酒外的酒精饮料;⽩酒;葡萄酒;⽼酒（中国蒸馏烈酒）;果酒</t>
  </si>
  <si>
    <t>甄原兴</t>
  </si>
  <si>
    <t>河北灿甄药业有限公司</t>
  </si>
  <si>
    <t>果酒（含酒精）;烧酒;⾷⽤酒精;清酒（⽇本⽶酒）;含酒精的鸡尾酒混合饮品;⽩酒;⽼酒（中国蒸馏烈酒）;葡萄酒;⾼粱酒;⻩酒</t>
  </si>
  <si>
    <t>五食曲</t>
  </si>
  <si>
    <t>四川省大邛酒业有限公司</t>
  </si>
  <si>
    <t>⽩酒;威⼠忌;烧酒;葡萄酒;含酒精的⽓泡⽔;果酒（含酒精）;清酒（⽇本⽶酒）;酒精饮料（啤酒除外）;⽶酒;含⽔果酒精饮料</t>
  </si>
  <si>
    <t>徐沛</t>
  </si>
  <si>
    <t>韩怀帅</t>
  </si>
  <si>
    <t>⽩酒;鸡尾酒;⻩酒;果酒（含酒精）;清酒（⽇本⽶酒）;烈酒（饮料）;⽶酒;烧酒;酒精饮料（啤酒除外）;葡萄酒</t>
  </si>
  <si>
    <t>绎酱福</t>
  </si>
  <si>
    <t>王堃</t>
  </si>
  <si>
    <t>⽩酒（酱⾹型）</t>
  </si>
  <si>
    <t>清藏青雅</t>
  </si>
  <si>
    <t>云南滇善滇美酒业有限公司</t>
  </si>
  <si>
    <t>以葡萄酒为主的饮料;烧酒;含酒精的饮料（啤酒除外）;⾷⽤酒精;⾼粱酒;⽩⼲酒（中国⽩酒）;⽶酒;⽩酒;由⾕物蒸馏的⽩酒;⽼酒（中国蒸馏烈酒）</t>
  </si>
  <si>
    <t>泊今</t>
  </si>
  <si>
    <t>河北坤诚通信科技有限公司</t>
  </si>
  <si>
    <t>葡萄酒;酒精饮料（啤酒除外）;烈酒（饮料）;预先混合的酒精饮料（以啤酒为主的除外）;果酒（含酒精）;蒸煮提取物（利⼝酒和烈酒）;⽶酒;⻩酒;⾷⽤酒精;⽩酒</t>
  </si>
  <si>
    <t>果酒;烧酒;⽩⼲酒（中国⽩酒）;⽼酒（中国蒸馏烈酒）;⽶酒;清酒;烈酒;威⼠忌;⽩酒;⻩酒</t>
  </si>
  <si>
    <t>贵宴赢</t>
  </si>
  <si>
    <t>杨梅酒;⻩酒;⽶酒;清酒;⾼粱酒;烧酒;苦荞酒;烈酒;⽩酒;⻘稞酒</t>
  </si>
  <si>
    <t>贵宴润</t>
  </si>
  <si>
    <t>苦荞酒;⾼粱酒;⻘稞酒;烧酒;⽶酒;杨梅酒;清酒;⽩酒;⻩酒;烈酒</t>
  </si>
  <si>
    <t>怀庄文化封坛酒</t>
  </si>
  <si>
    <t>贵州怀庄酒业（集团）有限责任公司</t>
  </si>
  <si>
    <t>⽩酒;⾷⽤酒精;烧酒;葡萄酒;甜果酒;鸡尾酒;烈酒（饮料）;酒精饮料（啤酒除外）;⽶酒;果酒（含酒精）</t>
  </si>
  <si>
    <t>越王龙</t>
  </si>
  <si>
    <t>周宏川</t>
  </si>
  <si>
    <t>鸡尾酒;葡萄酒;⽩兰地;⽶酒;烧酒;苹果酒;开胃酒;威⼠忌;⽩酒;⻩酒</t>
  </si>
  <si>
    <t>本元臻选（海南）科技有限公司</t>
  </si>
  <si>
    <t>烈酒;⻘稞酒;果酒（含酒精）;烧酒;⻩酒;鸡尾酒;朗姆酒;⾕物制蒸馏酒精饮料;酒精饮料（啤酒除外）;葡萄酒</t>
  </si>
  <si>
    <t>青漠羽</t>
  </si>
  <si>
    <t>李慧玲13042********4096X</t>
  </si>
  <si>
    <t>伏特加酒;苦味酒;含酒精的⽓泡⽔;⽩酒;葡萄酒;果酒（含酒精）;⾷⽤酒精;烈酒（饮料）;⽩兰地;朗姆酒</t>
  </si>
  <si>
    <t>红山嘉致</t>
  </si>
  <si>
    <t>内蒙古嘉致农业科技有限公司</t>
  </si>
  <si>
    <t>鸡尾酒;⽔果汽酒;除啤酒外的酒精饮料;含酒精⽔果饮料;葡萄酒;含酒精的⽔果鸡尾酒饮料;酒精饮料原汁;⽩酒;烈酒;⾼粱酒;烈酒（饮料）;果酒（含酒精）</t>
  </si>
  <si>
    <t>松莹</t>
  </si>
  <si>
    <t>儋州松莹农业发展有限公司</t>
  </si>
  <si>
    <t>⻩酒;餐后酒（利⼝酒和烈酒）;利⼝酒;烈酒（饮料）;烧酒;果酒（含酒精）;⽩酒;开胃酒;葡萄酒;⽶酒</t>
  </si>
  <si>
    <t>太岁福生物科技有限公司</t>
  </si>
  <si>
    <t>⻩酒;⾷⽤酒精;果酒（含酒精）;酒精饮料（啤酒除外）;葡萄酒;⽩酒;朝鲜族⽶酒;餐后酒（利⼝酒和烈酒）;开胃酒;⻘稞酒</t>
  </si>
  <si>
    <t>阿斌歌</t>
  </si>
  <si>
    <t>云南阿斌歌交通文化传媒有限公司</t>
  </si>
  <si>
    <t>⽩酒;果酒（含酒精）;⻘稞酒;果酒;由⾕物蒸馏的⽩酒;⻨芽威⼠忌;酒精饮料浓缩汁;梅酒;葡萄酒;酒精饮料（啤酒除外）</t>
  </si>
  <si>
    <t>元一祥</t>
  </si>
  <si>
    <t>北京元兴祥国际文化发展有限公司</t>
  </si>
  <si>
    <t>⻩酒;杏仁酒;酒精饮料原汁;酒精饮料（啤酒除外）;果酒（含酒精）;蜂蜜酒;⽶酒;古法酿制⻩酒;⻩精酒;桑椹酒</t>
  </si>
  <si>
    <t>石林用九</t>
  </si>
  <si>
    <t>石林用九企业管理有限公司</t>
  </si>
  <si>
    <t>⾼粱酒;五加⽪酒（中国混合烈酒）;除啤酒外的酒精饮料;清酒;烧酒;含⽔果酒精饮料;红葡萄酒;果酒;⽶酒;⽩酒;苦荞酒</t>
  </si>
  <si>
    <t>朗雪渔歌</t>
  </si>
  <si>
    <t>周德寿</t>
  </si>
  <si>
    <t>⽩酒;酒精饮料原汁;⽶酒;烧酒;酒精饮料（啤酒除外）;果酒（含酒精）;葡萄酒;⾷⽤酒精;烈酒（饮料）;蒸馏饮料</t>
  </si>
  <si>
    <t>贵州茅台镇大福酒业（集团）有限公司</t>
  </si>
  <si>
    <t>烧酒（烈酒）;烈酒（饮料）;⽩兰地;果酒（含酒精）;葡萄酒;⽼酒（中国蒸馏烈酒）;⻩酒;⽩酒;酒精饮料（啤酒除外）;⽩⼲酒（中国⽩酒）</t>
  </si>
  <si>
    <t>井笠</t>
  </si>
  <si>
    <t>邱龙伟</t>
  </si>
  <si>
    <t>鸡尾酒;酒精饮料（啤酒除外）;清酒;⽶酒;⾼粱酒;葡萄酒;⽩酒;⻩酒;杨梅酒;烧酒</t>
  </si>
  <si>
    <t>金岭淄味</t>
  </si>
  <si>
    <t>淄博沐星文化传媒有限公司</t>
  </si>
  <si>
    <t>⽩酒;红葡萄酒;⻩酒;烧酒;果酒（含酒精）;⽶酒;酒精饮料（啤酒除外）;预先混合的酒精饮料（以啤酒为主的除外）;含⽔果酒精饮料;葡萄酒</t>
  </si>
  <si>
    <t>齐民思齐民要术</t>
  </si>
  <si>
    <t>山东寿光齐民思酒业有限责任公司</t>
  </si>
  <si>
    <t>葡萄酒;⻩酒;果酒（含酒精）;苹果酒;⽶酒;烈酒（饮料）;⽩酒;鸡尾酒;酒精饮料（啤酒除外）;烧酒</t>
  </si>
  <si>
    <t>何世白龙</t>
  </si>
  <si>
    <t>杭州艾窦宝健康管理有限公司</t>
  </si>
  <si>
    <t>⻩酒;蒸馏饮料;除啤酒外的酒精饮料;甜酒;葡萄酒;烈酒;⽩酒;⽶酒;烧酒;酒精饮料（啤酒除外）</t>
  </si>
  <si>
    <t>紫马黑汉</t>
  </si>
  <si>
    <t>云南仁山仁海实业有限公司</t>
  </si>
  <si>
    <t>鸡尾酒;蜂蜜酒;威⼠忌;果酒;⽩酒;果酒（含酒精）;酒精饮料原汁;葡萄酒;清酒;杨梅酒</t>
  </si>
  <si>
    <t>古森逸香阁</t>
  </si>
  <si>
    <t>陈森林</t>
  </si>
  <si>
    <t>酒精饮料原汁;葡萄酒;⽩酒;酒精饮料（啤酒除外）;烧酒;烈酒（饮料）;⾷⽤酒精;果酒（含酒精）;⽶酒;蒸馏饮料</t>
  </si>
  <si>
    <t>潮星期</t>
  </si>
  <si>
    <t>激活鸟集团有限公司</t>
  </si>
  <si>
    <t>⽶酒;果酒;葡萄酒;⻩酒;含⽔果酒精饮料;鸡尾酒;烈酒;⽩兰地;⽩酒;清酒</t>
  </si>
  <si>
    <t>贵宴聚</t>
  </si>
  <si>
    <t>⽶酒;烈酒;⽩酒;清酒;杨梅酒;烧酒;苦荞酒;⾼粱酒;⻩酒;⻘稞酒</t>
  </si>
  <si>
    <t>MIUMIUCAT</t>
  </si>
  <si>
    <t>沈阳市和平区中诚品牌策划有限责任公司</t>
  </si>
  <si>
    <t>酒精饮料（啤酒除外）;⾕物制蒸馏酒精饮料;鸡尾酒;汽酒;含⽔果酒精饮料;薄荷酒;果酒（含酒精）;酒精饮料原汁;含酒精的⽓泡⽔;含酒精的充⽓饮料（啤酒除外）</t>
  </si>
  <si>
    <t>双赏</t>
  </si>
  <si>
    <t>林生贵</t>
  </si>
  <si>
    <t>烈酒（饮料）;葡萄酒;开胃酒;清酒（⽇本⽶酒）;⻘稞酒;含酒精的饮料（啤酒除外）;鸡尾酒;⽩酒;果酒（含酒精）;⽶酒</t>
  </si>
  <si>
    <t>咏序</t>
  </si>
  <si>
    <t>绍兴蓝石文化创意有限公司</t>
  </si>
  <si>
    <t>⻩酒;果酒;烧酒（烈酒）;蜂蜜酒;⾼粱酒;⽇式甜⽶酒;烧酒;葡萄酒;⽶酒;⽩酒</t>
  </si>
  <si>
    <t>粱好汉</t>
  </si>
  <si>
    <t>阮冉</t>
  </si>
  <si>
    <t>开胃酒;⻩酒;⽩酒;果酒;烈酒（饮料）;清酒（⽇本⽶酒）;威⼠忌;葡萄酒;酒精饮料（啤酒除外）;鸡尾酒</t>
  </si>
  <si>
    <t>理强</t>
  </si>
  <si>
    <t>张茂龙</t>
  </si>
  <si>
    <t>烈酒（饮料）;葡萄酒;果酒（含酒精）;⽶酒;酒精饮料（啤酒除外）;⾷⽤酒精;烧酒;⻩酒;⻘稞酒;⽩酒</t>
  </si>
  <si>
    <t>烧氿公</t>
  </si>
  <si>
    <t>佛山市顺德区友茶友酒商业有限公司</t>
  </si>
  <si>
    <t>烧酒;葡萄酒;酒精饮料（啤酒除外）;果酒（含酒精）;清酒;利⼝酒;开胃酒;⽩兰地;⾷⽤酒精;⽶酒</t>
  </si>
  <si>
    <t>莼果庆</t>
  </si>
  <si>
    <t>重庆望登丰商贸有限公司</t>
  </si>
  <si>
    <t>烧酒;清酒;⻩酒;开胃酒;由⾕物蒸馏的⽩酒;果酒;⽩酒;⻘梅酒;梅酒;⽶酒</t>
  </si>
  <si>
    <t>墩头蓝</t>
  </si>
  <si>
    <t>河源墩头蓝智文化有限公司</t>
  </si>
  <si>
    <t>果酒（含酒精）;果酒;⽩酒;甜酒;露酒;甜果酒;梅酒;清酒;⽶酒;清酒（⽇本⽶酒）</t>
  </si>
  <si>
    <t>君飞</t>
  </si>
  <si>
    <t>李晨曦</t>
  </si>
  <si>
    <t>葡萄酒;⽩兰地;果酒（含酒精）;⽶酒;甜酒;鸡尾酒;蜂蜜酒;烈酒（饮料）;烧酒;⽩酒</t>
  </si>
  <si>
    <t>李建军</t>
  </si>
  <si>
    <t>烧酒;⽩酒;餐后酒（利⼝酒和烈酒）;酒精饮料（啤酒除外）;酒精饮料浓缩汁;烈酒（饮料）;酒精饮料原汁;⾕物制蒸馏酒精饮料;蒸馏饮料;⾷⽤酒精</t>
  </si>
  <si>
    <t>合莲春</t>
  </si>
  <si>
    <t>王旭</t>
  </si>
  <si>
    <t>酒精饮料原汁;酒精饮料（啤酒除外）;预先混合的酒精饮料（以啤酒为主的除外）;露酒;⽩酒;果酒（含酒精）;⾷⽤酒精;⽶酒;烧酒;蒸馏饮料</t>
  </si>
  <si>
    <t>享小养</t>
  </si>
  <si>
    <t>郑艳霞</t>
  </si>
  <si>
    <t>⾷⽤酒精;⾼粱酒;果酒（含酒精）;烧酒;酒精饮料浓缩汁;⽶酒;葡萄酒;蒸煮提取物（利⼝酒和烈酒）;酒精饮料（啤酒除外）;⽩酒</t>
  </si>
  <si>
    <t>游牧黄金</t>
  </si>
  <si>
    <t>重庆衣线牵科技有限公司</t>
  </si>
  <si>
    <t>酒精饮料（啤酒除外）;烧酒;果酒（含酒精）;烈酒（饮料）;葡萄酒;⻩酒;⾷⽤酒精;⽩酒;⽶酒;清酒</t>
  </si>
  <si>
    <t>KKAVIATION</t>
  </si>
  <si>
    <t>邝伟驱</t>
  </si>
  <si>
    <t>薄荷酒;酒精饮料（啤酒除外）;⽩酒;⽶酒;烈酒（饮料）;果酒（含酒精）;苦味酒;开胃酒;利⼝酒;蜂蜜酒</t>
  </si>
  <si>
    <t>泳呈</t>
  </si>
  <si>
    <t>葡萄酒;利⼝酒;⽩兰地;酒精饮料（啤酒除外）;⽶酒;果酒（含酒精）;烧酒;⻩酒;⾷⽤酒精;清酒</t>
  </si>
  <si>
    <t>巷酒巷</t>
  </si>
  <si>
    <t>成都跃铭机电设备有限公司</t>
  </si>
  <si>
    <t>鸡尾酒;含⽔果酒精饮料;烈酒（饮料）;⽶酒;烈性⼲酒;⽼酒（中国蒸馏烈酒）;烧酒（烈酒）;⽩⼲酒（中国⽩酒）;⾼粱酒;⽩酒</t>
  </si>
  <si>
    <t>皖美一家人</t>
  </si>
  <si>
    <t>亳州市皖美人家酒业有限公司</t>
  </si>
  <si>
    <t>⽶酒;⽩酒;烈酒;果酒（含酒精）;已调味的⻨芽酿制的酒精饮料（啤酒除外）;果酒;⻩酒;⾷⽤酒精;露酒;苦荞酒</t>
  </si>
  <si>
    <t>黍越流金</t>
  </si>
  <si>
    <t>烧酒;鸡尾酒;⽩酒;果酒（含酒精）;烈酒（饮料）;酒精饮料（啤酒除外）;⽢蔗制烈酒;⻩酒;⽶酒;葡萄酒</t>
  </si>
  <si>
    <t>䭪源道</t>
  </si>
  <si>
    <t>四川好四季企业管理有限公司</t>
  </si>
  <si>
    <t>葡萄酒;酒精饮料（啤酒除外）;含⽔果酒精饮料;果酒（含酒精）;⾕物制蒸馏酒精饮料;⾷⽤酒精;烈酒（饮料）;蒸馏饮料;酒精饮料原汁;鸡尾酒</t>
  </si>
  <si>
    <t>神坛圣帝</t>
  </si>
  <si>
    <t>葡萄酒;烧酒;烈酒（饮料）;⽩酒;甜酒;⽩兰地;⽶酒;鸡尾酒;果酒（含酒精）;蜂蜜酒</t>
  </si>
  <si>
    <t>羡塘燕子洞</t>
  </si>
  <si>
    <t>崔政昌</t>
  </si>
  <si>
    <t>⽶酒;含酒精的饮料（啤酒除外）;⽩兰地;⻘稞酒;果酒（含酒精）;葡萄酒;威⼠忌</t>
  </si>
  <si>
    <t>颜良文丑</t>
  </si>
  <si>
    <t>太康县枫发清百货店</t>
  </si>
  <si>
    <t>开胃酒;⻩酒;威⼠忌;果酒（含酒精）;烈酒;⽩酒;葡萄酒;酒精饮料（啤酒除外）;鸡尾酒;清酒（⽇本⽶酒）</t>
  </si>
  <si>
    <t>晋稷丰</t>
  </si>
  <si>
    <t>山西晋强联丰农业开发有限公司</t>
  </si>
  <si>
    <t>露酒;清酒;⻘稞酒;烈酒;果酒;烧酒;苦荞酒;⽩酒;⾼粱酒;⾷⽤酒精</t>
  </si>
  <si>
    <t>传邮万里</t>
  </si>
  <si>
    <t>青岛一采通电子采购服务有限公司</t>
  </si>
  <si>
    <t>⽶酒;果酒（含酒精）;葡萄酒;⻩酒;鸡尾酒;烧酒;蜂蜜酒;含酒精⽔果饮料;⽩酒;汽酒</t>
  </si>
  <si>
    <t>金鸡久旺</t>
  </si>
  <si>
    <t>黑河市久旺矿业有限责任公司</t>
  </si>
  <si>
    <t>⾕物制蒸馏酒精饮料;露酒;苹果酒;葡萄酒;烈酒（饮料）;⽩酒;餐后酒（利⼝酒和烈酒）;蒸馏饮料;果酒（含酒精）;⽶酒</t>
  </si>
  <si>
    <t>新手村</t>
  </si>
  <si>
    <t>刘岳祺</t>
  </si>
  <si>
    <t>⾕物制蒸馏酒精饮料;鸡尾酒;果酒（含酒精）;⽩酒;威⼠忌;开胃酒;酒精饮料（啤酒除外）;⽶酒;烧酒;葡萄酒</t>
  </si>
  <si>
    <t>杏运岭</t>
  </si>
  <si>
    <t>郑超文511126********2118</t>
  </si>
  <si>
    <t>酒精饮料原汁;果酒;⽩酒;含⽔果酒精饮料;⻩酒;酒精饮料（啤酒除外）;⾷⽤酒精;⾕物制蒸馏酒精饮料;烧酒;⽶酒</t>
  </si>
  <si>
    <t>寻稻源</t>
  </si>
  <si>
    <t>徐姝雯</t>
  </si>
  <si>
    <t>⽶酒;⽩酒</t>
  </si>
  <si>
    <t>康福酉</t>
  </si>
  <si>
    <t>广州天香园国际贸易有限公司</t>
  </si>
  <si>
    <t>⻩酒;⽶酒;烈酒（饮料）;葡萄酒;酒精饮料（啤酒除外）;清酒（⽇本⽶酒）;⽼酒（中国蒸馏烈酒）;果酒（含酒精）;薄荷酒;⽩酒</t>
  </si>
  <si>
    <t>豫邓十八湾</t>
  </si>
  <si>
    <t>郑州市十八湾供应链管理有限公司</t>
  </si>
  <si>
    <t>⻘稞酒;⾼粱酒;⻩酒;烧酒;⽶酒;烈酒（饮料）;⽼酒（中国蒸馏烈酒）;⽩酒;果酒;葡萄酒</t>
  </si>
  <si>
    <t>和睦祥</t>
  </si>
  <si>
    <t>武成</t>
  </si>
  <si>
    <t>含⽔果酒精饮料;烧酒;烈酒（饮料）;葡萄酒;开胃酒;⽩酒;酒精饮料（啤酒除外）;利⼝酒;⽶酒;⻩酒</t>
  </si>
  <si>
    <t>肆拾玖坊以侠之名</t>
  </si>
  <si>
    <t>⻩酒;葡萄酒;鸡尾酒;⽩酒;樱桃酒;甜果酒;果酒（含酒精）;⽶酒;汽酒;开胃酒</t>
  </si>
  <si>
    <t>佳赏</t>
  </si>
  <si>
    <t>含酒精的饮料（啤酒除外）;开胃酒;⽩酒;果酒（含酒精）;鸡尾酒;葡萄酒;⻘稞酒;清酒（⽇本⽶酒）;⽶酒;烈酒（饮料）</t>
  </si>
  <si>
    <t>义乌市伊苏服装商行（个体工商户）</t>
  </si>
  <si>
    <t>果酒（含酒精）;酒精饮料（啤酒除外）;葡萄酒;⽶酒;⻩酒;⽩⼲酒（中国⽩酒）;⽩酒;鸡尾酒;烧酒;⾷⽤酒精</t>
  </si>
  <si>
    <t>粱鹿醇</t>
  </si>
  <si>
    <t>刘国华</t>
  </si>
  <si>
    <t>⻩酒;⽩酒;果酒（含酒精）;含⽔果酒精饮料;烧酒;⾷⽤酒精;葡萄酒;⽶酒;烈酒（饮料）;酒精饮料（啤酒除外）</t>
  </si>
  <si>
    <t>成都野望不赖贸易有限公司</t>
  </si>
  <si>
    <t>果酒;⽩酒;⽶酒;葡萄酒;⽼酒（中国蒸馏烈酒）;⻩酒;烧酒;清酒;杨梅酒;⾼粱酒</t>
  </si>
  <si>
    <t>君贺天下</t>
  </si>
  <si>
    <t>刘新环</t>
  </si>
  <si>
    <t>果酒（含酒精）;⾷⽤酒精;清酒;⽼酒（中国蒸馏烈酒）;露酒;⻩酒;⽩酒;⽶酒;⽩⼲酒（中国⽩酒）;烧酒</t>
  </si>
  <si>
    <t>金禾鸿</t>
  </si>
  <si>
    <t>烧酒;鸡尾酒;葡萄酒;⾼粱酒;杨梅酒;酒精饮料（啤酒除外）;以蒸馏酒为主的开胃酒;⽩酒;⻩酒;⽶酒</t>
  </si>
  <si>
    <t>故人倾 OLD FRIENDS LEANING TOWARDS</t>
  </si>
  <si>
    <t>曹文宇</t>
  </si>
  <si>
    <t>⽼酒（中国蒸馏烈酒）;烧酒（烈酒）;烈酒（饮料）;清酒;葡萄酒;酒精饮料（啤酒除外）;⽩⼲酒（中国⽩酒）;⽩酒;果酒（含酒精）;含酒精的饮料（啤酒除外）</t>
  </si>
  <si>
    <t>MAJIADIAN</t>
  </si>
  <si>
    <t>东港市禽蛋市场有限公司</t>
  </si>
  <si>
    <t>烧酒;⽶酒;清酒;⻩酒;⽼酒（中国蒸馏烈酒）;预先混合的酒精饮料（以啤酒为主的除外）;⽩酒;果酒;酒精饮料原汁;汽酒</t>
  </si>
  <si>
    <t>晟睿王府</t>
  </si>
  <si>
    <t>沈阳碧海优航商贸有限公司</t>
  </si>
  <si>
    <t>利⼝酒;汽酒;樱桃酒;⽩兰地;威⼠忌;鸡尾酒;苹果酒;葡萄酒;含⽔果酒精饮料;⽩酒</t>
  </si>
  <si>
    <t>畅世</t>
  </si>
  <si>
    <t>邓伟</t>
  </si>
  <si>
    <t>果酒（含酒精）;葡萄酒;蜂蜜酒;⽩兰地;甜酒;烧酒;烈酒（饮料）;⽶酒;⽩酒;鸡尾酒</t>
  </si>
  <si>
    <t>爱链一只鹿</t>
  </si>
  <si>
    <t>爱生链（山东）农业科技发展有限公司</t>
  </si>
  <si>
    <t>果酒;⽩酒;⻩酒;葡萄酒;⽶酒;清酒（⽇本⽶酒）;威⼠忌;烧酒;露酒;烈酒（饮料）</t>
  </si>
  <si>
    <t>剐酒老酒库</t>
  </si>
  <si>
    <t>合肥市恒旺糖酒饮料有限责任公司</t>
  </si>
  <si>
    <t>开胃酒;⻘稞酒;亚⼒酒;利⼝酒;烧酒;果酒（含酒精）;苹果酒;薄荷酒;酒精饮料（啤酒除外）;清酒（⽇本⽶酒）</t>
  </si>
  <si>
    <t>品重仙境</t>
  </si>
  <si>
    <t>烟台顺源文化旅游发展有限公司</t>
  </si>
  <si>
    <t>鸡尾酒;烧酒;⽶酒;威⼠忌;⻩酒;果酒（含酒精）;葡萄酒;⾕物制蒸馏酒精饮料;蜂蜜酒;⽩酒</t>
  </si>
  <si>
    <t>洳韵香</t>
  </si>
  <si>
    <t>山东华海赢丰经贸有限公司</t>
  </si>
  <si>
    <t>酒精饮料（啤酒除外）;威⼠忌;烈酒（饮料）;葡萄酒;⽩兰地;⻩酒;烧酒;⽶酒;果酒（含酒精）;⽩酒</t>
  </si>
  <si>
    <t>晶岩</t>
  </si>
  <si>
    <t>唐银会</t>
  </si>
  <si>
    <t>伏特加酒;果酒（含酒精）;烈酒（饮料）;⻩酒;酒精饮料（啤酒除外）;⽩兰地;朗姆酒;⽩酒;含⽔果酒精饮料;葡萄酒</t>
  </si>
  <si>
    <t>省大师</t>
  </si>
  <si>
    <t>贵州天地乾坤品牌管理有限公司</t>
  </si>
  <si>
    <t>伏特加酒;朗姆酒;⽩酒;鸡尾酒;烧酒;⻩酒;葡萄酒;酒精饮料（啤酒除外）;威⼠忌;⽩兰地</t>
  </si>
  <si>
    <t>永绘</t>
  </si>
  <si>
    <t>山西鸿泉酒业有限公司</t>
  </si>
  <si>
    <t>烈酒（饮料）;清酒（⽇本⽶酒）;烧酒;葡萄酒;果酒（含酒精）;⽶酒;⻩酒;鸡尾酒;⽩酒;酒精饮料（啤酒除外）</t>
  </si>
  <si>
    <t>徽庆</t>
  </si>
  <si>
    <t>安徽庆酒文化发展集团有限公司</t>
  </si>
  <si>
    <t>鸡尾酒;露酒;杨梅酒;⻩酒;清酒;⻘稞酒;⾷⽤酒精;⽩酒;葡萄酒;威⼠忌</t>
  </si>
  <si>
    <t>掼王争霸</t>
  </si>
  <si>
    <t>贵州共赢酒文化传播有限公司</t>
  </si>
  <si>
    <t>葡萄酒;⽩酒;⾼粱酒;⻩酒;梨酒;苹果酒;⽶酒;果酒;鸡尾酒;烈酒</t>
  </si>
  <si>
    <t>掼王盛宴</t>
  </si>
  <si>
    <t>⻩酒;苹果酒;⽶酒;⾼粱酒;果酒;鸡尾酒;葡萄酒;⽩酒;烈酒;梨酒</t>
  </si>
  <si>
    <t>臻可口</t>
  </si>
  <si>
    <t>黄绍金</t>
  </si>
  <si>
    <t>⽩酒;甜酒;开胃酒;果酒;⻩酒;清酒;⽶酒;葡萄酒;⾷⽤酒精;汽酒</t>
  </si>
  <si>
    <t>君之百</t>
  </si>
  <si>
    <t>上海君之百实业有限公司</t>
  </si>
  <si>
    <t>⾷⽤酒精;⽶酒;⽩酒;甜酒;烧酒;⻩酒;果酒（含酒精）;鸡尾酒;葡萄酒;含⽔果酒精饮料</t>
  </si>
  <si>
    <t>ESPLAN</t>
  </si>
  <si>
    <t>烟台法贝蒂葡萄酒有限公司</t>
  </si>
  <si>
    <t>汽酒;果酒（含酒精）;葡萄酒;酒精饮料（啤酒除外）;威⼠忌;鸡尾酒;⽩兰地;蒸煮提取物（利⼝酒和烈酒）;利⼝酒;预先混合的酒精饮料（以啤酒为主的除外）</t>
  </si>
  <si>
    <t>蜀浓王</t>
  </si>
  <si>
    <t>王志峰</t>
  </si>
  <si>
    <t>⽩酒;⻘稞酒;威⼠忌;⽩兰地;烧酒;⻩酒;果酒（含酒精）;清酒（⽇本⽶酒）;葡萄酒;⽶酒</t>
  </si>
  <si>
    <t>MANTOURS 曼妥思</t>
  </si>
  <si>
    <t>浙江百臻控股集团有限公司</t>
  </si>
  <si>
    <t>⽩兰地;⽩酒;酒精饮料（啤酒除外）;伏特加酒;以葡萄酒为主的开胃酒;⽩葡萄酒;果酒（含酒精）;葡萄酒;威⼠忌;红葡萄酒</t>
  </si>
  <si>
    <t>练秋湖</t>
  </si>
  <si>
    <t>上海几样品牌管理有限公司</t>
  </si>
  <si>
    <t>红葡萄酒;威⼠忌;⻩酒;⽩酒;鸡尾酒;⽶酒;果酒;清酒;⾷⽤酒精;烧酒（烈酒）</t>
  </si>
  <si>
    <t>老擿</t>
  </si>
  <si>
    <t>李仲国</t>
  </si>
  <si>
    <t>葡萄酒;烧酒;果酒（含酒精）;⽶酒;⻩酒;酒精饮料（啤酒除外）;⽩酒;开胃酒;⾷⽤酒精;蒸煮提取物（利⼝酒和烈酒）</t>
  </si>
  <si>
    <t>黎洲宴</t>
  </si>
  <si>
    <t>贾江波</t>
  </si>
  <si>
    <t>酒精饮料（啤酒除外）;葡萄酒;⾷⽤酒精;威⼠忌;⽶酒;⻩酒;果酒（含酒精）;⽩酒;烧酒;开胃酒</t>
  </si>
  <si>
    <t>泸康龙</t>
  </si>
  <si>
    <t>陕西泸康酒业（集团）股份有限公司</t>
  </si>
  <si>
    <t>⽶酒;开胃酒;烧酒;鸡尾酒;汽酒;果酒;⻩酒;葡萄酒;清酒;⽩酒</t>
  </si>
  <si>
    <t>醇仙觅</t>
  </si>
  <si>
    <t>雷磊</t>
  </si>
  <si>
    <t>开胃酒;预先混合的酒精饮料（以啤酒为主的除外）;⽩酒;⽩兰地;蜂蜜酒;酒精饮料（啤酒除外）;⻘稞酒;鸡尾酒;⻩酒;果酒（含酒精）</t>
  </si>
  <si>
    <t>确知</t>
  </si>
  <si>
    <t>广州市确知网络科技有限公司</t>
  </si>
  <si>
    <t>葡萄酒;含⽔果酒精饮料;果酒（含酒精）;⽩酒;酒精饮料原汁;⻩酒;蒸馏饮料;酒精饮料（啤酒除外）;⽶酒;预先混合的酒精饮料（以啤酒为主的除外）</t>
  </si>
  <si>
    <t>观瀑</t>
  </si>
  <si>
    <t>聂修磊</t>
  </si>
  <si>
    <t>⽩兰地;⽶酒;烧酒;⻘稞酒;葡萄酒;⻩酒;清酒;露酒;果酒;⽩酒</t>
  </si>
  <si>
    <t>千肆</t>
  </si>
  <si>
    <t>⻩酒;葡萄酒;⽩兰地;鸡尾酒;⽶酒;烧酒;烈酒;威⼠忌;⻘稞酒;⽩酒</t>
  </si>
  <si>
    <t>鸬</t>
  </si>
  <si>
    <t>葡萄酒;烈酒;烧酒;威⼠忌;⻩酒;⽩酒;⽶酒;鸡尾酒;⽩兰地;⻘稞酒</t>
  </si>
  <si>
    <t>一缆牵美</t>
  </si>
  <si>
    <t>温州瓯创商务管理咨询有限公司</t>
  </si>
  <si>
    <t>威⼠忌;烈酒（饮料）;烧酒;⽩酒;⾷⽤酒精;⻩酒;含⽔果酒精饮料;果酒（含酒精）;⽶酒;⻘稞酒</t>
  </si>
  <si>
    <t>丝路边塞</t>
  </si>
  <si>
    <t>蒋忠志</t>
  </si>
  <si>
    <t>酒精饮料（啤酒除外）;⽩酒;⽼酒（中国蒸馏烈酒）;果酒（含酒精）;葡萄酒;⻘稞酒;⻩酒;烧酒;⽶酒;鸡尾酒</t>
  </si>
  <si>
    <t>WHISTLER'S STORM</t>
  </si>
  <si>
    <t>威斯勒风暴有限公司</t>
  </si>
  <si>
    <t>酒精饮料（啤酒除外）;利⼝酒</t>
  </si>
  <si>
    <t>苧芗</t>
  </si>
  <si>
    <t>湖南喻氏文化传媒有限公司</t>
  </si>
  <si>
    <t>⾕物制蒸馏酒精饮料;烧酒;果酒（含酒精）;蒸馏饮料;⻩酒;葡萄酒;烈酒（饮料）;酒精饮料（啤酒除外）;⽶酒;⽩酒</t>
  </si>
  <si>
    <t>粹帛</t>
  </si>
  <si>
    <t>深圳市华富美陶瓷有限公司</t>
  </si>
  <si>
    <t>⽩酒;葡萄酒;清酒;开胃酒;烧酒;⽩兰地;利⼝酒;⽶酒;⻩酒;烈酒（饮料）</t>
  </si>
  <si>
    <t>刺猬索尼克</t>
  </si>
  <si>
    <t>速尼科(宁波)品牌管理有限责任公司</t>
  </si>
  <si>
    <t>⽔果汽酒;开胃酒;果酒;⼲型苹果酒;⽶酒;甜果酒;含⽔果酒精饮料;含酒精的⽔果鸡尾酒饮料;⻩酒;苹果酒</t>
  </si>
  <si>
    <t>掼王传奇</t>
  </si>
  <si>
    <t>⽶酒;⻩酒;果酒;苹果酒;⾼粱酒;梨酒;鸡尾酒;葡萄酒;⽩酒;烈酒</t>
  </si>
  <si>
    <t>元二爷</t>
  </si>
  <si>
    <t>李盼</t>
  </si>
  <si>
    <t>果酒（含酒精）;烈酒;烧酒;开胃酒;⾼粱酒;苦荞酒;⻩酒;⽩⼲酒（中国⽩酒）;⽶酒;⽩酒</t>
  </si>
  <si>
    <t>海小碗</t>
  </si>
  <si>
    <t>奚家庆</t>
  </si>
  <si>
    <t>⽶酒;鸡尾酒;樱桃酒;烧酒;⻩酒;⽩酒;开胃酒;⽩兰地;梨酒;葡萄酒</t>
  </si>
  <si>
    <t>清照纯</t>
  </si>
  <si>
    <t>苹果酒;酸酒（低等葡萄酒）;⽶酒;汽酒;开胃酒;葡萄酒;⻩酒;酒精饮料（啤酒除外）;⽩酒;果酒（含酒精）</t>
  </si>
  <si>
    <t>百脉泉鑫</t>
  </si>
  <si>
    <t>⽩酒;酸酒（低等葡萄酒）;酒精饮料（啤酒除外）;⽶酒;⻩酒;开胃酒;苹果酒;葡萄酒;汽酒;果酒（含酒精）</t>
  </si>
  <si>
    <t>KK</t>
  </si>
  <si>
    <t>凯欧有限公司</t>
  </si>
  <si>
    <t>⻘稞酒;利⼝酒;烈酒（饮料）;葡萄酒;⻩酒;清酒（⽇本⽶酒）;⽩酒;⽶酒;鸡尾酒;果酒（含酒精）</t>
  </si>
  <si>
    <t>双芝</t>
  </si>
  <si>
    <t>王沙沙</t>
  </si>
  <si>
    <t>⻩酒;⾼粱酒;鸡尾酒;⽶酒;葡萄酒;伏特加酒;烈酒（饮料）;果酒（含酒精）;⽩酒;酒精饮料（啤酒除外）</t>
  </si>
  <si>
    <t>湾曛</t>
  </si>
  <si>
    <t>黄江</t>
  </si>
  <si>
    <t>葡萄酒;蜂蜜酒;威⼠忌;起泡⽩葡萄酒;红葡萄酒;⽩酒;⻩酒;⽼酒（中国蒸馏烈酒）;⻘梅酒;樱桃酒</t>
  </si>
  <si>
    <t>寿丫丫</t>
  </si>
  <si>
    <t>亳州市苗氏商贸有限责任公司</t>
  </si>
  <si>
    <t>烧酒;蒸馏饮料;露酒;⾼粱酒;蒸煮提取物（利⼝酒和烈酒）;葡萄酒;⻘稞酒;⻩酒;果酒（含酒精）;⽩酒</t>
  </si>
  <si>
    <t>磐道</t>
  </si>
  <si>
    <t>葡萄酒;烈酒;⽩酒;⻘稞酒;威⼠忌;⽩兰地;⻩酒;烧酒;⽶酒;鸡尾酒</t>
  </si>
  <si>
    <t>粮者提梁卣酒</t>
  </si>
  <si>
    <t>餐后酒（利⼝酒和烈酒）;烈酒（饮料）;⽩酒;威⼠忌;⽼酒（中国蒸馏烈酒）;烈酒;⾼粱酒;⽩⼲酒（中国⽩酒）;烧酒（烈酒）;⾕物制蒸馏酒精饮料</t>
  </si>
  <si>
    <t>御养生元</t>
  </si>
  <si>
    <t>内蒙古延年众康科技有限公司</t>
  </si>
  <si>
    <t>鸡尾酒;⻩酒;汽酒;以葡萄酒为主的饮料;苹果酒;葡萄酒;清酒（⽇本⽶酒）;⾕物制蒸馏酒精饮料;果酒（含酒精）;⽩酒</t>
  </si>
  <si>
    <t>舒香福</t>
  </si>
  <si>
    <t>蜂蜜酒;⻘梅酒;樱桃酒;⻩酒;⽼酒（中国蒸馏烈酒）;红葡萄酒;威⼠忌;葡萄酒;⽩酒;起泡⽩葡萄酒</t>
  </si>
  <si>
    <t>山西苹果树下农业开发有限公司</t>
  </si>
  <si>
    <t>⻩酒;果酒（含酒精）;烧酒;⽩兰地;⽩酒;⽶酒;⾷⽤酒精;蒸馏饮料;葡萄酒;⻘稞酒</t>
  </si>
  <si>
    <t>兼酒一代宗师</t>
  </si>
  <si>
    <t>鸡尾酒;烈酒（饮料）;⽩酒;伏特加酒;朗姆酒;葡萄酒;酒精饮料（啤酒除外）;果酒（含酒精）;⽶酒;威⼠忌</t>
  </si>
  <si>
    <t>龙涛活力酒</t>
  </si>
  <si>
    <t>伍星权</t>
  </si>
  <si>
    <t>露酒;果酒（含酒精）;⽶酒;葡萄酒;烧酒;烈酒（饮料）;⻩酒;酒精饮料（啤酒除外）;⽩酒;⽼酒（中国蒸馏烈酒）</t>
  </si>
  <si>
    <t>HY</t>
  </si>
  <si>
    <t>湖南好益大健康管理有限公司</t>
  </si>
  <si>
    <t>⾼粱酒;⽩兰地;鸡尾酒;⽼酒（中国蒸馏烈酒）;⽩酒;伏特加酒;⻩酒;威⼠忌;⽶酒;葡萄酒</t>
  </si>
  <si>
    <t>胜桑塬</t>
  </si>
  <si>
    <t>陕西瑞格印务有限公司</t>
  </si>
  <si>
    <t>烈酒（饮料）;酒精饮料（啤酒除外）;含⽔果酒精饮料;⻘稞酒;汽酒;⽩兰地;果酒（含酒精）;开胃酒;⻩酒;⽩酒</t>
  </si>
  <si>
    <t>鉴家</t>
  </si>
  <si>
    <t>王明</t>
  </si>
  <si>
    <t>⽩酒;开胃酒;烧酒;⽶酒;清酒（⽇本⽶酒）;葡萄酒;烈酒（饮料）;果酒;含酒精的饮料（啤酒除外）;鸡尾酒</t>
  </si>
  <si>
    <t>星斓山</t>
  </si>
  <si>
    <t>重庆汉华盛世商贸有限公司</t>
  </si>
  <si>
    <t>含酒精⽔果饮料;⽩⼲酒（中国⽩酒）;烧酒（烈酒）;⽩酒;烈酒（饮料）;含酒精的饮料（啤酒除外）;烈性⼲酒;烧酒;含酒精的⽔果鸡尾酒饮料;⽼酒（中国蒸馏烈酒）</t>
  </si>
  <si>
    <t>打金鸟石</t>
  </si>
  <si>
    <t>清酒（⽇本⽶酒）;⽩酒;⻩酒;烧酒;酒精饮料（啤酒除外）;果酒（含酒精）;⽩兰地;葡萄酒;蒸馏饮料;⽶酒</t>
  </si>
  <si>
    <t>焦阁老</t>
  </si>
  <si>
    <t>河南省阁老俸酒业有限公司</t>
  </si>
  <si>
    <t>蒸馏⽶酒（泡盛酒）;⽩兰地;⽩酒;除啤酒外的酒精饮料;葡萄酒;⽶酒;⾷⽤酒精;果酒（含酒精）;蒸煮提取物（利⼝酒和烈酒）;烧酒</t>
  </si>
  <si>
    <t>弘丰九连泉</t>
  </si>
  <si>
    <t>烧酒;朝鲜族⽶酒;杨梅酒;伏特加酒;果酒（含酒精）;蒸馏⽶酒（泡盛酒）;酒精饮料（啤酒除外）;⾼粱酒;⻩酒;⽶酒</t>
  </si>
  <si>
    <t>瓯艺双炊</t>
  </si>
  <si>
    <t>金芬媚</t>
  </si>
  <si>
    <t>⻩酒;葡萄酒;烧酒;⾷⽤酒精;清酒;⽶酒;蒸馏饮料;果酒;汽酒;⽩酒</t>
  </si>
  <si>
    <t>郡岳天福</t>
  </si>
  <si>
    <t>中山市周游天下贸易有限公司</t>
  </si>
  <si>
    <t>苹果酒;⽩酒;葡萄酒;威⼠忌;开胃酒;⽶酒;鸡尾酒;酒精饮料原汁;蜂蜜酒;⽩兰地</t>
  </si>
  <si>
    <t>糖涧乔</t>
  </si>
  <si>
    <t>湖口县张青乡荷塘村股份经济合作社</t>
  </si>
  <si>
    <t>汽酒;果酒（含酒精）;⻩酒;⾷⽤酒精;烧酒;⽩酒;⽶酒;葡萄酒;含酒精⽔果饮料;蒸馏饮料</t>
  </si>
  <si>
    <t>榴小贝</t>
  </si>
  <si>
    <t>白兰兰</t>
  </si>
  <si>
    <t>⾷⽤酒精;⻩酒;开胃酒;威⼠忌;鸡尾酒;酒精饮料（啤酒除外）;⽶酒;葡萄酒;烧酒;⽩酒</t>
  </si>
  <si>
    <t>东北牛二匠</t>
  </si>
  <si>
    <t>王翠叶</t>
  </si>
  <si>
    <t>已调味的蒸馏酒;⽩酒;除啤酒外的酒精饮料;⽩⼲酒（中国⽩酒）;由⾕物蒸馏的⽩酒;含酒精的饮料（啤酒除外）;烧酒;⾼粱酒;露酒;⽼酒（中国蒸馏烈酒）</t>
  </si>
  <si>
    <t>王朝瑾</t>
  </si>
  <si>
    <t>鸡尾酒;葡萄酒;威⼠忌;果酒（含酒精）;烧酒;⽩兰地;⽶酒;⽩酒;⻩酒;⻘稞酒</t>
  </si>
  <si>
    <t>欣东方</t>
  </si>
  <si>
    <t>朱东</t>
  </si>
  <si>
    <t>果酒（含酒精）;葡萄酒;烧酒;酒精饮料（啤酒除外）;⽶酒;烈酒（饮料）;⽩酒;酒精饮料原汁;餐后酒（利⼝酒和烈酒）;⻩酒</t>
  </si>
  <si>
    <t>鑫辉源</t>
  </si>
  <si>
    <t>朱相吉612423********4212</t>
  </si>
  <si>
    <t>烧酒（烈酒）;含酒精的饮料（啤酒除外）;威⼠忌;饮⽤烈酒;⻩酒;烧酒;起泡红葡萄酒;含酒精⽔果饮料;⽩酒;甜果酒</t>
  </si>
  <si>
    <t>玺确</t>
  </si>
  <si>
    <t>邱建兴</t>
  </si>
  <si>
    <t>葡萄酒;酒精饮料（啤酒除外）;⻩酒;杨梅酒;⾼粱酒;鸡尾酒;⽶酒;烧酒;⽩酒;以蒸馏酒为主的开胃酒</t>
  </si>
  <si>
    <t>百鹿丹</t>
  </si>
  <si>
    <t>王柏权522423********6311</t>
  </si>
  <si>
    <t>⽩酒;酒精饮料（啤酒除外）;⽶酒;果酒（含酒精）;烈酒（饮料）;鸡尾酒;⽢蔗制烈酒;葡萄酒;烧酒;⻩酒</t>
  </si>
  <si>
    <t>朹红韵</t>
  </si>
  <si>
    <t>国楂酒业(江苏)有限公司</t>
  </si>
  <si>
    <t>开胃酒;除啤酒外的酒精饮料;含酒精的饮料（啤酒除外）;甜酒;草莓酒;含酒精⽔果饮料;果酒（含酒精）;酒精饮料（啤酒除外）;果酒;酒精饮料原汁</t>
  </si>
  <si>
    <t>李结醇</t>
  </si>
  <si>
    <t>深圳市鸿鑫佳品科技有限公司</t>
  </si>
  <si>
    <t>果酒（含酒精）;鸡尾酒;⽩兰地;开胃酒;⽩酒;葡萄酒;烈酒（饮料）;威⼠忌;⽶酒;⻩酒</t>
  </si>
  <si>
    <t>彭志英甄选</t>
  </si>
  <si>
    <t>济南绿野酒水销售有限公司</t>
  </si>
  <si>
    <t>烈酒（饮料）;烧酒;⻩酒;⽩酒;⽶酒;含⽔果酒精饮料;果酒（含酒精）;葡萄酒;清酒（⽇本⽶酒）;酒精饮料（啤酒除外）</t>
  </si>
  <si>
    <t>王翁汉鼓</t>
  </si>
  <si>
    <t>贵州赋予酒业有限公司</t>
  </si>
  <si>
    <t>露酒;⽶酒;⽩酒;⾷⽤酒精;清酒;汽酒;烧酒;含酒精的饮料（啤酒除外）;⽼酒（中国蒸馏烈酒）;葡萄酒</t>
  </si>
  <si>
    <t>巧寿</t>
  </si>
  <si>
    <t>葡萄酒;⽩酒;露酒;烧酒;⻩酒;果酒（含酒精）;蒸煮提取物（利⼝酒和烈酒）;蒸馏饮料;⻘稞酒;⾼粱酒</t>
  </si>
  <si>
    <t>吉又见</t>
  </si>
  <si>
    <t>朱升伟</t>
  </si>
  <si>
    <t>果酒;酒精饮料（啤酒除外）;⽩兰地;⾼粱酒;⻩酒;鸡尾酒;⽩酒;开胃酒;⽶酒;葡萄酒</t>
  </si>
  <si>
    <t>同庆兴</t>
  </si>
  <si>
    <t>马学晶</t>
  </si>
  <si>
    <t>葡萄酒;⻩酒;梨酒;开胃酒;烈酒;果酒;烧酒;⾼粱酒;⽩酒;鸡尾酒</t>
  </si>
  <si>
    <t>重庆梦回古镇食品有限公司</t>
  </si>
  <si>
    <t>⽶酒;烈酒;以葡萄酒为主的饮料;咖啡利⼝酒;果酒;⽩酒;甜酒;烧酒;葡萄酒;蜂蜜酒</t>
  </si>
  <si>
    <t>骏宝鞍</t>
  </si>
  <si>
    <t>王文华</t>
  </si>
  <si>
    <t>⾷⽤酒精;蒸煮提取物（利⼝酒和烈酒）;⽩酒;葡萄酒;烈酒;⻩酒;⽶酒;酒精饮料原汁;烧酒;汽酒</t>
  </si>
  <si>
    <t>吻爱</t>
  </si>
  <si>
    <t>盱眙万事帮智能便民服务有限公司</t>
  </si>
  <si>
    <t>⽩酒;酒精饮料（啤酒除外）;清酒（⽇本⽶酒）;葡萄酒;⾕物制蒸馏酒精饮料;以葡萄酒为主的饮料;蒸馏饮料;⻘稞酒;⻩酒;烈酒（饮料）</t>
  </si>
  <si>
    <t>喜尔顿迈岭</t>
  </si>
  <si>
    <t>博赛图酒业有限公司</t>
  </si>
  <si>
    <t>果酒（含酒精）;酒精饮料原汁;葡萄酒;烈酒（饮料）;蒸煮提取物（利⼝酒和烈酒）;⻩酒;威⼠忌;鸡尾酒;⽩酒;⽩兰地</t>
  </si>
  <si>
    <t>尔康嘉礼</t>
  </si>
  <si>
    <t>马尔康嘉禾农旅文化发展有限责任公司</t>
  </si>
  <si>
    <t>除啤酒外的酒精饮料;⻘稞酒;⽶酒;含酒精⽔果饮料;⾷⽤酒精;烧酒;含⽔果酒精饮料;烈酒（饮料）;葡萄酒;⽩酒</t>
  </si>
  <si>
    <t>古明亭</t>
  </si>
  <si>
    <t>汾阳市古明亭酒业有限公司</t>
  </si>
  <si>
    <t>⽩酒;⽶酒;果酒（含酒精）;⻩酒;含⽔果酒精饮料;威⼠忌;葡萄酒;蒸馏饮料;⻘稞酒;酒精饮料（啤酒除外）</t>
  </si>
  <si>
    <t>泰快</t>
  </si>
  <si>
    <t>王书杰</t>
  </si>
  <si>
    <t>汽酒;清酒;甜酒;⻩酒;葡萄酒;果酒;⽶酒;⾷⽤酒精;⽩酒;开胃酒</t>
  </si>
  <si>
    <t>珠珠滴</t>
  </si>
  <si>
    <t>河南百亩林农业科技发展有限公司</t>
  </si>
  <si>
    <t>含⽔果酒精饮料;⾷⽤酒精;⽩酒;果酒（含酒精）;甜果酒;酒精饮料原汁;果酒;餐后酒（利⼝酒和烈酒）;含酒精的⽓泡⽔;开胃酒</t>
  </si>
  <si>
    <t>王金</t>
  </si>
  <si>
    <t>果酒（含酒精）;鸡尾酒;⽩酒;蜂蜜酒;⽩兰地;葡萄酒;⽶酒;⾼粱酒;酒精饮料原汁;烧酒</t>
  </si>
  <si>
    <t>粮者天湖酒</t>
  </si>
  <si>
    <t>开胃酒;酒精饮料（啤酒除外）;⽶酒;⾕物制蒸馏酒精饮料;含酒精的饮料（啤酒除外）;烧酒（烈酒）;烈酒;⽩⼲酒（中国⽩酒）;⽩酒;⾼粱酒</t>
  </si>
  <si>
    <t>胡嘉嘉</t>
  </si>
  <si>
    <t>梅州市除工信息技术有限责任公司</t>
  </si>
  <si>
    <t>果酒（含酒精）;酒精饮料原汁;酒精饮料浓缩汁;烧酒;含酒精的⽓泡⽔;甜果酒;鸡尾酒;葡萄酒;烈酒（饮料）;⽶酒;⽩酒;⻩酒</t>
  </si>
  <si>
    <t>UNIONLIFE</t>
  </si>
  <si>
    <t>深圳市众兴利华供应链有限公司</t>
  </si>
  <si>
    <t>葡萄酒;威⼠忌;蜂蜜酒;酒精饮料（啤酒除外）;清酒（⽇本⽶酒）;⽩酒;含⽔果酒精饮料;⻩酒;烈酒（饮料）</t>
  </si>
  <si>
    <t>郡岳天富</t>
  </si>
  <si>
    <t>葡萄酒;苹果酒;⽩兰地;⽶酒;⽩酒;酒精饮料原汁;威⼠忌;鸡尾酒;蜂蜜酒;开胃酒</t>
  </si>
  <si>
    <t>炷喇</t>
  </si>
  <si>
    <t>刘稀佳</t>
  </si>
  <si>
    <t>果酒（含酒精）;⽶酒;朗姆酒;伏特加酒;⻩酒;⽩酒;⻘稞酒;⽩兰地;汽酒;烧酒</t>
  </si>
  <si>
    <t>莲栈</t>
  </si>
  <si>
    <t>容伟强7384689（1）</t>
  </si>
  <si>
    <t>果酒（含酒精）;⽶酒;⽩酒;鸡尾酒;伏特加酒;葡萄酒;烈酒（饮料）;⽩兰地;威⼠忌;⾷⽤酒精</t>
  </si>
  <si>
    <t>琼酿禄</t>
  </si>
  <si>
    <t>烧酒;酒精饮料（啤酒除外）;烧酒（烈酒）;⾷⽤酒精;⽶酒;蒸煮提取物（利⼝酒和烈酒）;葡萄酒;⽩酒;果酒（含酒精）;酒精饮料浓缩汁</t>
  </si>
  <si>
    <t>阜心</t>
  </si>
  <si>
    <t>安徽中裕食品有限责任公司</t>
  </si>
  <si>
    <t>烧酒;⽩酒;蒸馏饮料;⾷⽤酒精;葡萄酒;果酒;由⾕物蒸馏的⽩酒;⽩兰地;⽶酒;酒精饮料（啤酒除外）</t>
  </si>
  <si>
    <t>倾城大师</t>
  </si>
  <si>
    <t>赵明明</t>
  </si>
  <si>
    <t>酒精饮料（啤酒除外）;鸡尾酒;⽩酒;⻩酒;葡萄酒;清酒（⽇本⽶酒）;⽶酒;烧酒;果酒（含酒精）;烈酒（饮料）</t>
  </si>
  <si>
    <t>红袍禧</t>
  </si>
  <si>
    <t>⽩酒;鸡尾酒;酒精饮料（啤酒除外）;果酒（含酒精）;烈酒（饮料）;⻩酒;烧酒;清酒（⽇本⽶酒）;葡萄酒;⽶酒</t>
  </si>
  <si>
    <t>真藏历史</t>
  </si>
  <si>
    <t>孙灿强</t>
  </si>
  <si>
    <t>果酒（含酒精）;⽩酒;⻩酒;露酒;⻘稞酒;烧酒;⽼酒（中国蒸馏烈酒）;⽩⼲酒（中国⽩酒）;清酒;⽶酒</t>
  </si>
  <si>
    <t>天邦印象</t>
  </si>
  <si>
    <t>贵州省仁怀市天邦酿酒有限公司</t>
  </si>
  <si>
    <t>果酒（含酒精）;⽩酒;预先混合的酒精饮料（以啤酒为主的除外）;⽼酒（中国蒸馏烈酒）;⾕物制蒸馏酒精饮料;酒精饮料原汁;葡萄酒;酒精饮料浓缩汁;酒精饮料（啤酒除外）;⾼粱酒</t>
  </si>
  <si>
    <t>沐沐搓</t>
  </si>
  <si>
    <t>庞静</t>
  </si>
  <si>
    <t>⻩酒;烧酒;甜酒;威⼠忌;鸡尾酒;⽶酒;葡萄酒;果酒;⽩酒;含奶油利⼝酒</t>
  </si>
  <si>
    <t>无辞竹</t>
  </si>
  <si>
    <t>汾阳市斗酒十千酒坊</t>
  </si>
  <si>
    <t>⽩酒;含⽔果酒精饮料;⾼粱酒;⾷⽤酒精;露酒;⽶酒;⻩酒;含酒精的饮料（啤酒除外）;以葡萄酒为主的饮料;清酒</t>
  </si>
  <si>
    <t>慕摩</t>
  </si>
  <si>
    <t>⽩酒;烈酒（饮料）;鸡尾酒;葡萄酒;伏特加酒;⻩酒;⾼粱酒;酒精饮料（啤酒除外）;⽶酒;果酒（含酒精）</t>
  </si>
  <si>
    <t>阜芯</t>
  </si>
  <si>
    <t>⾷⽤酒精;烧酒;由⾕物蒸馏的⽩酒;⽶酒;蒸馏饮料;酒精饮料（啤酒除外）;果酒;⽩兰地;葡萄酒;⽩酒</t>
  </si>
  <si>
    <t>道合翰将</t>
  </si>
  <si>
    <t>乾龙汉酱（天津）酒业有限公司</t>
  </si>
  <si>
    <t>⽩酒;烈酒（饮料）;果酒（含酒精）;⽩兰地;开胃酒;威⼠忌;预先混合的酒精饮料（以啤酒为主的除外）;鸡尾酒;酒精饮料浓缩汁;烧酒</t>
  </si>
  <si>
    <t>天邦大隐</t>
  </si>
  <si>
    <t>酒精饮料浓缩汁;⾼粱酒;葡萄酒;酒精饮料（啤酒除外）;预先混合的酒精饮料（以啤酒为主的除外）;⾕物制蒸馏酒精饮料;果酒（含酒精）;酒精饮料原汁;⽼酒（中国蒸馏烈酒）;⽩酒</t>
  </si>
  <si>
    <t>兀云</t>
  </si>
  <si>
    <t>于海涛</t>
  </si>
  <si>
    <t>⽩酒;⻩酒;烧酒;鸡尾酒;酒精饮料（啤酒除外）;果酒（含酒精）;蒸馏饮料;葡萄酒;⽶酒;⾼粱酒</t>
  </si>
  <si>
    <t>倍甄</t>
  </si>
  <si>
    <t>阮德留</t>
  </si>
  <si>
    <t>清酒;葡萄酒;⻩酒;⽩酒;⽶酒;汽酒;甜酒;⾷⽤酒精;开胃酒;果酒</t>
  </si>
  <si>
    <t>捷迈斯</t>
  </si>
  <si>
    <t>天津捷迈斯国际贸易有限公司</t>
  </si>
  <si>
    <t>⽶酒;⾷⽤酒精;开胃酒;葡萄酒;⾕物制蒸馏酒精饮料;鸡尾酒;烈酒（饮料）;烧酒;⽩酒;蒸煮提取物（利⼝酒和烈酒）</t>
  </si>
  <si>
    <t>谷粮琼</t>
  </si>
  <si>
    <t>刘较波</t>
  </si>
  <si>
    <t>蒸馏饮料;⽩兰地;葡萄酒;⽩酒;烧酒;果酒（含酒精）;⻩酒;⽶酒;鸡尾酒;威⼠忌</t>
  </si>
  <si>
    <t>诵古今</t>
  </si>
  <si>
    <t>江家花</t>
  </si>
  <si>
    <t>蜂蜜酒;酒精饮料（啤酒除外）;⽶酒;烧酒;葡萄酒;果酒（含酒精）;烈酒（饮料）;威⼠忌;⽩酒;⻩酒</t>
  </si>
  <si>
    <t>鲁业坊</t>
  </si>
  <si>
    <t>魏吉星</t>
  </si>
  <si>
    <t>开胃酒;烈酒（饮料）;烧酒;葡萄酒;⽩酒;鸡尾酒;果酒（含酒精）;清酒（⽇本⽶酒）;含酒精的饮料（啤酒除外）;⻘稞酒</t>
  </si>
  <si>
    <t>幸福里</t>
  </si>
  <si>
    <t>江西幸福里国际养生管理有限公司</t>
  </si>
  <si>
    <t>⽶酒;⽩酒;清酒;⻩酒;蒸馏饮料;果酒（含酒精）;葡萄酒;蜂蜜酒;酒精饮料原汁;烧酒</t>
  </si>
  <si>
    <t>意料</t>
  </si>
  <si>
    <t>赵金龙</t>
  </si>
  <si>
    <t>果酒（含酒精）;鸡尾酒;⻩酒;葡萄酒;⽶酒;酒精饮料（啤酒除外）;含⽔果酒精饮料;⾷⽤酒精;⽩酒;⽩兰地</t>
  </si>
  <si>
    <t>奥菲登 OUSFITEN</t>
  </si>
  <si>
    <t>郑一杨</t>
  </si>
  <si>
    <t>⽩酒;酒精饮料（啤酒除外）;⻩酒;含⽔果酒精饮料;⽶酒;葡萄酒;果酒（含酒精）;开胃酒;威⼠忌;鸡尾酒</t>
  </si>
  <si>
    <t>杜仙神</t>
  </si>
  <si>
    <t>⽩酒;利⼝酒;⽩⼲酒（中国⽩酒）;烧酒;酒精饮料（啤酒除外）;果酒（含酒精）;开胃酒;⽩兰地;⽶酒;葡萄酒</t>
  </si>
  <si>
    <t>钦博</t>
  </si>
  <si>
    <t>张掖陇酒酒业酿造有限责任公司</t>
  </si>
  <si>
    <t>清酒（⽇本⽶酒）;酒精饮料原汁;含⽔果酒精饮料;⽶酒;烈酒（饮料）;酒精饮料（啤酒除外）;⽩酒;葡萄酒;果酒（含酒精）;苹果酒</t>
  </si>
  <si>
    <t>皇御牛</t>
  </si>
  <si>
    <t>王艳霞</t>
  </si>
  <si>
    <t>烧酒;⽶酒;葡萄酒;⻩酒;酒精饮料（啤酒除外）;烈酒（饮料）;汽酒;⾷⽤酒精;果酒（含酒精）;⽩酒</t>
  </si>
  <si>
    <t>福建银领服装科技有限公司</t>
  </si>
  <si>
    <t>烈酒（饮料）;蒸馏饮料;果酒（含酒精）;⾷⽤酒精;开胃酒;⻩酒;⽩酒;利⼝酒;葡萄酒;⻘稞酒</t>
  </si>
  <si>
    <t>龙仙翁</t>
  </si>
  <si>
    <t>四川淳少科技有限公司</t>
  </si>
  <si>
    <t>果酒（含酒精）;⽩酒;烧酒;⽩兰地;含⽔果酒精饮料;蜂蜜酒;葡萄酒;朝鲜族⽶酒;利⼝酒;⽶酒</t>
  </si>
  <si>
    <t>蓝上柏</t>
  </si>
  <si>
    <t>郑州莫山里餐饮管理有限公司</t>
  </si>
  <si>
    <t>烧酒;含⽔果酒精饮料;⽩酒;果酒（含酒精）;⽼酒（中国蒸馏烈酒）;⽶酒;预先混合的酒精饮料（以啤酒为主的除外）;葡萄酒;酒精饮料（啤酒除外）;⻩酒</t>
  </si>
  <si>
    <t>韩卓芮</t>
  </si>
  <si>
    <t>内蒙古超佰逸商贸有限公司</t>
  </si>
  <si>
    <t>烧酒;果酒（含酒精）;鸡尾酒;蜂蜜酒;⽶酒;蒸馏饮料;⻩酒;苹果酒;葡萄酒;⽩酒</t>
  </si>
  <si>
    <t>天邦嘉宴</t>
  </si>
  <si>
    <t>⾼粱酒;酒精饮料原汁;葡萄酒;酒精饮料浓缩汁;⽼酒（中国蒸馏烈酒）;预先混合的酒精饮料（以啤酒为主的除外）;⾕物制蒸馏酒精饮料;果酒（含酒精）;⽩酒;酒精饮料（啤酒除外）</t>
  </si>
  <si>
    <t>帝鸿昌 DIHONHCHANG</t>
  </si>
  <si>
    <t>⽩兰地;伏特加酒;烧酒;⻩酒;⽶酒;烈酒（饮料）;清酒（⽇本⽶酒）;朗姆酒;葡萄酒;⽩酒</t>
  </si>
  <si>
    <t>碧林天</t>
  </si>
  <si>
    <t>贵州碧林天蜂业发展有限公司</t>
  </si>
  <si>
    <t>⽩酒;⾼粱酒;果酒;烈酒（饮料）;⽼酒（中国蒸馏烈酒）;鸡尾酒;⻩酒;蜂蜜酒;葡萄酒;烧酒（烈酒）</t>
  </si>
  <si>
    <t>将彩凤</t>
  </si>
  <si>
    <t>邹晓花</t>
  </si>
  <si>
    <t>⽩酒;酒精饮料原汁;⻩酒;酒精饮料浓缩汁;葡萄酒;由⾕物蒸馏的⽩酒;烈酒（饮料）;甜酒;酒精饮料（啤酒除外）;果酒（含酒精）</t>
  </si>
  <si>
    <t>傣傣小调</t>
  </si>
  <si>
    <t>林腾达</t>
  </si>
  <si>
    <t>⽶酒;酒精饮料（啤酒除外）;含⽔果酒精饮料;汽酒;果酒（含酒精）;葡萄酒;利⼝酒;烈酒（饮料）;⽩兰地;⽩酒</t>
  </si>
  <si>
    <t>SUPTE</t>
  </si>
  <si>
    <t>李昌鹏</t>
  </si>
  <si>
    <t>含⽔果酒精饮料;果酒（含酒精）;烧酒;⽶酒;朗姆酒;酒精饮料（啤酒除外）;开胃酒;鸡尾酒;⽩酒;葡萄酒</t>
  </si>
  <si>
    <t>江西神农本草科技有限公司</t>
  </si>
  <si>
    <t>含酒精的饮料（啤酒除外）;⽩酒;清酒;烧酒;果酒;⻩酒;⻘梅酒;葡萄酒;⻘稞酒;鸡尾酒</t>
  </si>
  <si>
    <t>世鼎信</t>
  </si>
  <si>
    <t>高德军</t>
  </si>
  <si>
    <t>开胃酒;烧酒;果酒（含酒精）;烈酒（饮料）;⽶酒;⽩酒;葡萄酒;清酒（⽇本⽶酒）;酒精饮料（啤酒除外）;威⼠忌</t>
  </si>
  <si>
    <t>祝洲</t>
  </si>
  <si>
    <t>葡萄酒;烈酒（饮料）;朗姆酒;清酒（⽇本⽶酒）;⽩酒;烧酒;⽩兰地;⽶酒;⻩酒;伏特加酒</t>
  </si>
  <si>
    <t>青迎</t>
  </si>
  <si>
    <t>山西青花迎宾酒业有限公司</t>
  </si>
  <si>
    <t>苹果酒;⾷⽤酒精;⽩酒;清酒;⾼粱酒;烧酒;开胃酒;汽酒;⻩酒;⻘稞酒</t>
  </si>
  <si>
    <t>四川茶茶巫餐饮管理有限公司</t>
  </si>
  <si>
    <t>葡萄酒;酒精饮料浓缩汁;酒精饮料（啤酒除外）;烧酒;⽩兰地;⾕物制蒸馏酒精饮料;开胃酒;酒精饮料原汁;果酒（含酒精）;含⽔果酒精饮料</t>
  </si>
  <si>
    <t>热血天邦</t>
  </si>
  <si>
    <t>预先混合的酒精饮料（以啤酒为主的除外）;⾕物制蒸馏酒精饮料;⽼酒（中国蒸馏烈酒）;果酒（含酒精）;酒精饮料原汁;葡萄酒;⾼粱酒;酒精饮料浓缩汁;酒精饮料（啤酒除外）;⽩酒</t>
  </si>
  <si>
    <t>天科和博</t>
  </si>
  <si>
    <t>贵州茅之冠酒业有限公司</t>
  </si>
  <si>
    <t>⾼粱酒;威⼠忌;伏特加酒;⽩酒;⽩葡萄酒;朗姆酒;烈酒;开胃酒;果酒（含酒精）;利⼝酒</t>
  </si>
  <si>
    <t>杜仙唐</t>
  </si>
  <si>
    <t>⽩⼲酒（中国⽩酒）;果酒（含酒精）;开胃酒;利⼝酒;酒精饮料（啤酒除外）;⽶酒;葡萄酒;⽩酒;烧酒;⽩兰地</t>
  </si>
  <si>
    <t>六爵</t>
  </si>
  <si>
    <t>姚莉</t>
  </si>
  <si>
    <t>威⼠忌;烧酒;⽩酒;葡萄酒;鸡尾酒;苹果酒;果酒（含酒精）;利⼝酒;⽶酒;⻩酒</t>
  </si>
  <si>
    <t>怀凤福</t>
  </si>
  <si>
    <t>⽶酒;鸡尾酒;蜂蜜酒;烈酒（饮料）;葡萄酒;烧酒;⽩酒;甜酒;果酒（含酒精）;⽩兰地</t>
  </si>
  <si>
    <t>汇统兴</t>
  </si>
  <si>
    <t>陈凯强</t>
  </si>
  <si>
    <t>⽩兰地;葡萄酒;鸡尾酒;威⼠忌;蜂蜜酒;⽶酒;朗姆酒;⽩酒;果酒（含酒精）;汽酒</t>
  </si>
  <si>
    <t>任诗</t>
  </si>
  <si>
    <t>杭州广商科技有限公司</t>
  </si>
  <si>
    <t>烈酒（饮料）;清酒（⽇本⽶酒）;烧酒;⾕物制蒸馏酒精饮料;⻩酒;⽶酒;葡萄酒;⽩酒;酒精饮料（啤酒除外）;果酒</t>
  </si>
  <si>
    <t>天邦天涯</t>
  </si>
  <si>
    <t>⽩酒;⾕物制蒸馏酒精饮料;酒精饮料原汁;葡萄酒;果酒（含酒精）;⽼酒（中国蒸馏烈酒）;⾼粱酒;酒精饮料浓缩汁;酒精饮料（啤酒除外）;预先混合的酒精饮料（以啤酒为主的除外）</t>
  </si>
  <si>
    <t>七叠</t>
  </si>
  <si>
    <t>贵州省仁怀市黔韵酒业销售有限公司</t>
  </si>
  <si>
    <t>鸡尾酒;烈酒（饮料）;酒精饮料（啤酒除外）;葡萄酒;果酒（含酒精）;⽩酒;清酒（⽇本⽶酒）;⽶酒;烧酒;⻩酒</t>
  </si>
  <si>
    <t>暹命之源</t>
  </si>
  <si>
    <t>特能医疗器械（广州）有限公司</t>
  </si>
  <si>
    <t>以葡萄酒为主的饮料;果酒（含酒精）;除啤酒外的酒精饮料;含⽔果酒精饮料;烧酒;威⼠忌;⽩兰地;⽩酒;烈酒（饮料）;⽩⼲酒（中国⽩酒）</t>
  </si>
  <si>
    <t>铭优天降</t>
  </si>
  <si>
    <t>贵州省铜仁市谷优粮食贸易有限公司</t>
  </si>
  <si>
    <t>开胃酒;葡萄酒;烈酒（饮料）;⾕物制蒸馏酒精饮料;烧酒;清酒（⽇本⽶酒）;⽶酒;⽩酒;酒精饮料（啤酒除外）;果酒（含酒精）</t>
  </si>
  <si>
    <t>原乡里 PASTORAL LIFE</t>
  </si>
  <si>
    <t>上海原乡里企业管理集团有限公司</t>
  </si>
  <si>
    <t>葡萄酒;⽶酒;清酒（⽇本⽶酒）;⻩酒;⽩酒;果酒（含酒精）;含⽔果酒精饮料</t>
  </si>
  <si>
    <t>雅赫</t>
  </si>
  <si>
    <t>⽩酒;⻩酒;烈酒（饮料）;⽶酒;伏特加酒;鸡尾酒;果酒（含酒精）;⾼粱酒;酒精饮料（啤酒除外）;葡萄酒</t>
  </si>
  <si>
    <t>古京承</t>
  </si>
  <si>
    <t>上海淘兔兔文化娱乐有限公司</t>
  </si>
  <si>
    <t>烧酒;威⼠忌;⽩酒;⽶酒;清酒（⽇本⽶酒）;⽩兰地;⻩酒;果酒;葡萄酒;烈酒（饮料）</t>
  </si>
  <si>
    <t>久泯堂</t>
  </si>
  <si>
    <t>夏泽兰</t>
  </si>
  <si>
    <t>⽩酒;果酒;清酒;烧酒;汽酒;⽶酒;葡萄酒;⻩酒;烈酒;含酒精的饮料（啤酒除外）</t>
  </si>
  <si>
    <t>贵缕</t>
  </si>
  <si>
    <t>⽩兰地;⽩酒;葡萄酒;烈酒（饮料）;⽶酒;⻩酒;朗姆酒;烧酒;清酒（⽇本⽶酒）;伏特加酒</t>
  </si>
  <si>
    <t>杜仙庚</t>
  </si>
  <si>
    <t>⽩⼲酒（中国⽩酒）;果酒（含酒精）;⽶酒;⽩酒;⽩兰地;酒精饮料（啤酒除外）;利⼝酒;开胃酒;葡萄酒;烧酒</t>
  </si>
  <si>
    <t>滋都堂</t>
  </si>
  <si>
    <t>张志峰</t>
  </si>
  <si>
    <t>⽶酒;⽩兰地;酒精饮料（啤酒除外）;⾷⽤酒精;⻩酒;葡萄酒;果酒（含酒精）;鸡尾酒;含⽔果酒精饮料;⽩酒</t>
  </si>
  <si>
    <t>娉台</t>
  </si>
  <si>
    <t>⽩酒;烈酒;⽶酒;清酒;⻩酒;烧酒;汽酒;甜酒;梅酒;果酒</t>
  </si>
  <si>
    <t>口粮九谷丰</t>
  </si>
  <si>
    <t>内蒙古精诚华商酒业有限责任公司</t>
  </si>
  <si>
    <t>蒸馏饮料;酒精饮料（啤酒除外）;⽩酒;烈酒（饮料）;利⼝酒;⽶酒;烧酒;开胃酒;葡萄酒;⾷⽤酒精</t>
  </si>
  <si>
    <t>财富湾</t>
  </si>
  <si>
    <t>利⼝酒;⽩酒;烧酒;⽶酒;开胃酒;烈酒（饮料）;⻩酒;鸡尾酒;威⼠忌;葡萄酒</t>
  </si>
  <si>
    <t>桃致</t>
  </si>
  <si>
    <t>王鑫垚</t>
  </si>
  <si>
    <t>酒精饮料（啤酒除外）;葡萄酒;⻩酒;⾼粱酒;果酒（含酒精）;烈酒（饮料）;⽶酒;伏特加酒;⽩酒;鸡尾酒</t>
  </si>
  <si>
    <t>老仁兴</t>
  </si>
  <si>
    <t>王东</t>
  </si>
  <si>
    <t>⽩酒;酒精饮料（啤酒除外）;⻩酒;鸡尾酒;蒸馏饮料;葡萄酒;⽶酒;烧酒;烈酒（饮料）;果酒（含酒精）</t>
  </si>
  <si>
    <t>舌尖塞外</t>
  </si>
  <si>
    <t>李厚坤</t>
  </si>
  <si>
    <t>葡萄酒;⽶酒;⻩酒;果酒（含酒精）;烧酒;烈酒（饮料）;⽩酒;汽酒;⽩兰地;鸡尾酒</t>
  </si>
  <si>
    <t>牧之竹</t>
  </si>
  <si>
    <t>以葡萄酒为主的饮料;⾼粱酒;含酒精的饮料（啤酒除外）;⽩酒;清酒;露酒;⽶酒;⾷⽤酒精;含⽔果酒精饮料;⻩酒</t>
  </si>
  <si>
    <t>锡林宝格达</t>
  </si>
  <si>
    <t>内蒙古娜丽格尔旅游有限公司</t>
  </si>
  <si>
    <t>果酒（含酒精）;⻘稞酒;⾼粱酒;⻩酒;烧酒;鸡尾酒;葡萄酒;烈酒（饮料）;酒精饮料（啤酒除外）;⽩酒</t>
  </si>
  <si>
    <t>全草集</t>
  </si>
  <si>
    <t>俞成</t>
  </si>
  <si>
    <t>甜酒;⽶酒;⾷⽤酒精;葡萄酒;⻩酒;清酒;⽩酒;开胃酒;果酒;汽酒</t>
  </si>
  <si>
    <t>SACHIHIME</t>
  </si>
  <si>
    <t>上海我爱我秀电子商务有限公司</t>
  </si>
  <si>
    <t>利⼝酒;威⼠忌;果酒（含酒精）;⽩酒;鸡尾酒;清酒（⽇本⽶酒）;开胃酒;烧酒;⽶酒;伏特加酒</t>
  </si>
  <si>
    <t>桃调</t>
  </si>
  <si>
    <t>鸡尾酒;⽩酒;⻩酒;⾼粱酒;烈酒（饮料）;果酒（含酒精）;酒精饮料（啤酒除外）;⽶酒;葡萄酒;伏特加酒</t>
  </si>
  <si>
    <t>榴玛仕</t>
  </si>
  <si>
    <t>苏州星乔国际进出口贸易有限公司</t>
  </si>
  <si>
    <t>果酒（含酒精）;⾷⽤酒精;⽩酒;酒精饮料（啤酒除外）;含⽔果酒精饮料;⽶酒;葡萄酒;⻩酒;威⼠忌;⽩兰地</t>
  </si>
  <si>
    <t>黔久醇</t>
  </si>
  <si>
    <t>贵州一亿方酒业有限公司</t>
  </si>
  <si>
    <t>⽩酒;⻩酒;⽶酒;烧酒</t>
  </si>
  <si>
    <t>彝傣清花</t>
  </si>
  <si>
    <t>润宝（云南）供应链有限公司</t>
  </si>
  <si>
    <t>⻩酒;⽼酒（中国蒸馏烈酒）;烈酒（饮料）;⾕物制蒸馏酒精饮料;⽩酒;杜松⼦酒;⽩⼲酒（中国⽩酒）;⽶酒;⻘稞酒;以葡萄酒为主的饮料</t>
  </si>
  <si>
    <t>珍清青韵</t>
  </si>
  <si>
    <t>杨涵珺</t>
  </si>
  <si>
    <t>烈酒（饮料）;葡萄酒;蒸馏饮料;酒精饮料（啤酒除外）;⽩酒;⽶酒;果酒（含酒精）;鸡尾酒;威⼠忌;烧酒</t>
  </si>
  <si>
    <t>睿伟</t>
  </si>
  <si>
    <t>许敏</t>
  </si>
  <si>
    <t>烧酒;⽩酒;清酒;⻩酒;⾼粱酒;蒸馏⽶酒（泡盛酒）;甜酒;开胃酒;⽩⼲酒（中国⽩酒）;葡萄酒</t>
  </si>
  <si>
    <t>葡峰酒庄</t>
  </si>
  <si>
    <t>山西葡峰山庄食品有限公司</t>
  </si>
  <si>
    <t>酒精饮料（啤酒除外）;⻩酒;汽酒;开胃酒;鸡尾酒;葡萄酒;利⼝酒;⽩酒;烧酒;果酒</t>
  </si>
  <si>
    <t>济南舜酒酒业有限公司</t>
  </si>
  <si>
    <t>葡萄酒;⾕物制蒸馏酒精饮料;餐后酒（利⼝酒和烈酒）;⻩酒;⻘稞酒;开胃酒;烧酒;烈酒（饮料）;⽶酒;苦味酒</t>
  </si>
  <si>
    <t>刘一点</t>
  </si>
  <si>
    <t>刘文涛</t>
  </si>
  <si>
    <t>⽩酒;清酒;⾷⽤酒精;蒸煮提取物（利⼝酒和烈酒）;⻩酒;葡萄酒;⽶酒;⽼酒（中国蒸馏烈酒）;烧酒（烈酒）;⽩⼲酒（中国⽩酒）</t>
  </si>
  <si>
    <t>汘滗</t>
  </si>
  <si>
    <t>黄国飞</t>
  </si>
  <si>
    <t>⽩酒;烈酒;酒精饮料原汁;果酒;烧酒;蒸煮提取物（利⼝酒和烈酒）;⽶酒;蜂蜜酒;⻩酒;甜酒</t>
  </si>
  <si>
    <t>悠山好日子</t>
  </si>
  <si>
    <t>深圳市悠山文化集团有限公司</t>
  </si>
  <si>
    <t>蒸馏饮料;果酒（含酒精）;薄荷酒;威⼠忌;含⽔果酒精饮料;酒精饮料（啤酒除外）;⽩酒;葡萄酒;⻩酒;开胃酒</t>
  </si>
  <si>
    <t>壹读</t>
  </si>
  <si>
    <t>贵州第二台酒业有限公司</t>
  </si>
  <si>
    <t>⻩酒;⽩酒;酒精饮料原汁;葡萄酒;酒精饮料（啤酒除外）;⾷⽤酒精;烈酒;⽶酒;果酒（含酒精）;烧酒</t>
  </si>
  <si>
    <t>政曌龙凤</t>
  </si>
  <si>
    <t>张伟</t>
  </si>
  <si>
    <t>⽶酒;鸡尾酒;烈酒（饮料）;⻩酒;⽢蔗制烈酒;果酒（含酒精）;烧酒;⽩酒;葡萄酒;酒精饮料（啤酒除外）</t>
  </si>
  <si>
    <t>元气达达</t>
  </si>
  <si>
    <t>武汉普茂数字科技有限公司</t>
  </si>
  <si>
    <t>梨酒;烈酒（饮料）;葡萄酒;⽶酒;烧酒;⻩酒;⽩酒;威⼠忌;伏特加酒;⽩兰地</t>
  </si>
  <si>
    <t>山庄皇家珍藏</t>
  </si>
  <si>
    <t>⽼酒（中国蒸馏烈酒）;⽩酒;葡萄酒;蒸煮提取物（利⼝酒和烈酒）;烈酒（饮料）;⻩酒;酒精饮料（啤酒除外）;汽酒;⾷⽤酒精;烧酒</t>
  </si>
  <si>
    <t>舒巍</t>
  </si>
  <si>
    <t>烈酒（饮料）;⽶酒;果酒（含酒精）;苹果酒;露酒;餐后酒（利⼝酒和烈酒）;⾕物制蒸馏酒精饮料;蒸馏饮料;葡萄酒;⽩酒</t>
  </si>
  <si>
    <t>毕节市农投菌业科技有限责任公司</t>
  </si>
  <si>
    <t>烧酒;果酒（含酒精）;酒精饮料原汁;汽酒;清酒;开胃酒;烈酒（饮料）;酒精饮料（啤酒除外）;⻩酒;⽩酒</t>
  </si>
  <si>
    <t>润和礼</t>
  </si>
  <si>
    <t>长沙润和文化科技有限公司</t>
  </si>
  <si>
    <t>果酒（含酒精）;⽩酒;⻩酒;⽶酒;开胃酒;烧酒（烈酒）;葡萄酒;清酒（⽇本⽶酒）;烧酒;红葡萄酒</t>
  </si>
  <si>
    <t>雅韵礼乐</t>
  </si>
  <si>
    <t>泸州御酒酒业有限公司</t>
  </si>
  <si>
    <t>果酒（含酒精）;葡萄酒;⽶酒;烈酒（饮料）;⻩酒;含⽔果酒精饮料;⽩酒;清酒;烧酒;鸡尾酒</t>
  </si>
  <si>
    <t>黄抄</t>
  </si>
  <si>
    <t>泉州市邻居的耳朵品牌管理有限公司</t>
  </si>
  <si>
    <t>⻩酒;烧酒;烈酒（饮料）;酒精饮料（啤酒除外）;⽩酒;含⽔果酒精饮料;⽶酒;⽩兰地;威⼠忌;葡萄酒</t>
  </si>
  <si>
    <t>黄抄堂</t>
  </si>
  <si>
    <t>⽩兰地;⻩酒;烧酒;葡萄酒;⽶酒;⽩酒;烈酒（饮料）;酒精饮料（啤酒除外）;威⼠忌;含⽔果酒精饮料</t>
  </si>
  <si>
    <t>川帝公</t>
  </si>
  <si>
    <t>李晋羽</t>
  </si>
  <si>
    <t>烈酒;⽩酒;⻘稞酒;鸡尾酒;烧酒;葡萄酒;果酒;⻩酒;⽶酒;威⼠忌</t>
  </si>
  <si>
    <t>幂外</t>
  </si>
  <si>
    <t>曹君毅</t>
  </si>
  <si>
    <t>鸡尾酒;烧酒（烈酒）;果酒（含酒精）;酒精饮料（啤酒除外）;葡萄酒;⽶酒;烧酒;甜果酒;⽩酒;除啤酒外的酒精饮料</t>
  </si>
  <si>
    <t>老号蕴河春</t>
  </si>
  <si>
    <t>杨正伟</t>
  </si>
  <si>
    <t>鸡尾酒;开胃酒;蜂蜜酒;果酒（含酒精）;⾷⽤酒精;烧酒;⽩酒;⻘稞酒;⻩酒;葡萄酒</t>
  </si>
  <si>
    <t>食碗坛</t>
  </si>
  <si>
    <t>寸继梅</t>
  </si>
  <si>
    <t>⽩酒;露酒;杜松⼦酒;⻘稞酒;烧酒;红葡萄酒;⽼酒（中国蒸馏烈酒）;清酒;苦荞酒;⽶酒</t>
  </si>
  <si>
    <t>妙花吟</t>
  </si>
  <si>
    <t>四川信达乐贸易有限公司</t>
  </si>
  <si>
    <t>红葡萄酒;甜酒;清酒;果酒;杨梅酒;⻘梅酒;⽩⼲酒（中国⽩酒）;⽇本梅⼦酒;梅酒;⽩葡萄酒;加烈葡萄酒;烈酒;⽼酒（中国蒸馏烈酒）;饮⽤烈酒;蒸馏⽶酒（泡盛酒）;含酒精的⽔果鸡尾酒饮料;蒸煮提取物（利⼝酒和烈酒）;⾼粱酒;含酒精的饮料（啤酒除外）;⽩酒;烈性⼲酒</t>
  </si>
  <si>
    <t>达仁堂</t>
  </si>
  <si>
    <t>津药达仁堂集团股份有限公司</t>
  </si>
  <si>
    <t>⾕物制蒸馏酒精饮料;果酒（含酒精）;蒸馏饮料;蜂蜜酒;烧酒;酒精饮料（啤酒除外）;⽶酒;含酒精的⽓泡⽔;⽩酒;酒精饮料原汁</t>
  </si>
  <si>
    <t>山水地球</t>
  </si>
  <si>
    <t>河北陈先生酒业有限公司</t>
  </si>
  <si>
    <t>⻩酒;梨酒;果酒;酒精饮料原汁;烈酒（饮料）;烧酒;⽩酒;蒸煮提取物（利⼝酒和烈酒）;含⽔果酒精饮料;⽶酒</t>
  </si>
  <si>
    <t>万稼禾牧</t>
  </si>
  <si>
    <t>万稼禾牧（咸丰）农业发展有限公司</t>
  </si>
  <si>
    <t>酒精饮料（啤酒除外）;⾕物制蒸馏酒精饮料;以葡萄酒为主的饮料;⽶酒;⻩酒;⽩酒;果酒;蒸馏饮料;⻘稞酒;含⽔果酒精饮料</t>
  </si>
  <si>
    <t>聂山红</t>
  </si>
  <si>
    <t>湖北聂山酒业有限公司</t>
  </si>
  <si>
    <t>⻩酒;⽩酒;⽩兰地;朗姆酒;烈酒（饮料）;酒精饮料（啤酒除外）;威⼠忌;果酒（含酒精）;⾷⽤酒精;以葡萄酒为主的饮料</t>
  </si>
  <si>
    <t>梅山金台</t>
  </si>
  <si>
    <t>安徽省金寨县梅山酒厂（普通合伙）</t>
  </si>
  <si>
    <t>⽼酒（中国蒸馏烈酒）;酒精饮料原汁;⾷⽤酒精;酒精饮料（啤酒除外）;⽩⼲酒（中国⽩酒）;烧酒（烈酒）;烈酒;⾼粱酒;⽩酒;由⾕物蒸馏的⽩酒</t>
  </si>
  <si>
    <t>南岭高升堂</t>
  </si>
  <si>
    <t>山西神利企业管理有限公司</t>
  </si>
  <si>
    <t>⽩酒;果酒;葡萄酒;汽酒;烈酒;甜酒;利⼝酒;⻘稞酒;⽩兰地;清酒</t>
  </si>
  <si>
    <t>圣尚无觅</t>
  </si>
  <si>
    <t>圣尚联合酒业（北京）有限公司</t>
  </si>
  <si>
    <t>茴芹酒（利⼝酒）;⾼粱酒;烈酒;清酒;⻩酒;⽼酒（中国蒸馏烈酒）;葡萄酒;烧酒;⽩酒;五加⽪酒（中国混合烈酒）</t>
  </si>
  <si>
    <t>摩龙盖</t>
  </si>
  <si>
    <t>王存政</t>
  </si>
  <si>
    <t>⽩酒;葡萄酒;酒精饮料（啤酒除外）;⽶酒;烈酒（饮料）;烧酒;⻩酒;果酒（含酒精）;鸡尾酒;威⼠忌</t>
  </si>
  <si>
    <t>朝朝喜</t>
  </si>
  <si>
    <t>⽩酒;开胃酒;酒精饮料（啤酒除外）;清酒（⽇本⽶酒）;鸡尾酒;果酒（含酒精）;⻩酒;威⼠忌;烈酒;葡萄酒</t>
  </si>
  <si>
    <t>营全</t>
  </si>
  <si>
    <t>余庆昌</t>
  </si>
  <si>
    <t>⽶酒;烧酒;⻩酒;梨酒;⽩酒;清酒（⽇本⽶酒）;⻘稞酒;露酒;开胃酒;葡萄酒</t>
  </si>
  <si>
    <t>塔霖醉</t>
  </si>
  <si>
    <t>孙世超</t>
  </si>
  <si>
    <t>⽩酒;开胃酒;苦荞酒;果酒;酒精饮料（啤酒除外）;⾼粱酒;鸡尾酒;葡萄酒;甜酒;烧酒</t>
  </si>
  <si>
    <t>缆友 CABLE FRIENDS</t>
  </si>
  <si>
    <t>河北缆源线缆有限公司</t>
  </si>
  <si>
    <t>伏特加酒;烈酒（饮料）;利⼝酒;预先混合的酒精饮料（以啤酒为主的除外）;⽩兰地;薄荷酒;⻘稞酒;餐后酒（利⼝酒和烈酒）;威⼠忌;酸酒（低等葡萄酒）</t>
  </si>
  <si>
    <t>金非图</t>
  </si>
  <si>
    <t>杨英连</t>
  </si>
  <si>
    <t>开胃酒;利⼝酒;酒精饮料原汁;葡萄酒;烧酒;果酒（含酒精）;蒸馏饮料;⽩酒;酒精饮料（啤酒除外）;⻩酒</t>
  </si>
  <si>
    <t>陇君行</t>
  </si>
  <si>
    <t>刘朋鑫</t>
  </si>
  <si>
    <t>⻩酒;葡萄酒;起泡⽩葡萄酒;⽩酒;蜂蜜酒;天然汽酒;鸡尾酒;起泡红葡萄酒;⽔果汽酒;汽酒</t>
  </si>
  <si>
    <t>玖衢红</t>
  </si>
  <si>
    <t>龚光耀</t>
  </si>
  <si>
    <t>烧酒;樱桃酒;⻩酒;蜂蜜酒;苹果酒;鸡尾酒;酸酒（低等葡萄酒）;⽩酒;餐后酒（利⼝酒和烈酒）;葡萄酒</t>
  </si>
  <si>
    <t>CRANNE</t>
  </si>
  <si>
    <t>大连帝汐缇贸易有限公司</t>
  </si>
  <si>
    <t>坠云楼</t>
  </si>
  <si>
    <t>梁文文</t>
  </si>
  <si>
    <t>酒精饮料（啤酒除外）;开胃酒;果酒（含酒精）;葡萄酒;烧酒;含⽔果酒精饮料;⽩酒;鸡尾酒;⽩兰地;蜂蜜酒</t>
  </si>
  <si>
    <t>凝馥</t>
  </si>
  <si>
    <t>林志伟</t>
  </si>
  <si>
    <t>⽶酒;⽩酒;果酒（含酒精）;烧酒;⻩酒;葡萄酒;伏特加酒;⾕物制蒸馏酒精饮料;⽩兰地;⾷⽤酒精</t>
  </si>
  <si>
    <t>芳凝</t>
  </si>
  <si>
    <t>葡萄酒;⻩酒;⾕物制蒸馏酒精饮料;烧酒;⽩酒;伏特加酒;⽶酒;⽩兰地;⾷⽤酒精;果酒（含酒精）</t>
  </si>
  <si>
    <t>AMID</t>
  </si>
  <si>
    <t>长沙因果餐饮管理有限公司</t>
  </si>
  <si>
    <t>鸡尾酒;⽩酒;汽酒;酒精饮料原汁;含⽔果酒精饮料;⾷⽤酒精;烧酒;开胃酒;含酒精的⽔果鸡尾酒饮料;葡萄酒</t>
  </si>
  <si>
    <t>宜天</t>
  </si>
  <si>
    <t>宜宾宜五酒业有限责任公司</t>
  </si>
  <si>
    <t>含⽔果酒精饮料;⽶酒;⽩酒;烧酒;利⼝酒;酒精饮料（啤酒除外）;果酒（含酒精）;蒸馏饮料;鸡尾酒;红葡萄酒</t>
  </si>
  <si>
    <t>钱江源开化味道 QIANJIANGYUAN KAIHUA TASTE</t>
  </si>
  <si>
    <t>浙江省钱江源实业有限公司</t>
  </si>
  <si>
    <t>鸡尾酒;⾼粱酒;果酒（含酒精）;⽶酒;⻩酒;葡萄酒;烈酒（饮料）;⽩酒;⻘梅酒;杨梅酒</t>
  </si>
  <si>
    <t>留世家族传承</t>
  </si>
  <si>
    <t>酒精饮料（啤酒除外）;蒸馏饮料;威⼠忌;烈酒（饮料）;⽩酒;果酒（含酒精）;鸡尾酒;葡萄酒;酒精饮料原汁;⽩兰地</t>
  </si>
  <si>
    <t>久之堂</t>
  </si>
  <si>
    <t>泸州泸顺老窖酒业股份有限公司</t>
  </si>
  <si>
    <t>葡萄酒;⽶酒;烧酒;⻩酒;开胃酒;果酒（含酒精）;⾷⽤酒精;⽩酒;清酒;汽酒</t>
  </si>
  <si>
    <t>赤沙咀</t>
  </si>
  <si>
    <t>魏运燎</t>
  </si>
  <si>
    <t>果酒（含酒精）;蒸馏饮料;葡萄酒;⽶酒;酒精饮料（啤酒除外）;烧酒;⻩酒;⽩酒;烈酒（饮料）;预先混合的酒精饮料（以啤酒为主的除外）</t>
  </si>
  <si>
    <t>九道仁</t>
  </si>
  <si>
    <t>烧酒;五加⽪酒（中国混合烈酒）;鸡尾酒;⽶酒;⻩酒;⽩酒;威⼠忌;⽩兰地;葡萄酒;苹果酒</t>
  </si>
  <si>
    <t>皇番</t>
  </si>
  <si>
    <t>杨小彬</t>
  </si>
  <si>
    <t>清酒（⽇本⽶酒）;鸡尾酒;酒精饮料（啤酒除外）;⽶酒;蜂蜜酒;含⽔果酒精饮料;烧酒;⽩酒;果酒（含酒精）;葡萄酒</t>
  </si>
  <si>
    <t>史叔</t>
  </si>
  <si>
    <t>葡萄酒;酒精饮料（啤酒除外）;烧酒;⽩酒;鸡尾酒;果酒（含酒精）;含⽔果酒精饮料;⽶酒;清酒（⽇本⽶酒）;蜂蜜酒</t>
  </si>
  <si>
    <t>友相叙</t>
  </si>
  <si>
    <t>⽶酒;蜂蜜酒;清酒（⽇本⽶酒）;烧酒;含⽔果酒精饮料;葡萄酒;⽩酒;果酒（含酒精）;酒精饮料（啤酒除外）;鸡尾酒</t>
  </si>
  <si>
    <t>聂山春</t>
  </si>
  <si>
    <t>⽩兰地;朗姆酒;⾷⽤酒精;⻩酒;以葡萄酒为主的饮料;果酒（含酒精）;烈酒（饮料）;酒精饮料（啤酒除外）;⽩酒;威⼠忌</t>
  </si>
  <si>
    <t>留世传奇</t>
  </si>
  <si>
    <t>鸡尾酒;葡萄酒;⽩酒;蒸馏饮料;酒精饮料（啤酒除外）;烈酒（饮料）;⽩兰地;果酒（含酒精）;酒精饮料原汁;威⼠忌</t>
  </si>
  <si>
    <t>醉洞庭</t>
  </si>
  <si>
    <t>湖南醉洞庭酒业有限公司</t>
  </si>
  <si>
    <t>⻩酒;烧酒;果酒（含酒精）;葡萄酒;蜂蜜酒;⽩兰地;酒精饮料（啤酒除外）;⽶酒;蒸煮提取物（利⼝酒和烈酒）;烈酒（饮料）</t>
  </si>
  <si>
    <t>贵州省仁怀市仁康酒业有限公司</t>
  </si>
  <si>
    <t>⽼酒（中国蒸馏烈酒）;果酒;烈酒;蒸煮提取物（利⼝酒和烈酒）;清酒;⽩⼲酒（中国⽩酒）;烈性⼲酒;⾼粱酒;红葡萄酒;烧酒（烈酒）</t>
  </si>
  <si>
    <t>名远春</t>
  </si>
  <si>
    <t>果酒（含酒精）;蒸馏饮料;⽩酒;烧酒;⾕物制蒸馏酒精饮料;露酒;烈酒（饮料）;酒精饮料原汁;酒精饮料（啤酒除外）;⻘稞酒</t>
  </si>
  <si>
    <t>蒙昆</t>
  </si>
  <si>
    <t>内蒙古现代游牧文化传媒有限公司</t>
  </si>
  <si>
    <t>葡萄酒;果酒（含酒精）;⽶酒;⻩酒;含酒精的⽓泡⽔;烧酒;⾷⽤酒精;⽩酒;预先混合的酒精饮料（以啤酒为主的除外）;酒精饮料（啤酒除外）</t>
  </si>
  <si>
    <t>遇则兴</t>
  </si>
  <si>
    <t>河南省豫则兴酒业有限公司</t>
  </si>
  <si>
    <t>蜂蜜酒;⽶酒;果酒;⻩酒;⽩酒;酒精饮料（啤酒除外）;烧酒;樱桃酒;葡萄酒;⻘稞酒</t>
  </si>
  <si>
    <t>寻石缘</t>
  </si>
  <si>
    <t>李志梅</t>
  </si>
  <si>
    <t>烈酒（饮料）;⻩酒;⽶酒;⾼粱酒;蜂蜜酒;烧酒;⽩酒;露酒;葡萄酒;果酒（含酒精）</t>
  </si>
  <si>
    <t>藤鹰</t>
  </si>
  <si>
    <t>泸州若泽酒业有限公司</t>
  </si>
  <si>
    <t>⻩酒;⽶酒;烧酒;伏特加酒;烈酒（饮料）;⽩酒;果酒（含酒精）;酒精饮料（啤酒除外）;鸡尾酒;葡萄酒</t>
  </si>
  <si>
    <t>北京凡庆生物技术有限责任公司</t>
  </si>
  <si>
    <t>⽶酒;⻩酒;烈酒;果酒（含酒精）;酒精饮料（啤酒除外）;蒸馏饮料;利⼝酒;酒精饮料浓缩汁;⽩酒</t>
  </si>
  <si>
    <t>迈廷</t>
  </si>
  <si>
    <t>利⼝酒;葡萄酒;⽩酒;朗姆酒;威⼠忌;鸡尾酒;果酒（含酒精）;亚⼒酒;餐后酒（利⼝酒和烈酒）;⽩兰地</t>
  </si>
  <si>
    <t>侃上</t>
  </si>
  <si>
    <t>韩子天</t>
  </si>
  <si>
    <t>葡萄酒;鸡尾酒;蜂蜜酒;酒精饮料（啤酒除外）;⽶酒;⽩酒;果酒（含酒精）;清酒（⽇本⽶酒）;含⽔果酒精饮料;烧酒</t>
  </si>
  <si>
    <t>擂鼎</t>
  </si>
  <si>
    <t>鸡尾酒;烧酒;蜂蜜酒;清酒（⽇本⽶酒）;⽩酒;葡萄酒;含⽔果酒精饮料;果酒（含酒精）;酒精饮料（啤酒除外）;⽶酒</t>
  </si>
  <si>
    <t>潮人盛世</t>
  </si>
  <si>
    <t>广东佬潮汕酒业有限公司</t>
  </si>
  <si>
    <t>⽩酒;酒精饮料（啤酒除外）;葡萄酒;蒸馏饮料;⽶酒;⻩酒;果酒（含酒精）;鸡尾酒;烧酒;烈酒</t>
  </si>
  <si>
    <t>汉武祖</t>
  </si>
  <si>
    <t>金允磊</t>
  </si>
  <si>
    <t>利⼝酒;⾼粱酒;⽼酒（中国蒸馏烈酒）;威⼠忌;烈酒;⽩酒;烧酒;⽶酒;果酒;酒精饮料（啤酒除外）</t>
  </si>
  <si>
    <t>青龙渡</t>
  </si>
  <si>
    <t>酒精饮料（啤酒除外）;⽶酒;烧酒;烈酒;⽼酒（中国蒸馏烈酒）;⾼粱酒;⽩酒;威⼠忌;果酒;利⼝酒</t>
  </si>
  <si>
    <t>厚承</t>
  </si>
  <si>
    <t>厚承元作（陕西）酒业有限公司</t>
  </si>
  <si>
    <t>酒精饮料（啤酒除外）;鸡尾酒;蒸馏饮料;烧酒;⾷⽤酒精;果酒（含酒精）;葡萄酒;⻘稞酒;⽶酒;⽩酒</t>
  </si>
  <si>
    <t>平恒</t>
  </si>
  <si>
    <t>邻水县复盛龙门综合市场</t>
  </si>
  <si>
    <t>⾼粱酒;蒸馏饮料;⻘稞酒;⽩酒;⻩酒;清酒;果酒;⽼酒（中国蒸馏烈酒）;酒精饮料（啤酒除外）;⽶酒</t>
  </si>
  <si>
    <t>宣福米酒</t>
  </si>
  <si>
    <t>云南宣福酒业有限公司</t>
  </si>
  <si>
    <t>奇黔一品</t>
  </si>
  <si>
    <t>⽶酒;⽩酒;鸡尾酒;清酒（⽇本⽶酒）;烧酒;葡萄酒;蜂蜜酒;含⽔果酒精饮料;果酒（含酒精）;酒精饮料（啤酒除外）</t>
  </si>
  <si>
    <t>巡享</t>
  </si>
  <si>
    <t>果酒（含酒精）;含⽔果酒精饮料;⽩酒;鸡尾酒;⽶酒;蜂蜜酒;酒精饮料（啤酒除外）;清酒（⽇本⽶酒）;烧酒;葡萄酒</t>
  </si>
  <si>
    <t>福克斯电梯有限公司</t>
  </si>
  <si>
    <t>⽩酒;葡萄酒;烈酒（饮料）;鸡尾酒;烧酒;⽶酒;果酒（含酒精）;⾕物制蒸馏酒精饮料;含⽔果酒精饮料;酒精饮料原汁</t>
  </si>
  <si>
    <t>汉皇祖</t>
  </si>
  <si>
    <t>⽶酒;果酒;烈酒;威⼠忌;⾼粱酒;⽼酒（中国蒸馏烈酒）;酒精饮料（啤酒除外）;利⼝酒;⽩酒;烧酒</t>
  </si>
  <si>
    <t>虚空境</t>
  </si>
  <si>
    <t>重庆乙巳年商贸有限公司</t>
  </si>
  <si>
    <t>⽩酒;甜果酒;利⼝酒;饮⽤烈酒;已调味的蒸馏酒;⽩⼲酒（中国⽩酒）;佐餐酒;⾷⽤酒精;烧酒;⽼酒（中国蒸馏烈酒）</t>
  </si>
  <si>
    <t>内蒙古额吉淖尔制盐有限公司</t>
  </si>
  <si>
    <t>酒精饮料（啤酒除外）;⽩酒;餐后酒（利⼝酒和烈酒）;蜂蜜酒;含⽜奶的鸡尾酒;果酒（含酒精）;苦味酒;含酒精蛋奶酒;酒精饮料原汁;含奶油利⼝酒</t>
  </si>
  <si>
    <t>方耐凤</t>
  </si>
  <si>
    <t>烧酒;汽酒;⽶酒;⽩酒;⻩酒;⽩⼲酒（中国⽩酒）;含酒精的⽓泡⽔;葡萄酒;酒精饮料（啤酒除外）;果酒</t>
  </si>
  <si>
    <t>古街角</t>
  </si>
  <si>
    <t>鸡尾酒;葡萄酒;清酒（⽇本⽶酒）;⽩酒;烧酒;⽶酒;蜂蜜酒;酒精饮料（啤酒除外）;含⽔果酒精饮料;果酒（含酒精）</t>
  </si>
  <si>
    <t>谦己</t>
  </si>
  <si>
    <t>含⽔果酒精饮料;果酒（含酒精）;蜂蜜酒;烧酒;酒精饮料（啤酒除外）;葡萄酒;⽶酒;鸡尾酒;清酒（⽇本⽶酒）;⽩酒</t>
  </si>
  <si>
    <t>闲和友</t>
  </si>
  <si>
    <t>果酒（含酒精）;烧酒;⽩酒;蜂蜜酒;含⽔果酒精饮料;清酒（⽇本⽶酒）;⽶酒;葡萄酒;酒精饮料（啤酒除外）;鸡尾酒</t>
  </si>
  <si>
    <t>帝华祖</t>
  </si>
  <si>
    <t>威⼠忌;⽶酒;烧酒;利⼝酒;⾼粱酒;⽼酒（中国蒸馏烈酒）;酒精饮料（啤酒除外）;⽩酒;烈酒;果酒</t>
  </si>
  <si>
    <t>敬九词</t>
  </si>
  <si>
    <t>向艳</t>
  </si>
  <si>
    <t>⽩酒;含⽔果酒精饮料;果酒（含酒精）;⻘稞酒;⻩酒;⽶酒;薄荷酒;清酒（⽇本⽶酒）;烧酒;烈酒（饮料）</t>
  </si>
  <si>
    <t>宫庭华酿</t>
  </si>
  <si>
    <t>刘大阳</t>
  </si>
  <si>
    <t>酒精饮料（啤酒除外）;已调味的蒸馏酒;⽩⼲酒（中国⽩酒）;由⾕物蒸馏的⽩酒;⽼酒（中国蒸馏烈酒）;烧酒（烈酒）;含酒精的饮料（啤酒除外）;⾼粱酒;果酒;⽩酒</t>
  </si>
  <si>
    <t>竹介</t>
  </si>
  <si>
    <t>⽶酒;烧酒;蜂蜜酒;清酒（⽇本⽶酒）;葡萄酒;鸡尾酒;酒精饮料（啤酒除外）;⽩酒;果酒（含酒精）;含⽔果酒精饮料</t>
  </si>
  <si>
    <t>工才</t>
  </si>
  <si>
    <t>果酒（含酒精）;葡萄酒;蜂蜜酒;⽶酒;鸡尾酒;清酒（⽇本⽶酒）;酒精饮料（啤酒除外）;含⽔果酒精饮料;⽩酒;烧酒</t>
  </si>
  <si>
    <t>古誓</t>
  </si>
  <si>
    <t>清酒（⽇本⽶酒）;含⽔果酒精饮料;烧酒;⽩酒;⽶酒;酒精饮料（啤酒除外）;果酒（含酒精）;葡萄酒;蜂蜜酒;鸡尾酒</t>
  </si>
  <si>
    <t>鄣郡龙山</t>
  </si>
  <si>
    <t>嘉兴市神农百草农业科技有限公司</t>
  </si>
  <si>
    <t>含酒精⽔果饮料;烧酒;咖啡利⼝酒;⽩⼲酒（中国⽩酒）</t>
  </si>
  <si>
    <t>半日春光</t>
  </si>
  <si>
    <t>葡萄酒;蜂蜜酒;酒精饮料（啤酒除外）;⽩酒;烧酒;清酒（⽇本⽶酒）;⽶酒;含⽔果酒精饮料;鸡尾酒;果酒（含酒精）</t>
  </si>
  <si>
    <t>荟生源</t>
  </si>
  <si>
    <t>仁怀市中忆窖酒业销售有限公司</t>
  </si>
  <si>
    <t>⽩酒;开胃酒;⻩酒;苦味酒;⽩⼲酒（中国⽩酒）;⽶酒;薄荷酒;苹果酒;蒸馏饮料;果酒（含酒精）</t>
  </si>
  <si>
    <t>宛优汇</t>
  </si>
  <si>
    <t>李梅</t>
  </si>
  <si>
    <t>烧酒;⽶酒;⻩酒;葡萄酒;果酒（含酒精）;开胃酒;⽩酒;⾷⽤酒精;苦味酒;⽩⼲酒（中国⽩酒）</t>
  </si>
  <si>
    <t>凰素</t>
  </si>
  <si>
    <t>果酒（含酒精）;鸡尾酒;蜂蜜酒;⽩酒;清酒（⽇本⽶酒）;⽶酒;烧酒;含⽔果酒精饮料;葡萄酒;酒精饮料（啤酒除外）</t>
  </si>
  <si>
    <t>陶缀</t>
  </si>
  <si>
    <t>果酒（含酒精）;清酒（⽇本⽶酒）;酒精饮料（啤酒除外）;烧酒;含⽔果酒精饮料;⽩酒;葡萄酒;蜂蜜酒;⽶酒;鸡尾酒</t>
  </si>
  <si>
    <t>贺味来</t>
  </si>
  <si>
    <t>李梦</t>
  </si>
  <si>
    <t>葡萄酒;蜂蜜酒;烧酒;鸡尾酒;酒精饮料（啤酒除外）;⽶酒;⽩酒;含⽔果酒精饮料;果酒（含酒精）;清酒（⽇本⽶酒）</t>
  </si>
  <si>
    <t>东柯坊</t>
  </si>
  <si>
    <t>吕应国</t>
  </si>
  <si>
    <t>果酒（含酒精）;清酒（⽇本⽶酒）;⾷⽤酒精;汽酒;葡萄酒;烈酒（饮料）;烧酒;威⼠忌;⽶酒;⽩酒</t>
  </si>
  <si>
    <t>试探</t>
  </si>
  <si>
    <t>鸡尾酒;清酒（⽇本⽶酒）;酒精饮料（啤酒除外）;含⽔果酒精饮料;⽩酒;⽶酒;蜂蜜酒;果酒（含酒精）;葡萄酒;烧酒</t>
  </si>
  <si>
    <t>搞范</t>
  </si>
  <si>
    <t>蜂蜜酒;果酒（含酒精）;含⽔果酒精饮料;⽶酒;⽩酒;清酒（⽇本⽶酒）;葡萄酒;酒精饮料（啤酒除外）;烧酒;鸡尾酒</t>
  </si>
  <si>
    <t>倾筑</t>
  </si>
  <si>
    <t>酒精饮料（啤酒除外）;⽩酒;鸡尾酒;蜂蜜酒;清酒（⽇本⽶酒）;⽶酒;烧酒;果酒（含酒精）;葡萄酒;含⽔果酒精饮料</t>
  </si>
  <si>
    <t>卷作</t>
  </si>
  <si>
    <t>清酒（⽇本⽶酒）;⽶酒;葡萄酒;酒精饮料（啤酒除外）;果酒（含酒精）;烧酒;鸡尾酒;蜂蜜酒;⽩酒;含⽔果酒精饮料</t>
  </si>
  <si>
    <t>拉凯仑城堡</t>
  </si>
  <si>
    <t>圣达菲酒业进出口（深圳）有限公司</t>
  </si>
  <si>
    <t>以葡萄酒为主的饮料;烈酒;含酒精⽔果饮料;威⼠忌;⽩兰地;鸡尾酒;葡萄酒;除啤酒外的酒精饮料;开胃酒;露酒</t>
  </si>
  <si>
    <t>蜀内</t>
  </si>
  <si>
    <t>酒精饮料（啤酒除外）;含⽔果酒精饮料;⽶酒;清酒（⽇本⽶酒）;葡萄酒;鸡尾酒;蜂蜜酒;烧酒;⽩酒;果酒（含酒精）</t>
  </si>
  <si>
    <t>游西北</t>
  </si>
  <si>
    <t>蜂蜜酒;酒精饮料（啤酒除外）;葡萄酒;鸡尾酒;含⽔果酒精饮料;烧酒;果酒（含酒精）;⽶酒;清酒（⽇本⽶酒）;⽩酒</t>
  </si>
  <si>
    <t>叙岸</t>
  </si>
  <si>
    <t>葡萄酒;烧酒;酒精饮料（啤酒除外）;⽶酒;⽩酒;蜂蜜酒;清酒（⽇本⽶酒）;果酒（含酒精）;含⽔果酒精饮料;鸡尾酒</t>
  </si>
  <si>
    <t>汉栖</t>
  </si>
  <si>
    <t>酒精饮料（啤酒除外）;葡萄酒;蜂蜜酒;清酒（⽇本⽶酒）;⽶酒;果酒（含酒精）;鸡尾酒;⽩酒;含⽔果酒精饮料;烧酒</t>
  </si>
  <si>
    <t>佳乡烟火</t>
  </si>
  <si>
    <t>清酒（⽇本⽶酒）;⽶酒;鸡尾酒;葡萄酒;⽩酒;果酒（含酒精）;蜂蜜酒;酒精饮料（啤酒除外）;烧酒;含⽔果酒精饮料</t>
  </si>
  <si>
    <t>万璞</t>
  </si>
  <si>
    <t>⽩酒;含⽔果酒精饮料;⽶酒;烧酒;清酒（⽇本⽶酒）;蜂蜜酒;酒精饮料（啤酒除外）;果酒（含酒精）;鸡尾酒;葡萄酒</t>
  </si>
  <si>
    <t>豫见归德</t>
  </si>
  <si>
    <t>王文彪</t>
  </si>
  <si>
    <t>⽶酒;红葡萄酒;苦荞酒;露酒;⻘梅酒;⽩酒;清酒;⻘稞酒;果酒（含酒精）;烧酒</t>
  </si>
  <si>
    <t>耀福缘</t>
  </si>
  <si>
    <t>廖褔缘</t>
  </si>
  <si>
    <t>蒸煮提取物（利⼝酒和烈酒）;⾕物制蒸馏酒精饮料;烧酒;葡萄酒;梨酒;酒精饮料（啤酒除外）;⽩酒;烈酒（饮料）;含酒精的饮料（啤酒除外）;蒸馏饮料</t>
  </si>
  <si>
    <t>宴品欢</t>
  </si>
  <si>
    <t>朱力</t>
  </si>
  <si>
    <t>烧酒;⽩酒;⾷⽤酒精;含⽔果酒精饮料;⻘稞酒;⽶酒;果酒（含酒精）;烈酒（饮料）;威⼠忌;⻩酒</t>
  </si>
  <si>
    <t>宴吟台</t>
  </si>
  <si>
    <t>⽩酒;烧酒;含⽔果酒精饮料;果酒（含酒精）;⽶酒;⻩酒;⾷⽤酒精;烈酒（饮料）;威⼠忌;⻘稞酒</t>
  </si>
  <si>
    <t>澜虎</t>
  </si>
  <si>
    <t>尚佩佩</t>
  </si>
  <si>
    <t>果酒（含酒精）;⽶酒;酒精饮料原汁;葡萄酒;⽩酒;餐后酒（利⼝酒和烈酒）;⻩酒;烈酒（饮料）;烧酒;酒精饮料（啤酒除外）</t>
  </si>
  <si>
    <t>WIH</t>
  </si>
  <si>
    <t>杨会云</t>
  </si>
  <si>
    <t>果酒;⽶酒;⾷⽤酒精;⻩酒;葡萄酒;开胃酒;清酒;⽩酒;甜酒;汽酒</t>
  </si>
  <si>
    <t>黑土壮</t>
  </si>
  <si>
    <t>个个达（廊坊）商贸有限公司</t>
  </si>
  <si>
    <t>⽶酒;⾼粱酒;烈酒（饮料）;果酒（含酒精）;⽼酒（中国蒸馏烈酒）;威⼠忌;果酒;烧酒;葡萄酒;⽩酒</t>
  </si>
  <si>
    <t>百花玫</t>
  </si>
  <si>
    <t>康乐县纯粮醇酒业农民专业合作社</t>
  </si>
  <si>
    <t>⽩酒;鸡尾酒;蜂蜜酒;⻘稞酒;酒精饮料（啤酒除外）;伏特加酒;⽼酒（中国蒸馏烈酒）;清酒;果酒;已调味的蒸馏酒</t>
  </si>
  <si>
    <t>天罡之谦</t>
  </si>
  <si>
    <t>四川天罡元科技有限公司</t>
  </si>
  <si>
    <t>汽酒;⻘稞酒;葡萄酒;由⾕物蒸馏的⽩酒;果酒（含酒精）;⽶酒;烧酒;⻩酒;酒精饮料（啤酒除外）;⽩酒</t>
  </si>
  <si>
    <t>遇知迷寻</t>
  </si>
  <si>
    <t>贵玖滇茗（北京）商贸有限公司</t>
  </si>
  <si>
    <t>果酒（含酒精）;⽩酒;⻩酒;烈酒（饮料）;酒精饮料（啤酒除外）;蒸馏饮料;清酒（⽇本⽶酒）;⽶酒;⾷⽤酒精;烧酒</t>
  </si>
  <si>
    <t>君湡</t>
  </si>
  <si>
    <t>尉氏县德亿科技有限公司</t>
  </si>
  <si>
    <t>果酒;酒精饮料（啤酒除外）;⽩⼲酒（中国⽩酒）;⻩酒;⽼酒（中国蒸馏烈酒）;葡萄酒;⽩酒;⾼粱酒;⽶酒;由⾕物蒸馏的⽩酒</t>
  </si>
  <si>
    <t>凤凰之力 PHOENIX FORCE</t>
  </si>
  <si>
    <t>陕西天启凤香品牌运营管理有限公司</t>
  </si>
  <si>
    <t>苹果酒;蜂蜜酒;含⽔果酒精饮料;⽩酒;薄荷酒;果酒（含酒精）;葡萄酒;酒精饮料（啤酒除外）;烈酒（饮料）;⻩酒</t>
  </si>
  <si>
    <t>廘珍匠</t>
  </si>
  <si>
    <t>河南省云柔商贸销售有限公司</t>
  </si>
  <si>
    <t>酒精饮料（啤酒除外）;⻩酒;⾼粱酒;果酒（含酒精）;⽩酒;含酒精的饮料（啤酒除外）;含酒精的充⽓饮料（啤酒除外）;⽼酒（中国蒸馏烈酒）;⽶酒;除啤酒外的酒精饮料</t>
  </si>
  <si>
    <t>帝龙坛</t>
  </si>
  <si>
    <t>仁怀市鑫垚酒业有限责任公司</t>
  </si>
  <si>
    <t>开胃酒;⽩酒;⽩葡萄酒;⾼粱酒;伏特加酒;利⼝酒;朗姆酒;烈酒;果酒（含酒精）;威⼠忌</t>
  </si>
  <si>
    <t>YIXINGJIANGLING</t>
  </si>
  <si>
    <t>李金协</t>
  </si>
  <si>
    <t>蒸馏饮料;果酒（含酒精）;⽩兰地;含⽔果酒精饮料;酒精饮料原汁;开胃酒;⽩酒;烈酒（饮料）;清酒（⽇本⽶酒）;以葡萄酒为主的饮料</t>
  </si>
  <si>
    <t>妙可威</t>
  </si>
  <si>
    <t>安徽妙可威医药科技有限公司</t>
  </si>
  <si>
    <t>葡萄酒;烧酒;果酒（含酒精）;蒸馏饮料;烈酒（饮料）;蒸煮提取物（利⼝酒和烈酒）;⽩酒;⻩酒;开胃酒;蒸馏⽶酒（泡盛酒）</t>
  </si>
  <si>
    <t>大宋洞</t>
  </si>
  <si>
    <t>广州腾爱医疗器械有限公司</t>
  </si>
  <si>
    <t>⽩兰地;⽩酒;葡萄酒;汽酒;烈酒（饮料）;苹果酒;威⼠忌;蜂蜜酒;开胃酒;清酒（⽇本⽶酒）</t>
  </si>
  <si>
    <t>深圳市正见创业投资有限公司</t>
  </si>
  <si>
    <t>含酒精的鸡尾酒混合饮品;⽶酒;烈酒;烈酒（饮料）;⽼酒（中国蒸馏烈酒）;果酒;除啤酒外的酒精饮料;⽩酒;⾼粱酒;威⼠忌</t>
  </si>
  <si>
    <t>领豫·至简</t>
  </si>
  <si>
    <t>宝丰酒业有限公司</t>
  </si>
  <si>
    <t>⽶酒;开胃酒;酒精饮料（啤酒除外）;鸡尾酒;果酒;烧酒;⻩酒;⽩酒;蒸馏⽶酒（泡盛酒）;葡萄酒</t>
  </si>
  <si>
    <t>冠柳芝</t>
  </si>
  <si>
    <t>冠县福顺酒业有限公司</t>
  </si>
  <si>
    <t>蒸馏饮料;果酒（含酒精）;酒精饮料（啤酒除外）;⽶酒;烧酒;樱桃酒;苹果酒;梨酒;⽩酒;葡萄酒</t>
  </si>
  <si>
    <t>序录</t>
  </si>
  <si>
    <t>滨州盛成商贸有限公司</t>
  </si>
  <si>
    <t>葡萄酒;清酒;⽩酒;佐餐酒;餐后酒（利⼝酒和烈酒）;烧酒;由⾕物蒸馏的⽩酒;⻩酒;⾼粱酒;开胃酒</t>
  </si>
  <si>
    <t>熊记康酒</t>
  </si>
  <si>
    <t>熊景安（432422********0015）</t>
  </si>
  <si>
    <t>⽶酒;⽩酒;⽩⼲酒（中国⽩酒）;薄荷酒;⻩酒;烈酒（饮料）;⾕物制蒸馏酒精饮料;烈性⼲酒;果酒（含酒精）</t>
  </si>
  <si>
    <t>程丽羽</t>
  </si>
  <si>
    <t>安顺健生堂电子商务有限公司</t>
  </si>
  <si>
    <t>开胃酒;餐后酒（利⼝酒和烈酒）;葡萄酒;预先混合的酒精饮料（以啤酒为主的除外）;果酒;⽶酒;烈酒（饮料）;含⽔果酒精饮料;⽩酒;含酒精的⽓泡⽔</t>
  </si>
  <si>
    <t>中初健康</t>
  </si>
  <si>
    <t>烧酒;⻩酒;开胃酒;鸡尾酒;⽩兰地;酒精饮料（啤酒除外）;⽩酒;清酒;果酒（含酒精）;葡萄酒</t>
  </si>
  <si>
    <t>迩贵人 酒</t>
  </si>
  <si>
    <t>山西遇贵人纯粮酒业有限公司</t>
  </si>
  <si>
    <t>葡萄酒;薄荷酒;烧酒;⽩兰地;果酒（含酒精）;蒸煮提取物（利⼝酒和烈酒）;⽩酒;⻩酒;酒精饮料（啤酒除外）;烈酒（饮料）</t>
  </si>
  <si>
    <t>洞台翁</t>
  </si>
  <si>
    <t>傅婷婷</t>
  </si>
  <si>
    <t>⻩酒;果酒（含酒精）;鸡尾酒;葡萄酒;含⽔果酒精饮料;⽶酒;烈酒（饮料）;⽩兰地;⽩酒;酒精饮料（啤酒除外）</t>
  </si>
  <si>
    <t>鼎镇天下</t>
  </si>
  <si>
    <t>安徽芝酒酒业有限公司</t>
  </si>
  <si>
    <t>⽩酒;⽩⼲酒（中国⽩酒）;烈酒（饮料）;葡萄酒;薄荷酒;果酒;烧酒;酒精饮料（啤酒除外）;含⽔果酒精饮料;果酒（含酒精）</t>
  </si>
  <si>
    <t>荷斋福</t>
  </si>
  <si>
    <t>济宁安正食品有限公司</t>
  </si>
  <si>
    <t>⾕物制蒸馏酒精饮料;烈酒;⻩酒;果酒;葡萄酒;⾼粱酒;酒精饮料（啤酒除外）;⽶酒;⽩酒;⽼酒（中国蒸馏烈酒）</t>
  </si>
  <si>
    <t>魔教授</t>
  </si>
  <si>
    <t>湖南省拾光悠味食品有限公司</t>
  </si>
  <si>
    <t>果酒（含酒精）;烈酒（饮料）;蒸煮提取物（利⼝酒和烈酒）;伏特加酒;酒精饮料（啤酒除外）;⽩酒;含⽔果酒精饮料;⽩兰地;鸡尾酒;威⼠忌</t>
  </si>
  <si>
    <t>盈贤台</t>
  </si>
  <si>
    <t>含⽔果酒精饮料;⾷⽤酒精;⽩酒;⻩酒;烈酒（饮料）;⽶酒;⻘稞酒;威⼠忌;果酒（含酒精）;烧酒</t>
  </si>
  <si>
    <t>久盛玉</t>
  </si>
  <si>
    <t>樱桃酒;葡萄酒;利⼝酒;烧酒;果酒;⽩酒;威⼠忌;烧酒（烈酒）;加烈葡萄酒;⽩兰地</t>
  </si>
  <si>
    <t>津琅</t>
  </si>
  <si>
    <t>彭州市津琅酒业有限公司</t>
  </si>
  <si>
    <t>⽩兰地;清酒（⽇本⽶酒）;葡萄酒;烈酒（饮料）;樱桃酒;⻘稞酒;烧酒;⽩酒;果酒（含酒精）;⽶酒</t>
  </si>
  <si>
    <t>汉唐三十六计</t>
  </si>
  <si>
    <t>贵州汉唐酒业有限公司</t>
  </si>
  <si>
    <t>⽩酒;含⽔果酒精饮料;酒精饮料（啤酒除外）;烧酒;烈酒（饮料）;⽶酒;⻩酒;开胃酒;鸡尾酒;葡萄酒</t>
  </si>
  <si>
    <t>广州谦泰金兴投资有限公司</t>
  </si>
  <si>
    <t>清酒;鸡尾酒;果酒（含酒精）;酒精饮料（啤酒除外）;⻘稞酒;薄荷酒;利⼝酒;⽶酒;⻩酒;⽩酒</t>
  </si>
  <si>
    <t>万谦合</t>
  </si>
  <si>
    <t>贵州一合酒业有限公司</t>
  </si>
  <si>
    <t>⾼粱酒;⽩⼲酒（中国⽩酒）;含酒精⽔果饮料;⽩酒;⻩酒;⽶酒;烧酒（烈酒）;除啤酒外的酒精饮料;果酒;⽼酒（中国蒸馏烈酒）</t>
  </si>
  <si>
    <t>没藏氏</t>
  </si>
  <si>
    <t>阿纳蒂文化传播（宁夏）有限公司</t>
  </si>
  <si>
    <t>⽩酒;果酒（含酒精）;⻩酒;葡萄酒;烈酒（饮料）;烧酒;苦味酒;含⽔果酒精饮料;酒精饮料（啤酒除外）;蜂蜜酒</t>
  </si>
  <si>
    <t>⽩酒;开胃酒;果酒（含酒精）;伏特加酒;⾼粱酒;⽩葡萄酒;朗姆酒;利⼝酒;威⼠忌;烈酒</t>
  </si>
  <si>
    <t>李绍秀</t>
  </si>
  <si>
    <t>鸡尾酒;烈酒（饮料）;威⼠忌;⽶酒;⻩酒;酒精饮料（啤酒除外）;烧酒;果酒（含酒精）;⽩酒;葡萄酒</t>
  </si>
  <si>
    <t>迎风溯进</t>
  </si>
  <si>
    <t>四川省鑫泽合农业科技发展有限责任公司</t>
  </si>
  <si>
    <t>烧酒;⽶酒;开胃酒;果酒（含酒精）;含⽔果酒精饮料;蒸煮提取物（利⼝酒和烈酒）;葡萄酒;⽩酒;酒精饮料（啤酒除外）;⻩酒</t>
  </si>
  <si>
    <t>汴唐春</t>
  </si>
  <si>
    <t>韩业青</t>
  </si>
  <si>
    <t>⽩酒;⻩酒;由⾕物蒸馏的⽩酒;烧酒;葡萄酒;酒精饮料（啤酒除外）;⻘稞酒;⽶酒;开胃酒;烈酒（饮料）</t>
  </si>
  <si>
    <t>夯源</t>
  </si>
  <si>
    <t>徐兵</t>
  </si>
  <si>
    <t>⽩⼲酒（中国⽩酒）;⽩酒;烧酒（烈酒）;烈酒（饮料）;⽼酒（中国蒸馏烈酒）;⾼粱酒;果酒;鸡尾酒;⻩酒;葡萄酒</t>
  </si>
  <si>
    <t>哈尔滨冰韵啤酒有限公司</t>
  </si>
  <si>
    <t>汽酒;⽩兰地;果酒（含酒精）;⽩酒;烈酒;蒸馏饮料;伏特加酒;利⼝酒;威⼠忌;葡萄酒</t>
  </si>
  <si>
    <t>亮劒星坤</t>
  </si>
  <si>
    <t>张力</t>
  </si>
  <si>
    <t>果酒（含酒精）;开胃酒;⽩酒;烈酒（饮料）;威⼠忌;鸡尾酒;酒精饮料（啤酒除外）;⻩酒;⽩兰地;蒸馏饮料</t>
  </si>
  <si>
    <t>云梦睡虎</t>
  </si>
  <si>
    <t>蒸馏饮料;鸡尾酒;威⼠忌;烈酒（饮料）;⻩酒;开胃酒;酒精饮料（啤酒除外）;⽩兰地;⽩酒;果酒（含酒精）</t>
  </si>
  <si>
    <t>介一悠然</t>
  </si>
  <si>
    <t>介一悠然生物科技（成都）有限公司</t>
  </si>
  <si>
    <t>烧酒;威⼠忌;⽩酒;酒精饮料（啤酒除外）;⽶酒;预调甜酒;已调味的蒸馏酒;含⽔果酒精饮料;果酒;⻩酒</t>
  </si>
  <si>
    <t>潮松</t>
  </si>
  <si>
    <t>武陟县耀骞种植家庭农场</t>
  </si>
  <si>
    <t>葡萄酒;五加⽪酒（中国混合烈酒）;⽩酒;⻩酒;烧酒;露酒;⽶酒;蒸馏⽶酒（泡盛酒）;果酒（含酒精）;蝮蛇酒</t>
  </si>
  <si>
    <t>采帖集</t>
  </si>
  <si>
    <t>上海魔漾贸易有限公司</t>
  </si>
  <si>
    <t>威⼠忌;烧酒;葡萄酒;⽶酒;果酒;鸡尾酒;汽酒;清酒;⻘梅酒;⽩酒</t>
  </si>
  <si>
    <t>源力熊</t>
  </si>
  <si>
    <t>深圳市承晞科技有限公司</t>
  </si>
  <si>
    <t>⽩酒;蒸煮提取物（利⼝酒和烈酒）;烈酒;⽼酒（中国蒸馏烈酒）;蒸馏⽶酒（泡盛酒）;烧酒;烧酒（烈酒）;由⾕物蒸馏的⽩酒;⽶酒;⽩⼲酒（中国⽩酒）</t>
  </si>
  <si>
    <t>泉有林</t>
  </si>
  <si>
    <t>宝鸡泉有林实业有限公司</t>
  </si>
  <si>
    <t>威⼠忌;开胃酒;鸡尾酒;葡萄酒;果酒;⻩酒;苹果酒;清酒;含⽔果酒精饮料;⽩酒</t>
  </si>
  <si>
    <t>汝子醉</t>
  </si>
  <si>
    <t>骆科</t>
  </si>
  <si>
    <t>烧酒;⽩兰地;⽩酒;⻩酒;⻘稞酒;⽶酒;含⽔果酒精饮料;鸡尾酒;蒸馏饮料;果酒</t>
  </si>
  <si>
    <t>满笑</t>
  </si>
  <si>
    <t>山东千慧食品科技有限公司</t>
  </si>
  <si>
    <t>⾕物制蒸馏酒精饮料;⽶酒;⽩酒;果酒;以葡萄酒为主的饮料;酒精饮料（啤酒除外）;鸡尾酒;⻘稞酒;含酒精的⽓泡⽔;⻩酒</t>
  </si>
  <si>
    <t>千里照面</t>
  </si>
  <si>
    <t>中泰携残（山东）跨境电子商务有限公司</t>
  </si>
  <si>
    <t>鸡尾酒;葡萄酒;⽩兰地;⽶酒;⾼粱酒;⽩酒;威⼠忌;酒精饮料（啤酒除外）;含酒精的⽓泡⽔;伏特加酒</t>
  </si>
  <si>
    <t>外奇</t>
  </si>
  <si>
    <t>深圳市百德通利科技有限公司</t>
  </si>
  <si>
    <t>威⼠忌;朗姆酒;⽩酒;⻩酒;葡萄酒;果酒（含酒精）;⽩兰地;开胃酒;⽶酒;伏特加酒</t>
  </si>
  <si>
    <t>埇酒</t>
  </si>
  <si>
    <t>濉溪县老桩酿酒有限公司</t>
  </si>
  <si>
    <t>蒸馏饮料;鸡尾酒;伏特加酒;⽶酒;威⼠忌;果酒;朗姆酒;⽩酒;酒精饮料（啤酒除外）;葡萄酒</t>
  </si>
  <si>
    <t>仙禽告瑞</t>
  </si>
  <si>
    <t>成都抛青春酒业有限公司</t>
  </si>
  <si>
    <t>葡萄酒;汽酒;⻩酒;⾷⽤酒精;烧酒;⽩酒;酒精饮料原汁;烈酒（饮料）;⽶酒;果酒（含酒精）</t>
  </si>
  <si>
    <t>川金成</t>
  </si>
  <si>
    <t>成都金成酒业有限公司</t>
  </si>
  <si>
    <t>⽶酒;⾼粱酒;⻩酒;⽩⼲酒（中国⽩酒）;由⾕物蒸馏的⽩酒;果酒（含酒精）;⽩酒;烧酒;葡萄酒;酒精饮料（啤酒除外）</t>
  </si>
  <si>
    <t>益部偈盛烧房</t>
  </si>
  <si>
    <t>北京国网亮电文化传播有限公司</t>
  </si>
  <si>
    <t>果酒（含酒精）;汽酒;⻩酒;⽩酒;⾷⽤酒精;清酒（⽇本⽶酒）;葡萄酒;烧酒;⻘稞酒;利⼝酒</t>
  </si>
  <si>
    <t>东昌御皇</t>
  </si>
  <si>
    <t>王刚</t>
  </si>
  <si>
    <t>薄荷酒;葡萄酒;利⼝酒;烧酒;⻘稞酒;由⾕物蒸馏的⽩酒;⾼粱酒;汽酒;开胃酒;⽩酒</t>
  </si>
  <si>
    <t>MEYDO</t>
  </si>
  <si>
    <t>江苏名都酒业有限公司</t>
  </si>
  <si>
    <t>⻩酒;⽶酒;含酒精的饮料（啤酒除外）;⽩酒;威⼠忌;⽼酒（中国蒸馏烈酒）;果酒（含酒精）;葡萄酒;⽩兰地;清酒（⽇本⽶酒）</t>
  </si>
  <si>
    <t>劲刀</t>
  </si>
  <si>
    <t>张建雨</t>
  </si>
  <si>
    <t>威⼠忌;⻩酒;鸡尾酒;⻘稞酒;⽶酒;⽩酒;烧酒;葡萄酒;果酒（含酒精）;含⽔果酒精饮料</t>
  </si>
  <si>
    <t>邹邦</t>
  </si>
  <si>
    <t>中企盛邦有限公司</t>
  </si>
  <si>
    <t>⽶酒;果酒;⽩酒;⽩⼲酒（中国⽩酒）;⻩酒;烧酒;⾷⽤酒精;含酒精的饮料（啤酒除外）;葡萄酒;含酒精的⽓泡⽔</t>
  </si>
  <si>
    <t>水花姑娘</t>
  </si>
  <si>
    <t>贵州贵和荣酒业有限公司</t>
  </si>
  <si>
    <t>清酒（⽇本⽶酒）;果酒（含酒精）;酒精饮料（啤酒除外）;⻩酒;汽酒;葡萄酒;烧酒（烈酒）;⽶酒;⽩酒;烧酒</t>
  </si>
  <si>
    <t>美景三牌罗兰</t>
  </si>
  <si>
    <t>百锐国际酒庄有限公司</t>
  </si>
  <si>
    <t>葡萄酒;开胃酒;蒸煮提取物（利⼝酒和烈酒）;威⼠忌;酒精饮料浓缩汁;伏特加酒;⽩酒;鸡尾酒;果酒（含酒精）;⽩兰地</t>
  </si>
  <si>
    <t>宏烁</t>
  </si>
  <si>
    <t>深圳市欣浩海科技有限公司</t>
  </si>
  <si>
    <t>酒精饮料浓缩汁;⽩兰地;含⽔果酒精饮料;烧酒;果酒;鸡尾酒;⽩酒;汽酒;⻩酒;果酒（含酒精）</t>
  </si>
  <si>
    <t>播品</t>
  </si>
  <si>
    <t>遵义贵烁节能科技有限公司</t>
  </si>
  <si>
    <t>利⼝酒;⽼酒（中国蒸馏烈酒）;⻩酒;⽩兰地;烈酒（饮料）;酒精饮料（啤酒除外）;⻘稞酒;蒸煮提取物（利⼝酒和烈酒）;烧酒;⽩酒</t>
  </si>
  <si>
    <t>水碓头</t>
  </si>
  <si>
    <t>陈海金</t>
  </si>
  <si>
    <t>⽶酒;⻩酒;⽩兰地;含⽔果酒精饮料;葡萄酒;果酒（含酒精）;烧酒;酒精饮料（啤酒除外）;酒精饮料浓缩汁;烈酒（饮料）</t>
  </si>
  <si>
    <t>神农勋</t>
  </si>
  <si>
    <t>周桂琴</t>
  </si>
  <si>
    <t>清酒（⽇本⽶酒）;⻩酒;⽶酒;鸡尾酒;葡萄酒;烈酒（饮料）;⽩酒;酒精饮料（啤酒除外）;烧酒;⻘稞酒</t>
  </si>
  <si>
    <t>创喜智慧健康</t>
  </si>
  <si>
    <t>创喜（北京）医药科技有限公司</t>
  </si>
  <si>
    <t>蒸煮提取物（利⼝酒和烈酒）;开胃酒;烧酒;果酒（含酒精）;蜂蜜酒;⻩酒;酒精饮料浓缩汁;蒸馏饮料;葡萄酒;清酒</t>
  </si>
  <si>
    <t>⽶酒;威⼠忌;⻘稞酒;烧酒;葡萄酒;⽩酒;⻩酒;果酒（含酒精）;鸡尾酒;含⽔果酒精饮料</t>
  </si>
  <si>
    <t>问道方圆</t>
  </si>
  <si>
    <t>广东橙方创意建设有限公司</t>
  </si>
  <si>
    <t>葡萄酒;汽酒;烧酒;鸡尾酒;蜂蜜酒;酒精饮料（啤酒除外）;⽶酒;⽩酒;含⽔果酒精饮料;清酒（⽇本⽶酒）</t>
  </si>
  <si>
    <t>果美美</t>
  </si>
  <si>
    <t>张烟聪</t>
  </si>
  <si>
    <t>红葡萄酒;⽩酒;⻘梅酒;甜酒;⽢蔗制酒精饮料;樱桃酒;蜂蜜酒;⾼粱酒;果酒;汽酒</t>
  </si>
  <si>
    <t>珍养延</t>
  </si>
  <si>
    <t>王梦换</t>
  </si>
  <si>
    <t>含⽔果酒精饮料;果酒（含酒精）;烈酒（饮料）;⻘稞酒;烧酒;⾷⽤酒精;⽶酒;⽩酒;威⼠忌;⻩酒</t>
  </si>
  <si>
    <t>清宋古</t>
  </si>
  <si>
    <t>深圳市新达欧国际酒庄有限公司</t>
  </si>
  <si>
    <t>开胃酒;烈酒（饮料）;烧酒;果酒（含酒精）;⽩酒;⽶酒;⻘稞酒;⽩兰地;⻩酒;蒸馏饮料</t>
  </si>
  <si>
    <t>BTHUI</t>
  </si>
  <si>
    <t>河南金谊九方供应链有限公司</t>
  </si>
  <si>
    <t>果酒（含酒精）;⽩酒;汽酒;⻩酒</t>
  </si>
  <si>
    <t>江苏喜尔食品有限公司</t>
  </si>
  <si>
    <t>⻩酒;甜酒;葡萄酒;烧酒;清酒;鸡尾酒;含酒精⽔果饮料;果酒（含酒精）;⽩酒;烈酒</t>
  </si>
  <si>
    <t>观半生窖龄</t>
  </si>
  <si>
    <t>哈尔滨问天品牌管理有限公司</t>
  </si>
  <si>
    <t>⽩酒;⻘稞酒;烈酒（饮料）;露酒;⻩酒;果酒（含酒精）;含⽔果酒精饮料;烧酒;⾷⽤酒精;酒精饮料（啤酒除外）</t>
  </si>
  <si>
    <t>德州工程职业学院 DEZHOU ENGINEERING VOCATIONAL COLLEGE</t>
  </si>
  <si>
    <t>德州工程职业学院</t>
  </si>
  <si>
    <t>威⼠忌;朗姆酒;预先混合的酒精饮料（以啤酒为主的除外）;⽩酒;烧酒;酒精饮料（啤酒除外）;果酒（含酒精）;⽩兰地;⻩酒;以葡萄酒为主的饮料</t>
  </si>
  <si>
    <t>韵芝味情</t>
  </si>
  <si>
    <t>山东今樽袁品商贸有限公司</t>
  </si>
  <si>
    <t>⽩酒;⾕物制蒸馏酒精饮料;果酒;利⼝酒;清酒;⽶酒;烧酒;蒸馏饮料;⻩酒;烈酒</t>
  </si>
  <si>
    <t>鸭子波比 DUCK BOBI</t>
  </si>
  <si>
    <t>张涛</t>
  </si>
  <si>
    <t>葡萄酒;⽶酒;⽩酒;酒精饮料（啤酒除外）;果酒（含酒精）;蒸煮提取物（利⼝酒和烈酒）;汽酒;鸡尾酒;⻩酒;烧酒</t>
  </si>
  <si>
    <t>雨甲米</t>
  </si>
  <si>
    <t>宁波甬宁养生食品有限公司</t>
  </si>
  <si>
    <t>⽶酒;开胃酒;⻩酒;烧酒;酒精饮料（啤酒除外）;果酒;鸡尾酒;葡萄酒;蜂蜜酒;⽩酒</t>
  </si>
  <si>
    <t>胜利山勇攀高峰</t>
  </si>
  <si>
    <t>天津荣程酒业有限公司</t>
  </si>
  <si>
    <t>烧酒;⻩酒;⾼粱酒;⽩酒;葡萄酒;烈酒;汽酒;果酒;⽶酒;酒精饮料（啤酒除外）</t>
  </si>
  <si>
    <t>狍不方</t>
  </si>
  <si>
    <t>沈阳不方文化传媒有限公司</t>
  </si>
  <si>
    <t>酒精饮料（啤酒除外）;以葡萄酒为主的饮料;含⽔果酒精饮料;预先混合的酒精饮料（以啤酒为主的除外）;餐后酒（利⼝酒和烈酒）;果酒（含酒精）;已调味的⻨芽酿制的酒精饮料（啤酒除外）;鸡尾酒;⽶酒;含酒精的饮料（啤酒除外）</t>
  </si>
  <si>
    <t>天青瓷</t>
  </si>
  <si>
    <t>山西青花国酒厂股份有限公司</t>
  </si>
  <si>
    <t>⻘稞酒;朗姆酒;烈酒（饮料）;葡萄酒;伏特加酒;鸡尾酒;⽩兰地;⽩酒;威⼠忌;⽶酒</t>
  </si>
  <si>
    <t>森乎栖</t>
  </si>
  <si>
    <t>中科建建设发展有限公司</t>
  </si>
  <si>
    <t>⽩酒;伏特加酒;烧酒;酒精饮料（啤酒除外）;果酒（含酒精）;朗姆酒;鸡尾酒;葡萄酒;⽶酒;威⼠忌</t>
  </si>
  <si>
    <t>季十五</t>
  </si>
  <si>
    <t>汪兴江</t>
  </si>
  <si>
    <t>果酒（含酒精）;餐后酒（利⼝酒和烈酒）;⾕物制蒸馏酒精饮料;开胃酒;⽩酒;烧酒;烈酒（饮料）;⽶酒;⾷⽤酒精;葡萄酒</t>
  </si>
  <si>
    <t>媳妇说</t>
  </si>
  <si>
    <t>万文普</t>
  </si>
  <si>
    <t>⽩酒;鸡尾酒;果酒（含酒精）;⽶酒;威⼠忌;葡萄酒;含⽔果酒精饮料;开胃酒;清酒;烧酒</t>
  </si>
  <si>
    <t>玥羲</t>
  </si>
  <si>
    <t>赖彩凤</t>
  </si>
  <si>
    <t>⽶酒;⾼粱酒;⽩酒;⻩酒;烧酒;汽酒;甜酒;蜂蜜酒;果酒;红葡萄酒</t>
  </si>
  <si>
    <t>杨争潮</t>
  </si>
  <si>
    <t>⻩酒;果酒;⽶酒;汽酒;葡萄酒;⾷⽤酒精;开胃酒;清酒;甜酒;⽩酒</t>
  </si>
  <si>
    <t>土地塘</t>
  </si>
  <si>
    <t>葡萄酒;蜂蜜酒;⻩酒;⻘梅酒;威⼠忌;樱桃酒;红葡萄酒;⽩酒;⽼酒（中国蒸馏烈酒）;起泡⽩葡萄酒</t>
  </si>
  <si>
    <t>栗 栗代传奇</t>
  </si>
  <si>
    <t>北京凯思特恩科技发展有限公司</t>
  </si>
  <si>
    <t>含酒精⽔果饮料;葡萄酒;⻩酒;⽩兰地;果酒;鸡尾酒;威⼠忌;清酒;⽩酒;酒精饮料（啤酒除外）</t>
  </si>
  <si>
    <t>宝胤御品</t>
  </si>
  <si>
    <t>张恒源</t>
  </si>
  <si>
    <t>蒸馏饮料;⻩酒;葡萄酒;蜂蜜酒;⽩兰地;以葡萄酒为主的饮料;鸡尾酒;⽩酒;威⼠忌;果酒（含酒精）</t>
  </si>
  <si>
    <t>唯精灵</t>
  </si>
  <si>
    <t>江西省唯生素科技有限公司</t>
  </si>
  <si>
    <t>含⽔果酒精饮料;果酒（含酒精）;⽩兰地;⽶酒;朗姆酒;葡萄酒;餐后酒（利⼝酒和烈酒）;⽩酒;蒸馏饮料;⾷⽤酒精</t>
  </si>
  <si>
    <t>GUOQUZHIBEN</t>
  </si>
  <si>
    <t>泰安市泰山品诚饮品有限公司</t>
  </si>
  <si>
    <t>酒精饮料（啤酒除外）;果酒（含酒精）;烧酒;⽶酒;⻩酒;葡萄酒;蒸煮提取物（利⼝酒和烈酒）;⾷⽤酒精;⽩酒;开胃酒</t>
  </si>
  <si>
    <t>贪春</t>
  </si>
  <si>
    <t>蜂蜜酒;清酒（⽇本⽶酒）;含⽔果酒精饮料;烧酒;⽶酒;葡萄酒;酒精饮料（啤酒除外）;⽩酒;鸡尾酒;果酒（含酒精）</t>
  </si>
  <si>
    <t>顾当家</t>
  </si>
  <si>
    <t>顾掌柜供应链（云南）有限公司</t>
  </si>
  <si>
    <t>烈酒（饮料）;⽶酒;⽩酒;⻘稞酒;烧酒;果酒（含酒精）;蒸煮提取物（利⼝酒和烈酒）;葡萄酒;杜松⼦酒;清酒（⽇本⽶酒）</t>
  </si>
  <si>
    <t>葛知道</t>
  </si>
  <si>
    <t>江西起源蔚来食品科技有限公司</t>
  </si>
  <si>
    <t>烈酒;开胃酒;葡萄酒;烧酒;⻩酒;果酒;⽩酒;酒精饮料（啤酒除外）;⽶酒;汽酒</t>
  </si>
  <si>
    <t>龙马升腾</t>
  </si>
  <si>
    <t>贵州省仁怀市黔河酒业有限公司</t>
  </si>
  <si>
    <t>葡萄酒;果酒（含酒精）;烈酒（饮料）;⽶酒;⾷⽤酒精;酒精饮料浓缩汁;汽酒;⽩酒;⻩酒;烧酒</t>
  </si>
  <si>
    <t>贺源鸿</t>
  </si>
  <si>
    <t>宁夏艾乃尔酒业有限公司</t>
  </si>
  <si>
    <t>葡萄酒;蒸煮提取物（利⼝酒和烈酒）;甜酒;清酒（⽇本⽶酒）;⽩酒;⻩酒;开胃酒;果酒（含酒精）;烈酒（饮料）;⽶酒</t>
  </si>
  <si>
    <t>鸿醉泉</t>
  </si>
  <si>
    <t>张乐</t>
  </si>
  <si>
    <t>酒精饮料原汁;酒精饮料（啤酒除外）;⽶酒;果酒（含酒精）;葡萄酒;⽩酒;烈酒（饮料）;烧酒;蒸馏饮料;⾷⽤酒精</t>
  </si>
  <si>
    <t>阐叙</t>
  </si>
  <si>
    <t>宋宇鹏</t>
  </si>
  <si>
    <t>酒精饮料（啤酒除外）;清酒（⽇本⽶酒）;蜂蜜酒;烧酒;⽶酒;果酒（含酒精）;鸡尾酒;⽩酒;含⽔果酒精饮料;葡萄酒</t>
  </si>
  <si>
    <t>河沥溪</t>
  </si>
  <si>
    <t>巫能海</t>
  </si>
  <si>
    <t>汽酒;葡萄酒;⻩酒;⽶酒;⽼酒（中国蒸馏烈酒）;⽩酒;果酒;甜酒;⾼粱酒</t>
  </si>
  <si>
    <t>庞志松</t>
  </si>
  <si>
    <t>酒精饮料（啤酒除外）;烈酒（饮料）;烧酒;⽩酒;鸡尾酒;葡萄酒;⽶酒;⻩酒;果酒（含酒精）;⽢蔗制烈酒</t>
  </si>
  <si>
    <t>萧张</t>
  </si>
  <si>
    <t>青岛高德渔食品有限公司</t>
  </si>
  <si>
    <t>葡萄酒;鸡尾酒;⽩兰地;酒精饮料原汁;⾷⽤酒精;⽩酒;酒精饮料（啤酒除外）;烧酒;⽶酒;果酒（含酒精）</t>
  </si>
  <si>
    <t>贺山揽月</t>
  </si>
  <si>
    <t>烈酒（饮料）;⽩酒;果酒（含酒精）;⽶酒;甜酒;开胃酒;清酒（⽇本⽶酒）;⻩酒;蒸煮提取物（利⼝酒和烈酒）;葡萄酒</t>
  </si>
  <si>
    <t>苦萌</t>
  </si>
  <si>
    <t>梁璐</t>
  </si>
  <si>
    <t>蒸馏饮料;酒精饮料（啤酒除外）;开胃酒;餐后酒（利⼝酒和烈酒）;⽩酒;果酒（含酒精）;清酒（⽇本⽶酒）;威⼠忌;⽶酒;葡萄酒</t>
  </si>
  <si>
    <t>宜宾市翠屏产业发展集团有限公司</t>
  </si>
  <si>
    <t>⻘稞酒;伏特加酒;清酒;开胃酒;⽩酒;果酒（含酒精）;葡萄酒;鸡尾酒;⽶酒;烈酒（饮料）</t>
  </si>
  <si>
    <t>余承千秋</t>
  </si>
  <si>
    <t>魏新岳</t>
  </si>
  <si>
    <t>烧酒;⽶酒;葡萄酒;蒸煮提取物（利⼝酒和烈酒）;⾷⽤酒精;果酒（含酒精）;酒精饮料浓缩汁;烈酒;⽩酒;酒精饮料（啤酒除外）</t>
  </si>
  <si>
    <t>风土官谷</t>
  </si>
  <si>
    <t>合肥一本正经文化传播有限公司</t>
  </si>
  <si>
    <t>威⼠忌;⻩酒;⽩酒;⾼粱酒;⾕物制蒸馏酒精饮料;果酒（含酒精）;露酒;杨梅酒;⽩兰地;烈酒（饮料）</t>
  </si>
  <si>
    <t>河南洛邑文化旅游发展有限公司</t>
  </si>
  <si>
    <t>果酒（含酒精）;葡萄酒;烈酒（饮料）;烧酒;清酒（⽇本⽶酒）;⻩酒;⽶酒;⽩酒;鸡尾酒;酒精饮料（啤酒除外）</t>
  </si>
  <si>
    <t>左兵</t>
  </si>
  <si>
    <t>开胃酒;烧酒;⻩酒;果酒（含酒精）;⽩酒;酒精饮料（啤酒除外）;蜂蜜酒;酒精饮料原汁;酒精饮料浓缩汁;蒸煮提取物（利⼝酒和烈酒）</t>
  </si>
  <si>
    <t>战量</t>
  </si>
  <si>
    <t>广福普润建设劳务（莱西市）有限公司</t>
  </si>
  <si>
    <t>⽩兰地;⽩酒;酒精饮料原汁;⻘稞酒;酒精饮料（啤酒除外）;葡萄酒;朗姆酒;烈酒;⾼粱酒;⽶酒</t>
  </si>
  <si>
    <t>准豪</t>
  </si>
  <si>
    <t>李秀明</t>
  </si>
  <si>
    <t>威⼠忌;⻘稞酒;⻩酒;⽩酒;⽶酒;⽩兰地;烧酒;烈酒;葡萄酒;鸡尾酒</t>
  </si>
  <si>
    <t>祥府</t>
  </si>
  <si>
    <t>烟台吉斯波尔酿酒有限公司</t>
  </si>
  <si>
    <t>蒸馏饮料;由⾕物蒸馏的⽩酒;⾕物制蒸馏酒精饮料;⽼酒（中国蒸馏烈酒）;佐餐酒;⽩兰地;葡萄酒;果酒;已调味的蒸馏酒;威⼠忌</t>
  </si>
  <si>
    <t>湖狮美</t>
  </si>
  <si>
    <t>宋义海</t>
  </si>
  <si>
    <t>烧酒;清酒;烈酒（饮料）;蒸馏饮料;含⽔果酒精饮料;威⼠忌;酒精饮料原汁;鸡尾酒;果酒（含酒精）;⽩酒</t>
  </si>
  <si>
    <t>九州侠客情</t>
  </si>
  <si>
    <t>沈阳湘辽缘餐饮管理有限公司</t>
  </si>
  <si>
    <t>⽩兰地;威⼠忌;⽩酒;果酒;清酒;⾷⽤酒精;葡萄酒;⽶酒;⻩酒;鸡尾酒</t>
  </si>
  <si>
    <t>断离愁</t>
  </si>
  <si>
    <t>葡萄酒;含⽔果酒精饮料;果酒（含酒精）;酒精饮料（啤酒除外）;⽶酒;⽩酒;蜂蜜酒;鸡尾酒;烧酒;清酒（⽇本⽶酒）</t>
  </si>
  <si>
    <t>上题</t>
  </si>
  <si>
    <t>⽩酒;蜂蜜酒;鸡尾酒;烧酒;清酒（⽇本⽶酒）;⽶酒;葡萄酒;含⽔果酒精饮料;酒精饮料（啤酒除外）;果酒（含酒精）</t>
  </si>
  <si>
    <t>渤海岩石板</t>
  </si>
  <si>
    <t>北京中海建国酒业有限公司</t>
  </si>
  <si>
    <t>⽩酒;⻩酒;果酒（含酒精）;葡萄酒;鸡尾酒;汽酒;⾷⽤酒精;红葡萄酒;含酒精⽔果饮料;烈酒（饮料）</t>
  </si>
  <si>
    <t>九龙空静</t>
  </si>
  <si>
    <t>湖南省锘恩科德生物科技有限公司</t>
  </si>
  <si>
    <t>酒精饮料（啤酒除外）;⽩酒;果酒（含酒精）;鸡尾酒;⻩酒;蜂蜜酒;⽶酒;烧酒;烈酒（饮料）;葡萄酒</t>
  </si>
  <si>
    <t>湘根溆叶</t>
  </si>
  <si>
    <t>黄金</t>
  </si>
  <si>
    <t>果酒（含酒精）;⾕物制蒸馏酒精饮料;薄荷酒;烧酒;以葡萄酒为主的饮料;汽酒;含酒精的⽓泡⽔;⾷⽤酒精;⽢蔗制酒精饮料;已调味的⻨芽酿制的酒精饮料（啤酒除外）</t>
  </si>
  <si>
    <t>恩凯天</t>
  </si>
  <si>
    <t>李正树</t>
  </si>
  <si>
    <t>清酒（⽇本⽶酒）;朗姆酒;⽩酒;酒精饮料（啤酒除外）;威⼠忌;伏特加酒;⻩酒;⽩兰地;梨酒;⽶酒</t>
  </si>
  <si>
    <t>邦友品</t>
  </si>
  <si>
    <t>敖旭</t>
  </si>
  <si>
    <t>果酒（含酒精）;⽩酒;⽶酒;烧酒（烈酒）;烧酒;朗姆酒;餐后酒（利⼝酒和烈酒）;鸡尾酒;威⼠忌;⽼酒（中国蒸馏烈酒）</t>
  </si>
  <si>
    <t>茨竹绿</t>
  </si>
  <si>
    <t>高竹健龙农副产品(重庆)有限公司</t>
  </si>
  <si>
    <t>⽩酒;烧酒;⽼酒（中国蒸馏烈酒）;果酒;果酒（含酒精）;烈酒;烧酒（烈酒）;⽶酒;清酒;⽩⼲酒（中国⽩酒）</t>
  </si>
  <si>
    <t>李勉441402********0411</t>
  </si>
  <si>
    <t>果酒（含酒精）;苹果酒;樱桃酒;利⼝酒;朗姆酒;葡萄酒;鸡尾酒;⽩兰地;⽩酒;蒸馏饮料</t>
  </si>
  <si>
    <t>鼎颐寿</t>
  </si>
  <si>
    <t>贵州苗准提生物科技有限公司</t>
  </si>
  <si>
    <t>⽩兰地;⾕物制蒸馏酒精饮料;⾷⽤酒精;清酒;烧酒;⻨芽威⼠忌;除啤酒外的酒精饮料;餐后酒（利⼝酒和烈酒）;葡萄酒;⽩酒</t>
  </si>
  <si>
    <t>椹神</t>
  </si>
  <si>
    <t>山东维潽特酒庄有限公司</t>
  </si>
  <si>
    <t>葡萄酒;烈酒;利⼝酒;⽩兰地;⽩酒;加烈葡萄酒;果酒;已调味的蒸馏酒;露酒;果酒（含酒精）</t>
  </si>
  <si>
    <t>菰城三癸</t>
  </si>
  <si>
    <t>康伟初</t>
  </si>
  <si>
    <t>烧酒;威⼠忌;⾕物制蒸馏酒精饮料;⽼酒（中国蒸馏烈酒）;⻩酒;果酒（含酒精）;含⽔果酒精饮料;葡萄酒;⽩酒;⽶酒</t>
  </si>
  <si>
    <t>土村绿荫</t>
  </si>
  <si>
    <t>山东鲁派酒业有限公司</t>
  </si>
  <si>
    <t>果酒（含酒精）;甜酒;⻩酒;⽩酒;露酒;葡萄酒;酒精饮料（啤酒除外）;⽶酒;烧酒（烈酒）;⾼粱酒</t>
  </si>
  <si>
    <t>九水澜川</t>
  </si>
  <si>
    <t>烧酒（烈酒）;⽩酒;⾼粱酒;甜酒;露酒;果酒（含酒精）;酒精饮料（啤酒除外）;葡萄酒;⽶酒;⻩酒</t>
  </si>
  <si>
    <t>陶坝泉</t>
  </si>
  <si>
    <t>陶和平</t>
  </si>
  <si>
    <t>蒸馏饮料;葡萄酒;⽩酒;烧酒;酒精饮料（啤酒除外）;果酒（含酒精）;烈酒（饮料）;⽶酒;⾷⽤酒精;酒精饮料原汁</t>
  </si>
  <si>
    <t>顾小松</t>
  </si>
  <si>
    <t>果酒（含酒精）;葡萄酒;杜松⼦酒;烧酒;⽩酒;清酒（⽇本⽶酒）;⻘稞酒;蒸煮提取物（利⼝酒和烈酒）;⽶酒;烈酒（饮料）</t>
  </si>
  <si>
    <t>西箭道</t>
  </si>
  <si>
    <t>姜计兵</t>
  </si>
  <si>
    <t>苦味酒;蒸馏饮料;烧酒;⽶酒;⻩酒;蜂蜜酒;鸡尾酒;苹果酒;⽩酒;果酒（含酒精）</t>
  </si>
  <si>
    <t>桃桥邨</t>
  </si>
  <si>
    <t>上海港杰贸易有限公司</t>
  </si>
  <si>
    <t>⾕物制蒸馏酒精饮料;⽶酒;佐餐酒;⻩酒;酒精饮料（啤酒除外）;调制好的葡萄酒鸡尾酒;⽩酒;果酒（含酒精）;甜酒;葡萄酒</t>
  </si>
  <si>
    <t>蒙圣河</t>
  </si>
  <si>
    <t>呼伦贝尔市万佳福电子商务有限公司</t>
  </si>
  <si>
    <t>果酒（含酒精）;酒精饮料（啤酒除外）;⾼粱酒;葡萄酒;烧酒;⻩酒;⽩酒;鸡尾酒;烈酒（饮料）;⽶酒</t>
  </si>
  <si>
    <t>弘席王子</t>
  </si>
  <si>
    <t>汪力炜</t>
  </si>
  <si>
    <t>⽩酒;葡萄酒;烧酒;⽶酒;烈酒;果酒（含酒精）;蒸煮提取物（利⼝酒和烈酒）;酒精饮料（啤酒除外）;⾷⽤酒精;酒精饮料浓缩汁</t>
  </si>
  <si>
    <t>京台常茂</t>
  </si>
  <si>
    <t>⻩酒;蒸馏饮料;烈酒（饮料）;果酒（含酒精）;⽩⼲酒（中国⽩酒）;⽩酒;鸡尾酒;由⾕物蒸馏的⽩酒;除啤酒外的酒精饮料;葡萄酒</t>
  </si>
  <si>
    <t>ELEMENTAL AGEING</t>
  </si>
  <si>
    <t>马克安东尼国际有限责任公司</t>
  </si>
  <si>
    <t>烈酒;威⼠忌</t>
  </si>
  <si>
    <t>中水善泉</t>
  </si>
  <si>
    <t>广东泛茶茶业有限公司</t>
  </si>
  <si>
    <t>苹果酒;薄荷酒;苦味酒;蒸馏饮料;鸡尾酒;葡萄酒;茴芹酒（利⼝酒）;开胃酒;亚⼒酒;⽩酒</t>
  </si>
  <si>
    <t>窖龄稣</t>
  </si>
  <si>
    <t>扬州市润四隆贸易有限公司</t>
  </si>
  <si>
    <t>⽩酒;⻩酒;⻘稞酒;红葡萄酒;烧酒;⾼粱酒;甜酒;⽶酒;⽩⼲酒（中国⽩酒）;⾷⽤酒精</t>
  </si>
  <si>
    <t>尊贵宫廷</t>
  </si>
  <si>
    <t>潘秀珍</t>
  </si>
  <si>
    <t>酒精饮料原汁;⻩酒;威⼠忌;葡萄酒;果酒（含酒精）;由⾕物蒸馏的⽩酒;⽶酒;梨酒;含⽔果酒精饮料;⽩酒</t>
  </si>
  <si>
    <t>钦康泰</t>
  </si>
  <si>
    <t>中硒云（北京）生物科技有限公司</t>
  </si>
  <si>
    <t>烈酒（饮料）;清酒;含酒精⽔果饮料;果酒（含酒精）;以葡萄酒为主的饮料;⽶酒;⽩酒;果酒;鸡尾酒;⽩兰地</t>
  </si>
  <si>
    <t>状承千秋</t>
  </si>
  <si>
    <t>果酒（含酒精）;酒精饮料（啤酒除外）;⽩酒;⽶酒;蒸煮提取物（利⼝酒和烈酒）;烧酒;烈酒;酒精饮料浓缩汁;⾷⽤酒精;葡萄酒</t>
  </si>
  <si>
    <t>逸想</t>
  </si>
  <si>
    <t>吴泽楷</t>
  </si>
  <si>
    <t>鸡尾酒;葡萄酒;烈酒（饮料）;果酒（含酒精）;⽩酒;⽶酒;蒸馏饮料;威⼠忌;酒精饮料（啤酒除外）;烧酒</t>
  </si>
  <si>
    <t>古柏望月</t>
  </si>
  <si>
    <t>⾼粱酒;甜酒;酒精饮料（啤酒除外）;⽶酒;露酒;烧酒（烈酒）;果酒（含酒精）;葡萄酒;⻩酒;⽩酒</t>
  </si>
  <si>
    <t>台庄八景</t>
  </si>
  <si>
    <t>⻩酒;甜酒;果酒（含酒精）;酒精饮料（啤酒除外）;⾼粱酒;烧酒（烈酒）;葡萄酒;⽶酒;露酒;⽩酒</t>
  </si>
  <si>
    <t>西龙觅影</t>
  </si>
  <si>
    <t>上海遇知音科技有限公司</t>
  </si>
  <si>
    <t>葡萄酒;烈酒（饮料）;开胃酒;梨酒;清酒（⽇本⽶酒）;⽢蔗制酒精饮料;烧酒;鸡尾酒;⾕物制蒸馏酒精饮料;餐后酒（利⼝酒和烈酒）</t>
  </si>
  <si>
    <t>顾小九</t>
  </si>
  <si>
    <t>清酒（⽇本⽶酒）;⽩酒;烧酒;果酒（含酒精）;⽶酒;蒸煮提取物（利⼝酒和烈酒）;葡萄酒;杜松⼦酒;烈酒（饮料）;⻘稞酒</t>
  </si>
  <si>
    <t>观雨亭</t>
  </si>
  <si>
    <t>黄骅市瑶池商贸有限公司</t>
  </si>
  <si>
    <t>果酒（含酒精）;烈酒（饮料）;⽶酒;烧酒;酒精饮料（啤酒除外）;⽩酒;鸡尾酒;⻩酒;葡萄酒;⽩兰地</t>
  </si>
  <si>
    <t>椹养</t>
  </si>
  <si>
    <t>⽩兰地;烈酒;露酒;⽩酒;果酒;葡萄酒;果酒（含酒精）;加烈葡萄酒;利⼝酒;已调味的蒸馏酒</t>
  </si>
  <si>
    <t>永得西尾</t>
  </si>
  <si>
    <t>北京博赫法律咨询服务有限公司</t>
  </si>
  <si>
    <t>⻩酒;蒸馏饮料;⽩兰地;⽶酒;威⼠忌;葡萄酒;果酒;含酒精的饮料（啤酒除外）;烧酒（烈酒）;⽩酒</t>
  </si>
  <si>
    <t>振荣佳酿</t>
  </si>
  <si>
    <t>康元章</t>
  </si>
  <si>
    <t>葡萄酒;⽩酒;⽼酒（中国蒸馏烈酒）;果酒（含酒精）;清酒;烧酒;草莓酒;酒精饮料原汁;⽶酒;起泡红葡萄酒</t>
  </si>
  <si>
    <t>武小曌</t>
  </si>
  <si>
    <t>葡萄酒;⽩酒;烈酒（饮料）;⻩酒;⽶酒;酒精饮料（啤酒除外）;烧酒;果酒（含酒精）;鸡尾酒;清酒（⽇本⽶酒）</t>
  </si>
  <si>
    <t>顾小荞</t>
  </si>
  <si>
    <t>⽩酒;蒸煮提取物（利⼝酒和烈酒）;烧酒;烈酒（饮料）;清酒（⽇本⽶酒）;⻘稞酒;⽶酒;葡萄酒;果酒（含酒精）;杜松⼦酒</t>
  </si>
  <si>
    <t>诗与广</t>
  </si>
  <si>
    <t>郭俊英</t>
  </si>
  <si>
    <t>蒸馏饮料;⽶酒;果酒（含酒精）;含⽔果酒精饮料;开胃酒;⽩酒;⻩酒;汽酒;烧酒;葡萄酒</t>
  </si>
  <si>
    <t>项田歌</t>
  </si>
  <si>
    <t>内蒙古向天歌生态农业科技发展有限公司</t>
  </si>
  <si>
    <t>⽶酒;薄荷酒;烧酒;鸡尾酒;⽩酒;⾷⽤酒精;果酒;葡萄酒;利⼝酒;烈酒（饮料）</t>
  </si>
  <si>
    <t>九龙鑫鳞</t>
  </si>
  <si>
    <t>葡萄酒;烈酒（饮料）;⽩酒;鸡尾酒;⽶酒;酒精饮料（啤酒除外）;⻩酒;烧酒;果酒（含酒精）;蜂蜜酒</t>
  </si>
  <si>
    <t>赐祥谷</t>
  </si>
  <si>
    <t>上海赐祥电子商务有限公司</t>
  </si>
  <si>
    <t>果酒（含酒精）;含⽔果酒精饮料;⽶酒;苹果酒;⾷⽤酒精;⽩酒;⻩酒;蒸馏饮料;酒精饮料原汁;葡萄酒</t>
  </si>
  <si>
    <t>彩练</t>
  </si>
  <si>
    <t>含⽔果酒精饮料;酒精饮料（啤酒除外）;清酒（⽇本⽶酒）;葡萄酒;⽶酒;蜂蜜酒;鸡尾酒;烧酒;果酒（含酒精）;⽩酒</t>
  </si>
  <si>
    <t>杰阁凌波</t>
  </si>
  <si>
    <t>葡萄酒;⽩酒;露酒;烧酒（烈酒）;甜酒;⾼粱酒;果酒（含酒精）;酒精饮料（啤酒除外）;⻩酒;⽶酒</t>
  </si>
  <si>
    <t>红尘逍遥</t>
  </si>
  <si>
    <t>唐益谊</t>
  </si>
  <si>
    <t>⾼粱酒;含酒精的饮料（啤酒除外）;⻩酒;葡萄酒;含酒精⽔果饮料;除啤酒外的酒精饮料;⽩酒;⽼酒（中国蒸馏烈酒）;果酒;酒精饮料（啤酒除外）</t>
  </si>
  <si>
    <t>争渠</t>
  </si>
  <si>
    <t>霍海龙</t>
  </si>
  <si>
    <t>果酒（含酒精）;威⼠忌;⾼粱酒;鸡尾酒;烧酒（烈酒）;⽩酒;葡萄酒;蒸馏饮料;⽶酒;开胃酒</t>
  </si>
  <si>
    <t>HE PING SHAO FANG</t>
  </si>
  <si>
    <t>王挺</t>
  </si>
  <si>
    <t>果酒（含酒精）;⽶酒;⾕物制蒸馏酒精饮料;⾼粱酒;⽩⼲酒（中国⽩酒）;蒸馏饮料;酒精饮料（啤酒除外）;烈酒;⾷⽤酒精;烧酒</t>
  </si>
  <si>
    <t>康乾健</t>
  </si>
  <si>
    <t>青岛岱玉宝酒业有限公司</t>
  </si>
  <si>
    <t>果酒;酒精饮料（啤酒除外）;⻩酒;已调味的蒸馏酒;草本型利⼝酒;葡萄酒;⽶酒;烧酒;⽩酒;预调甜酒</t>
  </si>
  <si>
    <t>京乡玉</t>
  </si>
  <si>
    <t>张秀珍</t>
  </si>
  <si>
    <t>⽶酒;果酒（含酒精）;葡萄酒;酒精饮料（啤酒除外）;⽩酒;清酒（⽇本⽶酒）;⻩酒;伏特加酒;⻘稞酒;朝鲜族⽶酒</t>
  </si>
  <si>
    <t>神之澜山</t>
  </si>
  <si>
    <t>⻩酒;甜酒;烈酒（饮料）;蒸煮提取物（利⼝酒和烈酒）;开胃酒;清酒（⽇本⽶酒）;⽶酒;⽩酒;葡萄酒;果酒（含酒精）</t>
  </si>
  <si>
    <t>玺悦澜山</t>
  </si>
  <si>
    <t>⽶酒;⻩酒;开胃酒;蒸煮提取物（利⼝酒和烈酒）;果酒（含酒精）;葡萄酒;烈酒（饮料）;清酒（⽇本⽶酒）;甜酒;⽩酒</t>
  </si>
  <si>
    <t>赤贵老烧坊</t>
  </si>
  <si>
    <t>贵州老茅世家酒业有限责任公司</t>
  </si>
  <si>
    <t>酒精饮料（啤酒除外）;⻩酒;开胃酒;蒸馏饮料;⽩酒;葡萄酒;烈酒（饮料）;威⼠忌;烧酒;⽩兰地</t>
  </si>
  <si>
    <t>曌姐</t>
  </si>
  <si>
    <t>鸡尾酒;葡萄酒;清酒（⽇本⽶酒）;⽩酒;烈酒（饮料）;⽶酒;果酒（含酒精）;⻩酒;烧酒;酒精饮料（啤酒除外）</t>
  </si>
  <si>
    <t>林进亮</t>
  </si>
  <si>
    <t>⽶酒;伏特加酒;葡萄酒;酒精饮料原汁;含⽔果酒精饮料;威⼠忌;烧酒;朗姆酒;清酒（⽇本⽶酒）;⻩酒</t>
  </si>
  <si>
    <t>熏葡令</t>
  </si>
  <si>
    <t>易延</t>
  </si>
  <si>
    <t>利⼝酒;清酒;⽼酒（中国蒸馏烈酒）;酒精饮料（啤酒除外）;黑覆盆⼦酒;露酒;⻩酒;梅酒;⾷⽤酒精;⾕物制蒸馏酒精饮料</t>
  </si>
  <si>
    <t>劝龙饮</t>
  </si>
  <si>
    <t>贵州珍酒酿酒有限公司</t>
  </si>
  <si>
    <t>利⼝酒;⽩酒;预先混合的酒精饮料（以啤酒为主的除外）;烈酒（饮料）;⻩酒;葡萄酒;⽶酒;威⼠忌;酒精饮料（啤酒除外）;果酒（含酒精）</t>
  </si>
  <si>
    <t>巨日太阳宝宝</t>
  </si>
  <si>
    <t>巨日鞋业有限公司</t>
  </si>
  <si>
    <t>烧酒;开胃酒;⽶酒;果酒（含酒精）;⻩酒;清酒（⽇本⽶酒）;葡萄酒;酒精饮料（啤酒除外）;烈酒（饮料）;鸡尾酒</t>
  </si>
  <si>
    <t>温兰.喜悦</t>
  </si>
  <si>
    <t>山东温兰酒业有限公司</t>
  </si>
  <si>
    <t>果酒（含酒精）;葡萄酒;烈酒（饮料）;⽶酒;⾼粱酒;烧酒;佐餐酒;⻩酒;⽩酒;⻘稞酒</t>
  </si>
  <si>
    <t>田滋滋</t>
  </si>
  <si>
    <t>戴宝宽</t>
  </si>
  <si>
    <t>果酒（含酒精）;鸡尾酒;预先混合的酒精饮料（以啤酒为主的除外）;蒸馏饮料;⽩酒;酒精饮料（啤酒除外）;⻩酒;葡萄酒;烈酒（饮料）;⽩兰地</t>
  </si>
  <si>
    <t>三涌泉</t>
  </si>
  <si>
    <t>山西三泉村启迪新文化有限公司</t>
  </si>
  <si>
    <t>葡萄酒;酒精饮料（啤酒除外）;蒸馏饮料;酒精饮料原汁;果酒（含酒精）;⽩兰地;威⼠忌;含⽔果酒精饮料;⽩酒;⾷⽤酒精</t>
  </si>
  <si>
    <t>众珍祥</t>
  </si>
  <si>
    <t>李旭</t>
  </si>
  <si>
    <t>果酒（含酒精）;含⽔果酒精饮料;⽶酒;⽩酒;酒精饮料（啤酒除外）;蒸煮提取物（利⼝酒和烈酒）;蒸馏饮料;葡萄酒;蜂蜜酒;烧酒</t>
  </si>
  <si>
    <t>鳗漫养</t>
  </si>
  <si>
    <t>广西君龙投资有限公司</t>
  </si>
  <si>
    <t>果酒;烈酒;鸡尾酒;甜酒;⾼粱酒;葡萄酒;酒精饮料（啤酒除外）;⽩酒;烧酒;含酒精⽔果饮料</t>
  </si>
  <si>
    <t>椰祺</t>
  </si>
  <si>
    <t>张良</t>
  </si>
  <si>
    <t>烧酒;⽩酒;⽼酒（中国蒸馏烈酒）;果酒（含酒精）;含酒精的⽓泡⽔;酒精饮料（啤酒除外）;⾼粱酒;果酒;以葡萄酒为主的饮料;烈酒（饮料）</t>
  </si>
  <si>
    <t>恒曲流</t>
  </si>
  <si>
    <t>宋冠勇</t>
  </si>
  <si>
    <t>酒精饮料原汁;果酒（含酒精）;烧酒;清酒;含⽔果酒精饮料;蒸馏饮料;烈酒（饮料）;威⼠忌;鸡尾酒;⽩酒</t>
  </si>
  <si>
    <t>天津市赛达伟业有限公司</t>
  </si>
  <si>
    <t>蜂蜜酒;露酒;⽩兰地;烈酒;⻘梅酒;酒精饮料原汁;烧酒（烈酒）;⻘稞酒;⾷⽤酒精;杨梅酒</t>
  </si>
  <si>
    <t>ZHUOQUAN</t>
  </si>
  <si>
    <t>酒精饮料（啤酒除外）;烈酒（饮料）;⽩酒;葡萄酒;烧酒;清酒;⽶酒;果酒（含酒精）;鸡尾酒;⻩酒</t>
  </si>
  <si>
    <t>柳岸卧虹</t>
  </si>
  <si>
    <t>⻩酒;露酒;⾼粱酒;甜酒;⽶酒;⽩酒;果酒（含酒精）;烧酒（烈酒）;葡萄酒;酒精饮料（啤酒除外）</t>
  </si>
  <si>
    <t>酒舞得胜</t>
  </si>
  <si>
    <t>山西和德成酒业有限公司</t>
  </si>
  <si>
    <t>⽩酒;⻘稞酒;甜酒;葡萄酒;甜果酒;烧酒;果酒;梅酒;开胃酒;⽶酒</t>
  </si>
  <si>
    <t>贵巽台</t>
  </si>
  <si>
    <t>王清森</t>
  </si>
  <si>
    <t>⽩酒;清酒;⻘梅酒;⻘稞酒;烧酒;酒精饮料（啤酒除外）;⽶酒;⾼粱酒;果酒;⻩酒</t>
  </si>
  <si>
    <t>帝中豪兴</t>
  </si>
  <si>
    <t>山东帝豪酒业有限公司</t>
  </si>
  <si>
    <t>酒精饮料（啤酒除外）;果酒（含酒精）;葡萄酒;⽩⼲酒（中国⽩酒）;威⼠忌;⻩酒;⽩酒;⽼酒（中国蒸馏烈酒）;烈酒（饮料）;⽶酒</t>
  </si>
  <si>
    <t>巅山云境</t>
  </si>
  <si>
    <t>⽩酒;蜂蜜酒;含⽔果酒精饮料;酒精饮料（啤酒除外）;烧酒;鸡尾酒;⽶酒;葡萄酒;清酒（⽇本⽶酒）;果酒（含酒精）</t>
  </si>
  <si>
    <t>那道关</t>
  </si>
  <si>
    <t>果酒（含酒精）;蜂蜜酒;鸡尾酒;含⽔果酒精饮料;清酒（⽇本⽶酒）;酒精饮料（啤酒除外）;⽩酒;⽶酒;葡萄酒;烧酒</t>
  </si>
  <si>
    <t>感选</t>
  </si>
  <si>
    <t>感谢自然（上海）实业有限公司</t>
  </si>
  <si>
    <t>鸡尾酒;⽩酒;葡萄酒;酒精饮料（啤酒除外）;烈性⼲酒;果酒（含酒精）;开胃酒;⻩酒;⽩兰地;⽶酒</t>
  </si>
  <si>
    <t>桂贡</t>
  </si>
  <si>
    <t>广西桂美贡酒业有限公司</t>
  </si>
  <si>
    <t>烧酒;⽼酒（中国蒸馏烈酒）;葡萄酒;酒精饮料原汁;⽩酒;汽酒;烈酒（饮料）;⽶酒;开胃酒;⾷⽤酒精</t>
  </si>
  <si>
    <t>九龙圣巅</t>
  </si>
  <si>
    <t>酒精饮料（啤酒除外）;⻩酒;烧酒;鸡尾酒;果酒（含酒精）;⽶酒;烈酒（饮料）;蜂蜜酒;⽩酒;葡萄酒</t>
  </si>
  <si>
    <t>ROASTELLA</t>
  </si>
  <si>
    <t>伊威尼私人有限公司</t>
  </si>
  <si>
    <t>湳安</t>
  </si>
  <si>
    <t>叶菊华</t>
  </si>
  <si>
    <t>⾼粱酒;⻘稞酒;⾕物制蒸馏酒精饮料;由⾕物蒸馏的⽩酒;⽩⼲酒（中国⽩酒）;⽶酒;⽼酒（中国蒸馏烈酒）;⽩酒;烧酒;果酒（含酒精）</t>
  </si>
  <si>
    <t>宜您</t>
  </si>
  <si>
    <t>扬州由米定制科技有限公司</t>
  </si>
  <si>
    <t>果酒（含酒精）;樱桃酒;酒精饮料（啤酒除外）;含⽔果酒精饮料;以葡萄酒为主的饮料;⽩酒;蜂蜜酒;苹果酒;⽶酒;⻩酒</t>
  </si>
  <si>
    <t>KIND SEA</t>
  </si>
  <si>
    <t>厦门朋莉供应链有限公司</t>
  </si>
  <si>
    <t>烈酒（饮料）;伏特加酒;⻨芽威⼠忌;葡萄酒;混合威⼠忌酒;利⼝酒;⽩兰地;清酒（⽇本⽶酒）;朗姆酒;威⼠忌</t>
  </si>
  <si>
    <t>HWBUY</t>
  </si>
  <si>
    <t>北京毅力金网科技发展有限公司</t>
  </si>
  <si>
    <t>薄荷酒;红葡萄酒;鸡尾酒;含酒精的⽓泡⽔;果酒;威⼠忌;⻩酒;以葡萄酒为主的饮料;⽩⼲酒（中国⽩酒）;⽩酒</t>
  </si>
  <si>
    <t>天仙韵</t>
  </si>
  <si>
    <t>⽶酒;⾼粱酒;果酒;甜酒;鸡尾酒;葡萄酒;⽩酒;⻩酒;清酒;酒精饮料（啤酒除外）</t>
  </si>
  <si>
    <t>九品极 品</t>
  </si>
  <si>
    <t>国润（辽宁）实业有限公司</t>
  </si>
  <si>
    <t>⻩酒;果酒（含酒精）;鸡尾酒;⽩酒;⾷⽤酒精;烈酒（饮料）;含⽔果酒精饮料;酒精饮料（啤酒除外）;⽶酒;葡萄酒</t>
  </si>
  <si>
    <t>班墨故里</t>
  </si>
  <si>
    <t>孟繁钢</t>
  </si>
  <si>
    <t>苹果酒;含⽔果酒精饮料;⾷⽤酒精;烈酒（饮料）;以葡萄酒为主的饮料;葡萄酒;⾕物制蒸馏酒精饮料;⽩酒;⽩兰地;鸡尾酒</t>
  </si>
  <si>
    <t>龙穆源川</t>
  </si>
  <si>
    <t>黑龙江龙穆源川经贸有限公司</t>
  </si>
  <si>
    <t>烈酒（饮料）;威⼠忌;⽩酒;酒精饮料原汁;⻩酒;鸡尾酒;开胃酒;含⽔果酒精饮料;⻘稞酒;⽶酒</t>
  </si>
  <si>
    <t>法探智鉴</t>
  </si>
  <si>
    <t>浙江天齐通风设备有限公司</t>
  </si>
  <si>
    <t>⽩酒;葡萄酒;⾼粱酒;果酒;露酒;酒精饮料（啤酒除外）;含酒精⽔果饮料;⻩酒;⽶酒;开胃酒</t>
  </si>
  <si>
    <t>滇剑</t>
  </si>
  <si>
    <t>果酒（含酒精）;烧酒;葡萄酒;⽩酒;酒精饮料（啤酒除外）;含⽔果酒精饮料;清酒（⽇本⽶酒）;⽶酒;鸡尾酒;蜂蜜酒</t>
  </si>
  <si>
    <t>版航</t>
  </si>
  <si>
    <t>⽩酒;鸡尾酒;酒精饮料（啤酒除外）;清酒（⽇本⽶酒）;葡萄酒;蜂蜜酒;含⽔果酒精饮料;烧酒;⽶酒;果酒（含酒精）</t>
  </si>
  <si>
    <t>温兰.玺悦</t>
  </si>
  <si>
    <t>果酒（含酒精）;葡萄酒;烈酒（饮料）;⽶酒;⾼粱酒;⻘稞酒;⻩酒;⽩酒;佐餐酒;烧酒</t>
  </si>
  <si>
    <t>醉人涧</t>
  </si>
  <si>
    <t>王志刚</t>
  </si>
  <si>
    <t>鸡尾酒;⻩酒;果酒（含酒精）;威⼠忌;烧酒;⽩酒;葡萄酒;⽩兰地;朗姆酒;伏特加酒</t>
  </si>
  <si>
    <t>刘为</t>
  </si>
  <si>
    <t>果酒（含酒精）;烧酒;⾕物制蒸馏酒精饮料;⻩酒;⽩酒;⾼粱酒;鸡尾酒;⽶酒;不起泡葡萄酒;⽼酒（中国蒸馏烈酒）</t>
  </si>
  <si>
    <t>金丝猴华华</t>
  </si>
  <si>
    <t>北京中宝美和文化有限公司</t>
  </si>
  <si>
    <t>清酒（⽇本⽶酒）;果酒（含酒精）;葡萄酒;烈酒（饮料）;⽩酒;⽶酒;烧酒;酒精饮料（啤酒除外）;鸡尾酒;⻩酒</t>
  </si>
  <si>
    <t>平祖烧坊</t>
  </si>
  <si>
    <t>⽩酒;葡萄酒;酒精饮料浓缩汁;烧酒;烈酒;蒸煮提取物（利⼝酒和烈酒）;酒精饮料（啤酒除外）;⾷⽤酒精;果酒（含酒精）;⽶酒</t>
  </si>
  <si>
    <t>辰庚洋</t>
  </si>
  <si>
    <t>广东辰庚洋贸易有限公司</t>
  </si>
  <si>
    <t>烧酒;⻩酒;⽶酒;蜂蜜酒;酒精饮料（啤酒除外）;葡萄酒;威⼠忌;果酒;烈酒;⽩酒</t>
  </si>
  <si>
    <t>扶榆</t>
  </si>
  <si>
    <t>孟宪志</t>
  </si>
  <si>
    <t>烈酒（饮料）;⾕物制蒸馏酒精饮料;酒精饮料浓缩汁;⻩酒;以葡萄酒为主的饮料;烧酒;含⽔果酒精饮料;⽩酒;果酒（含酒精）;⽶酒</t>
  </si>
  <si>
    <t>蒙老倌</t>
  </si>
  <si>
    <t>济南酒佰嘉商贸有限公司</t>
  </si>
  <si>
    <t>果酒（含酒精）;⻩酒;威⼠忌;⽩兰地;⽩酒;⾷⽤酒精;鸡尾酒;清酒（⽇本⽶酒）;酒精饮料（啤酒除外）;葡萄酒</t>
  </si>
  <si>
    <t>泰庆春</t>
  </si>
  <si>
    <t>⻩酒;酒精饮料（啤酒除外）;葡萄酒;果酒;草本型利⼝酒;预调甜酒;⽶酒;烧酒;已调味的蒸馏酒;⽩酒</t>
  </si>
  <si>
    <t>圣紫木</t>
  </si>
  <si>
    <t>山西东方木酒发展有限公司</t>
  </si>
  <si>
    <t>汽酒;⻩酒;⽩酒;含⽔果酒精饮料;鸡尾酒;露酒;葡萄酒;酒精饮料（啤酒除外）;果酒（含酒精）;烧酒</t>
  </si>
  <si>
    <t>笑霸</t>
  </si>
  <si>
    <t>武夷山市永鹏茶业有限公司</t>
  </si>
  <si>
    <t>葡萄酒;开胃酒;烈酒（饮料）;⽶酒;含酒精⽔果饮料;⾕物制蒸馏酒精饮料;果酒（含酒精）;蜂蜜酒;⽩酒;⻩酒</t>
  </si>
  <si>
    <t>天长爱帮</t>
  </si>
  <si>
    <t>天长市爱帮公益协会</t>
  </si>
  <si>
    <t>酒精饮料（啤酒除外）;烧酒;葡萄酒;⻩酒;⽩酒;果酒（含酒精）;⽶酒;⽔果汽酒;烈酒（饮料）;含⽔果酒精饮料</t>
  </si>
  <si>
    <t>塞伊德</t>
  </si>
  <si>
    <t>内蒙古穆尼山酒业有限责任公司</t>
  </si>
  <si>
    <t>烈酒;烈酒（饮料）;汽酒;⽩酒;⽶酒;烧酒;葡萄酒;威⼠忌;果酒（含酒精）;⽼酒（中国蒸馏烈酒）</t>
  </si>
  <si>
    <t>圪咀崖</t>
  </si>
  <si>
    <t>古交市圪咀崖娘娘庙会非遗文化研究协会</t>
  </si>
  <si>
    <t>葡萄酒;清酒;⽩酒;⻩酒;酒精饮料（啤酒除外）;烈酒;威⼠忌;鸡尾酒;果酒（含酒精）;开胃酒</t>
  </si>
  <si>
    <t>种子印象</t>
  </si>
  <si>
    <t>葡萄酒;果酒（含酒精）;烈酒（饮料）;⽩酒;酒精饮料浓缩汁;鸡尾酒;⻩酒;⽶酒;含⽔果酒精饮料;烧酒</t>
  </si>
  <si>
    <t>徽谣贡</t>
  </si>
  <si>
    <t>张侠</t>
  </si>
  <si>
    <t>⽩酒;酒精饮料（啤酒除外）;鸡尾酒;果酒（含酒精）;⽩兰地;威⼠忌;⻩酒;⽶酒;葡萄酒;烧酒</t>
  </si>
  <si>
    <t>春献堂</t>
  </si>
  <si>
    <t>宋龙祯</t>
  </si>
  <si>
    <t>⽩兰地;⻩酒;⽩酒;鸡尾酒;⽶酒;果酒（含酒精）;酒精饮料（啤酒除外）;含⽔果酒精饮料;葡萄酒;⾷⽤酒精</t>
  </si>
  <si>
    <t>芳世御</t>
  </si>
  <si>
    <t>陇西堂盛唐酒业有限公司</t>
  </si>
  <si>
    <t>果酒（含酒精）;葡萄酒;⻘稞酒;汽酒;由⾕物蒸馏的⽩酒;⻩酒;⽶酒;⾼粱酒;⾷⽤酒精;清酒</t>
  </si>
  <si>
    <t>金窖云琪</t>
  </si>
  <si>
    <t>湖南金瑞优生物科技有限公司</t>
  </si>
  <si>
    <t>⽩酒;蒸煮提取物（利⼝酒和烈酒）;果酒（含酒精）;⻩酒;葡萄酒;⽩⼲酒（中国⽩酒）;烧酒;烈酒（饮料）;酒精饮料（啤酒除外）;⽶酒</t>
  </si>
  <si>
    <t>鹤乡永顺泉</t>
  </si>
  <si>
    <t>兴隆台区红海海鲜餐厅</t>
  </si>
  <si>
    <t>威⼠忌;鸡尾酒;⻩酒;⽩酒;葡萄酒;⻘稞酒;⽶酒;烧酒;⽩兰地;朗姆酒</t>
  </si>
  <si>
    <t>谢建明</t>
  </si>
  <si>
    <t>葡萄酒;烧酒;烈酒（饮料）;含⽔果酒精饮料;⽩酒;⻩酒;果酒（含酒精）;酒精饮料浓缩汁;酒精饮料（啤酒除外）;⽶酒</t>
  </si>
  <si>
    <t>贵源禾</t>
  </si>
  <si>
    <t>京辰正禾（河北）农业科技发展有限公司</t>
  </si>
  <si>
    <t>⽩酒;⻩酒;果酒（含酒精）;烈酒（饮料）;⽩⼲酒（中国⽩酒）;葡萄酒;⾼粱酒;酒精饮料（啤酒除外）;⾷⽤酒精;⽶酒</t>
  </si>
  <si>
    <t>黔匠业</t>
  </si>
  <si>
    <t>朗姆酒;烈性⼲酒;⻘稞酒;⽩酒;烧酒;朝鲜烧酒;清酒;烧酒（烈酒）;⾼粱酒;⻩酒</t>
  </si>
  <si>
    <t>古稻福</t>
  </si>
  <si>
    <t>内蒙古扬泽控股有限公司</t>
  </si>
  <si>
    <t>葡萄酒;⽶酒;⽩⼲酒（中国⽩酒）;⽩酒;⻩酒;果酒;甜酒;烈酒;清酒;鸡尾酒</t>
  </si>
  <si>
    <t>嵊山剡水</t>
  </si>
  <si>
    <t>嵊州市成业建设有限公司</t>
  </si>
  <si>
    <t>⻩酒;⽶酒;酒精饮料（啤酒除外）;蜂蜜酒;⽩酒;清酒;葡萄酒;蒸馏饮料;开胃酒;果酒（含酒精）</t>
  </si>
  <si>
    <t>CAP CASTERA</t>
  </si>
  <si>
    <t>普莱斯顿公司</t>
  </si>
  <si>
    <t>聚赣福</t>
  </si>
  <si>
    <t>南昌志新酒业有限公司</t>
  </si>
  <si>
    <t>⽩酒;果酒（含酒精）;利⼝酒;⽶酒;⽩兰地;葡萄酒;威⼠忌;酒精饮料原汁;烈酒（饮料）;⻩酒</t>
  </si>
  <si>
    <t>浙亩塘</t>
  </si>
  <si>
    <t>周丽娜</t>
  </si>
  <si>
    <t>酒精饮料（啤酒除外）;烧酒;⽼酒（中国蒸馏烈酒）;⾷⽤酒精;鸡尾酒;甜酒;葡萄酒;⻩酒;果酒（含酒精）;⽩酒</t>
  </si>
  <si>
    <t>金种子印象</t>
  </si>
  <si>
    <t>含⽔果酒精饮料;⽩酒;鸡尾酒;⽶酒;⻩酒;果酒（含酒精）;葡萄酒;烧酒;酒精饮料浓缩汁;烈酒（饮料）</t>
  </si>
  <si>
    <t>天草生</t>
  </si>
  <si>
    <t>杨志华</t>
  </si>
  <si>
    <t>⽩⼲酒（中国⽩酒）;葡萄酒;烧酒;⽩酒;⻘稞酒;⾼粱酒;⻩酒;烈酒;果酒（含酒精）;⽶酒</t>
  </si>
  <si>
    <t>跃江龙</t>
  </si>
  <si>
    <t>古进福</t>
  </si>
  <si>
    <t>⽶酒;果酒;鸡尾酒;⻩酒;葡萄酒;清酒;⽩酒;⾼粱酒;酒精饮料（啤酒除外）;甜酒</t>
  </si>
  <si>
    <t>库阿依丹玛</t>
  </si>
  <si>
    <t>梁春</t>
  </si>
  <si>
    <t>鸡尾酒;⻩酒;果酒;⽩酒;烈酒;⽶酒;⽼酒（中国蒸馏烈酒）;葡萄酒;酒精饮料原汁;蒸馏饮料</t>
  </si>
  <si>
    <t>简川</t>
  </si>
  <si>
    <t>中酒（四川）企业管理集团有限公司</t>
  </si>
  <si>
    <t>鸡尾酒;含酒精的饮料（啤酒除外）;果酒;佐餐酒;⾼粱酒;葡萄酒;⽩⼲酒（中国⽩酒）;⽩酒;⽶酒;烈酒</t>
  </si>
  <si>
    <t>醉莫愁·喜</t>
  </si>
  <si>
    <t>世嘉利集团有限公司</t>
  </si>
  <si>
    <t>威⼠忌;汽酒;烧酒;⽩酒;⽩兰地;⽩⼲酒（中国⽩酒）;葡萄酒;含酒精的鸡尾酒混合饮品;⾷⽤酒精;⻩酒</t>
  </si>
  <si>
    <t>LEMAIRE</t>
  </si>
  <si>
    <t>上海佐之国际贸易有限公司</t>
  </si>
  <si>
    <t>蒸馏饮料;⽶酒;⽩兰地;烧酒;开胃酒;⾷⽤酒精;鸡尾酒;葡萄酒;利⼝酒;汽酒</t>
  </si>
  <si>
    <t>早纤</t>
  </si>
  <si>
    <t>深圳市氧乐科技有限公司</t>
  </si>
  <si>
    <t>苹果酒;含⽔果酒精饮料;葡萄酒;餐后酒（利⼝酒和烈酒）;酒精饮料（啤酒除外）;⽩兰地;⽔果汽酒;鸡尾酒;⽶酒;以葡萄酒为主的饮料</t>
  </si>
  <si>
    <t>比亚甘露</t>
  </si>
  <si>
    <t>广州市百诚网络科技有限公司</t>
  </si>
  <si>
    <t>葡萄酒;⽶酒;蒸煮提取物（利⼝酒和烈酒）;⽩兰地;清酒;酒精饮料（啤酒除外）;威⼠忌;⻩酒;⽩酒;果酒（含酒精）</t>
  </si>
  <si>
    <t>贡兰酒陵</t>
  </si>
  <si>
    <t>兰陵王贡酒酒业有限公司</t>
  </si>
  <si>
    <t>酒精饮料原汁;⻩酒;⽩酒;果酒（含酒精）;⾷⽤酒精;烈酒（饮料）;酒精饮料（啤酒除外）;⾕物制蒸馏酒精饮料;预先混合的酒精饮料（以啤酒为主的除外）;葡萄酒</t>
  </si>
  <si>
    <t>樽名流</t>
  </si>
  <si>
    <t>烈酒（饮料）;⻩酒;葡萄酒;果酒;酒精饮料（啤酒除外）;开胃酒;利⼝酒;⽩酒;⽶酒;烧酒</t>
  </si>
  <si>
    <t>飞兄</t>
  </si>
  <si>
    <t>胡加宝</t>
  </si>
  <si>
    <t>⽩兰地;果酒（含酒精）;鸡尾酒;葡萄酒;⻩酒;酒精饮料（啤酒除外）;⽶酒;⾷⽤酒精;⽩酒;含⽔果酒精饮料</t>
  </si>
  <si>
    <t>鳄大帝</t>
  </si>
  <si>
    <t>⽶酒;蒸煮提取物（利⼝酒和烈酒）;蒸馏饮料;⻩酒;⽩酒;烈酒（饮料）;果酒（含酒精）;葡萄酒;烧酒;开胃酒</t>
  </si>
  <si>
    <t>洧渡</t>
  </si>
  <si>
    <t>登封市国富酒业有限公司</t>
  </si>
  <si>
    <t>烈性⼲酒;烈酒（饮料）;烧酒（烈酒）;除啤酒外的酒精饮料;酒精饮料（啤酒除外）;五加⽪酒（中国混合烈酒）;⽩⼲酒（中国⽩酒）;预先混合的酒精饮料（以啤酒为主的除外）;⽼酒（中国蒸馏烈酒）;酒精饮料原汁</t>
  </si>
  <si>
    <t>VCELLAR</t>
  </si>
  <si>
    <t>兆钱网络科技（大连）有限公司</t>
  </si>
  <si>
    <t>果酒（含酒精）;葡萄酒;清酒（⽇本⽶酒）;酒精饮料（啤酒除外）;以葡萄酒为主的饮料;杜松⼦酒;利⼝酒;朗姆酒;威⼠忌;伏特加酒</t>
  </si>
  <si>
    <t>巴太的酒</t>
  </si>
  <si>
    <t>慕尼堡精酿（佛山）供应链有限公司</t>
  </si>
  <si>
    <t>果酒（含酒精）;⽩酒;葡萄酒;汽酒;酒精饮料（啤酒除外）;酒精饮料原汁;⻩酒;⽶酒;鸡尾酒;含⽔果酒精饮料</t>
  </si>
  <si>
    <t>醉界</t>
  </si>
  <si>
    <t>佛山市顺粮项目管理有限公司</t>
  </si>
  <si>
    <t>果酒（含酒精）;⻩酒;烧酒（烈酒）;⾕物制蒸馏酒精饮料;烧酒;⽩酒;⾼粱酒;烈酒（饮料）;⽶酒;葡萄酒</t>
  </si>
  <si>
    <t>黔梁氿</t>
  </si>
  <si>
    <t>胡如国</t>
  </si>
  <si>
    <t>⽶酒;威⼠忌;鸡尾酒;烈酒（饮料）;酒精饮料原汁;葡萄酒;伏特加酒;⽩酒;清酒（⽇本⽶酒）;酒精饮料（啤酒除外）</t>
  </si>
  <si>
    <t>辰燊杰</t>
  </si>
  <si>
    <t>上海欢呗邻居农业科技发展有限责任公</t>
  </si>
  <si>
    <t>⻩酒;烧酒;鸡尾酒;葡萄酒;⽩酒;果酒;梅酒;⽶酒;⾷⽤酒精;⽼酒（中国蒸馏烈酒）</t>
  </si>
  <si>
    <t>泰顶峰景</t>
  </si>
  <si>
    <t>山东泽宇房地产开发有限公司</t>
  </si>
  <si>
    <t>烧酒;清酒;⽩酒;⽶酒;⾕物制蒸馏酒精饮料;汽酒;果酒;除啤酒外的酒精饮料;⻩酒;开胃酒</t>
  </si>
  <si>
    <t>尧河春舍</t>
  </si>
  <si>
    <t>张成龙410221********4819</t>
  </si>
  <si>
    <t>⻩酒;⾷⽤酒精;⽶酒;⻘稞酒;⽩⼲酒（中国⽩酒）;烈酒;⽼酒（中国蒸馏烈酒）;⽩酒;苦荞酒;⾼粱酒</t>
  </si>
  <si>
    <t>圣旨烧坊</t>
  </si>
  <si>
    <t>古蔺巷子深酒厂</t>
  </si>
  <si>
    <t>由⾕物蒸馏的⽩酒;⽼酒（中国蒸馏烈酒）;葡萄酒;⽩兰地;烈酒;果酒;烧酒;⽩⼲酒（中国⽩酒）;⽩酒;酒精饮料（啤酒除外）</t>
  </si>
  <si>
    <t>预之洲</t>
  </si>
  <si>
    <t>申涓杨</t>
  </si>
  <si>
    <t>果酒（含酒精）;鸡尾酒;酒精饮料（啤酒除外）;⻩酒;⾷⽤酒精;葡萄酒;⽩兰地;⽩酒;⽶酒;含⽔果酒精饮料</t>
  </si>
  <si>
    <t>乐梅尔</t>
  </si>
  <si>
    <t>蒸馏饮料;葡萄酒;开胃酒;鸡尾酒;⽶酒;汽酒;⾷⽤酒精;烧酒;⽩兰地;利⼝酒</t>
  </si>
  <si>
    <t>THE MASTER'S DRAM</t>
  </si>
  <si>
    <t>云禧品牌管理（深圳）有限公司</t>
  </si>
  <si>
    <t>混合威⼠忌酒;杜松⼦酒;威⼠忌;⻨芽威⼠忌</t>
  </si>
  <si>
    <t>谦裕萃陈</t>
  </si>
  <si>
    <t>⽩酒;果酒（含酒精）;烧酒;烈酒（饮料）;⽶酒;⽢蔗制烈酒;鸡尾酒;葡萄酒;酒精饮料（啤酒除外）;⻩酒</t>
  </si>
  <si>
    <t>谷领冠</t>
  </si>
  <si>
    <t>内蒙古七柒七食品有限公司</t>
  </si>
  <si>
    <t>果酒;利⼝酒;酒精饮料（啤酒除外）;开胃酒;⽩兰地;⽩酒;鸡尾酒;烧酒;葡萄酒;果酒（含酒精）</t>
  </si>
  <si>
    <t>止一</t>
  </si>
  <si>
    <t>杭州道卓科技有限公司</t>
  </si>
  <si>
    <t>酒精饮料（啤酒除外）;⻩酒;果酒（含酒精）;鸡尾酒;⽩酒;⽶酒;葡萄酒;烧酒;汽酒;烈酒（饮料）</t>
  </si>
  <si>
    <t>忆关雎</t>
  </si>
  <si>
    <t>宋晓勇</t>
  </si>
  <si>
    <t>⽩兰地;⽩⼲酒（中国⽩酒）;烈酒;开胃酒;果酒;葡萄酒;⻩酒;⽩酒;⽶酒;烧酒</t>
  </si>
  <si>
    <t>含⽔果酒精饮料;果酒（含酒精）;烈酒（饮料）;⽩酒;葡萄酒;鸡尾酒;⻩酒;烧酒;⽶酒;酒精饮料浓缩汁</t>
  </si>
  <si>
    <t>李的传承</t>
  </si>
  <si>
    <t>广州市李氏文化传播有限公司</t>
  </si>
  <si>
    <t>果酒;葡萄酒;清酒;⻩酒;伏特加酒;鸡尾酒;⽩酒;烧酒;⽶酒;朗姆酒</t>
  </si>
  <si>
    <t>祝八方</t>
  </si>
  <si>
    <t>葡萄酒;果酒;⾼粱酒;清酒;鸡尾酒;酒精饮料（啤酒除外）;⽩酒;甜酒;⻩酒;⽶酒</t>
  </si>
  <si>
    <t>经业贡酒</t>
  </si>
  <si>
    <t>徐丽华</t>
  </si>
  <si>
    <t>威⼠忌;⽶酒;⻩酒;果酒（含酒精）;⽩兰地;⽩酒;鸡尾酒;酒精饮料（啤酒除外）;起泡红葡萄酒;烧酒</t>
  </si>
  <si>
    <t>健小仙</t>
  </si>
  <si>
    <t>北京同仁堂兴安保健科技有限责任公司</t>
  </si>
  <si>
    <t>⻩酒;威⼠忌;果酒;⽩酒;烧酒;葡萄酒;烈酒（饮料）;⽶酒;苦艾酒;鸡尾酒</t>
  </si>
  <si>
    <t>七彩菌都荟</t>
  </si>
  <si>
    <t>陈志立</t>
  </si>
  <si>
    <t>汽酒;烈酒（饮料）;⽩酒;酒精饮料（啤酒除外）;⻩酒;露酒;开胃酒;果酒（含酒精）;⻘稞酒;葡萄酒</t>
  </si>
  <si>
    <t>铭川泉</t>
  </si>
  <si>
    <t>亢飞</t>
  </si>
  <si>
    <t>果酒（含酒精）;鸡尾酒;烈酒（饮料）;清酒（⽇本⽶酒）;⽩酒;葡萄酒;⻩酒;烧酒;⽶酒;酒精饮料（啤酒除外）</t>
  </si>
  <si>
    <t>潮哥小酒酷</t>
  </si>
  <si>
    <t>北京小酒酷商贸有限公司</t>
  </si>
  <si>
    <t>⽶酒;⻩酒;含⽔果酒精饮料;果酒（含酒精）;烧酒;⽩酒;葡萄酒;预先混合的酒精饮料（以啤酒为主的除外）;清酒;酒精饮料（啤酒除外）</t>
  </si>
  <si>
    <t>甜蜜相伴</t>
  </si>
  <si>
    <t>张潆汀</t>
  </si>
  <si>
    <t>杨梅酒;薄荷酒;⽩葡萄酒;⽔果汽酒;清酒（⽇本⽶酒）;果酒（含酒精）;⽩酒;⻘稞酒;⻩酒;烈酒</t>
  </si>
  <si>
    <t>CLOWN ELEPHANT</t>
  </si>
  <si>
    <t>北京中酒创酒业有限公司</t>
  </si>
  <si>
    <t>烧酒（烈酒）;⾷⽤酒精;烧酒;⽼酒（中国蒸馏烈酒）;⾼粱酒;⾕物制蒸馏酒精饮料;⻩酒;餐后酒（利⼝酒和烈酒）;⽩酒;⽩⼲酒（中国⽩酒）</t>
  </si>
  <si>
    <t>堪乐</t>
  </si>
  <si>
    <t>淄博堪乐茶文化有限责任公司</t>
  </si>
  <si>
    <t>烧酒;果酒（含酒精）;⾼粱酒;⽶酒;⻩酒;由⾕物蒸馏的⽩酒;烈酒（饮料）;酒精饮料（啤酒除外）;⽩酒;葡萄酒</t>
  </si>
  <si>
    <t>喜满盏</t>
  </si>
  <si>
    <t>⽶酒;烧酒;烈酒（饮料）;葡萄酒;⾼粱酒;⾕物制蒸馏酒精饮料;⻩酒;果酒（含酒精）;⽩酒;烧酒（烈酒）</t>
  </si>
  <si>
    <t>ANGEL'S DRAM</t>
  </si>
  <si>
    <t>杜松⼦酒;混合威⼠忌酒;⻨芽威⼠忌;威⼠忌</t>
  </si>
  <si>
    <t>黔春忆</t>
  </si>
  <si>
    <t>烈性⼲酒;烧酒;⾼粱酒;朗姆酒;⻘稞酒;朝鲜烧酒;烧酒（烈酒）;⽩酒;清酒;⻩酒</t>
  </si>
  <si>
    <t>桂哥哥</t>
  </si>
  <si>
    <t>桂林市七星区桂大哥电子商务中心（个体工商户）</t>
  </si>
  <si>
    <t>蜂蜜酒;⽶酒;⽩兰地;⽩酒;烧酒;鸡尾酒;清酒（⽇本⽶酒）;果酒（含酒精）;葡萄酒;⾷⽤酒精</t>
  </si>
  <si>
    <t>闹小妹</t>
  </si>
  <si>
    <t>江西石南桥农旅有限公司</t>
  </si>
  <si>
    <t>葡萄酒;酒精饮料（啤酒除外）;⻩酒;杨梅酒;甜酒;⽶酒;⽩酒;烧酒;清酒;果酒（含酒精）</t>
  </si>
  <si>
    <t>京台皓礼</t>
  </si>
  <si>
    <t>⽩⼲酒（中国⽩酒）;由⾕物蒸馏的⽩酒;除啤酒外的酒精饮料;果酒（含酒精）;葡萄酒;蒸馏饮料;鸡尾酒;⽩酒;烈酒（饮料）;⻩酒</t>
  </si>
  <si>
    <t>MONRENY</t>
  </si>
  <si>
    <t>武汉市优久商贸有限公司</t>
  </si>
  <si>
    <t>朗姆酒;⽩酒;威⼠忌;烈酒（饮料）;⽩兰地;杜松⼦酒;伏特加酒;鸡尾酒;果酒（含酒精）;葡萄酒</t>
  </si>
  <si>
    <t>风凤行</t>
  </si>
  <si>
    <t>况诗华</t>
  </si>
  <si>
    <t>威⼠忌;果酒（含酒精）;鸡尾酒;⻩酒;酒精饮料（啤酒除外）;烧酒;⽩酒;葡萄酒;⽶酒;烈酒（饮料）</t>
  </si>
  <si>
    <t>东芳颜植</t>
  </si>
  <si>
    <t>山东招财猫供应链有限公司</t>
  </si>
  <si>
    <t>含⽔果酒精饮料;烈酒（饮料）;果酒（含酒精）;鸡尾酒;酒精饮料（啤酒除外）;烈酒;威⼠忌;葡萄酒;清酒（⽇本⽶酒）;⽩兰地</t>
  </si>
  <si>
    <t>养福全</t>
  </si>
  <si>
    <t>刘欣</t>
  </si>
  <si>
    <t>果酒（含酒精）;清酒（⽇本⽶酒）;⽩酒;⻘稞酒;烧酒;⾷⽤酒精;鸡尾酒;葡萄酒;⽶酒;⻩酒</t>
  </si>
  <si>
    <t>云端华肯</t>
  </si>
  <si>
    <t>山东久洋置业有限公司</t>
  </si>
  <si>
    <t>⻩酒;蒸馏饮料;酒精饮料（啤酒除外）;⽩兰地;⾷⽤酒精;果酒（含酒精）;葡萄酒;含⽔果酒精饮料;⽩酒;清酒</t>
  </si>
  <si>
    <t>豫鑫焱隆</t>
  </si>
  <si>
    <t>巩义市鑫焱隆农业有限公司</t>
  </si>
  <si>
    <t>蜂蜜酒;⼲型苹果酒;⽶酒;利⼝酒;⽩⼲酒（中国⽩酒）;混合威⼠忌酒;伏特加酒;朗姆酒;薄荷酒;果酒（含酒精）</t>
  </si>
  <si>
    <t>塞墨勒之吻</t>
  </si>
  <si>
    <t>姜再平</t>
  </si>
  <si>
    <t>威⼠忌;酒精饮料（啤酒除外）;葡萄酒;预先混合的酒精饮料（以啤酒为主的除外）;果酒（含酒精）;⽩兰地;利⼝酒;⽩酒;汽酒;鸡尾酒</t>
  </si>
  <si>
    <t>御欢守</t>
  </si>
  <si>
    <t>宋增坤</t>
  </si>
  <si>
    <t>鸡尾酒;威⼠忌;蒸馏饮料;含⽔果酒精饮料;酒精饮料原汁;果酒（含酒精）;清酒;⽩酒;烈酒（饮料）;烧酒</t>
  </si>
  <si>
    <t>黔礼赏</t>
  </si>
  <si>
    <t>朗姆酒;⻩酒;朝鲜烧酒;烧酒（烈酒）;清酒;烧酒;⽩酒;⻘稞酒;烈性⼲酒;⾼粱酒</t>
  </si>
  <si>
    <t>黔匠忆</t>
  </si>
  <si>
    <t>朝鲜烧酒;⾼粱酒;朗姆酒;⻩酒;烈性⼲酒;烧酒（烈酒）;清酒;烧酒;⽩酒;⻘稞酒</t>
  </si>
  <si>
    <t>金醉畅</t>
  </si>
  <si>
    <t>烈性⼲酒;烧酒（烈酒）;⾼粱酒;⻩酒;朝鲜烧酒;朗姆酒;清酒;烧酒;⽩酒;⻘稞酒</t>
  </si>
  <si>
    <t>TJMG</t>
  </si>
  <si>
    <t>陕西源毅文化传媒有限公司</t>
  </si>
  <si>
    <t>⽩酒;⽩兰地;葡萄酒;⽶酒;果酒;烧酒;甜酒;甜果酒;酒精饮料（啤酒除外）;清酒</t>
  </si>
  <si>
    <t>汤沟忆当垆</t>
  </si>
  <si>
    <t>江苏汤沟两相和酒业有限公司</t>
  </si>
  <si>
    <t>蒸煮提取物（利⼝酒和烈酒）;⽩酒;⻩酒;葡萄酒;⾷⽤酒精;⽩⼲酒（中国⽩酒）;果酒（含酒精）;酒精饮料（啤酒除外）;⽶酒;开胃酒</t>
  </si>
  <si>
    <t>酒五樽</t>
  </si>
  <si>
    <t>深圳市来鸣健康管理有限公司</t>
  </si>
  <si>
    <t>露酒;开胃酒;酒精饮料原汁;酒精饮料（啤酒除外）;⽩酒;酒精饮料浓缩汁;果酒;蒸馏⽶酒（泡盛酒）;蝮蛇酒</t>
  </si>
  <si>
    <t>柠宗师</t>
  </si>
  <si>
    <t>宗狮餐饮管理（佛山）有限公司</t>
  </si>
  <si>
    <t>果酒（含酒精）;含酒精⽔果饮料;蒸馏饮料;⾷⽤酒精;鸡尾酒;起泡红葡萄酒;酒精饮料（啤酒除外）;汽酒;含酒精的⽓泡⽔;葡萄酒</t>
  </si>
  <si>
    <t>⾼粱酒;鸡尾酒;佐餐酒;⽶酒;⽩⼲酒（中国⽩酒）;葡萄酒;烈酒;⽩酒;果酒;含酒精的饮料（啤酒除外）</t>
  </si>
  <si>
    <t>醉莫愁·元</t>
  </si>
  <si>
    <t>威⼠忌;葡萄酒;⽩兰地;⾷⽤酒精;⻩酒;⽩酒;⽩⼲酒（中国⽩酒）;汽酒;含酒精的鸡尾酒混合饮品;烧酒</t>
  </si>
  <si>
    <t>板榄竹桢</t>
  </si>
  <si>
    <t>邓文伟</t>
  </si>
  <si>
    <t>酒精饮料（啤酒除外）;葡萄酒;酒精饮料原汁;⽶酒;柑⾹酒;果酒（含酒精）;烈酒（饮料）;酸酒（低等葡萄酒）;⽩酒;蜂蜜酒</t>
  </si>
  <si>
    <t>章东明</t>
  </si>
  <si>
    <t>葡萄酒;⻩酒;⽩酒;果酒（含酒精）;烈酒（饮料）;⽶酒;⽢蔗制烈酒;烧酒;鸡尾酒;酒精饮料（啤酒除外）</t>
  </si>
  <si>
    <t>山保安</t>
  </si>
  <si>
    <t>高汉昌</t>
  </si>
  <si>
    <t>预先混合的酒精饮料（以啤酒为主的除外）;⻩酒;汽酒;烧酒;⾷⽤酒精;⽩酒;红葡萄酒;⾕物制蒸馏酒精饮料;⻘稞酒;⽢蔗制酒精饮料</t>
  </si>
  <si>
    <t>处士</t>
  </si>
  <si>
    <t>丽水市东山家庭农场</t>
  </si>
  <si>
    <t>烧酒;⽩酒;⾼粱酒;⻩酒;葡萄酒;⾕物制蒸馏酒精饮料;⽶酒;由⾕物蒸馏的⽩酒;烧酒（烈酒）;果酒（含酒精）</t>
  </si>
  <si>
    <t>禾玺豪情</t>
  </si>
  <si>
    <t>江苏禾玺酒业有限公司</t>
  </si>
  <si>
    <t>⾼粱酒;⽩酒;清酒;果酒（含酒精）;⽶酒;酒精饮料原汁;烧酒（烈酒）;葡萄酒;⻩酒;酒精饮料（啤酒除外）</t>
  </si>
  <si>
    <t>周日宁静</t>
  </si>
  <si>
    <t>东莞易联餐饮供应链管理有限公司</t>
  </si>
  <si>
    <t>果酒（含酒精）;酒精饮料（啤酒除外）;鸡尾酒;⽩兰地;预先混合的酒精饮料（以啤酒为主的除外）;威⼠忌;⽩酒;葡萄酒;烈酒（饮料）;清酒（⽇本⽶酒）</t>
  </si>
  <si>
    <t>今瑞福</t>
  </si>
  <si>
    <t>张立箭</t>
  </si>
  <si>
    <t>酒精饮料（啤酒除外）;烧酒;烈酒（饮料）;开胃酒;鸡尾酒;葡萄酒;⻩酒;⽶酒;⽩酒;果酒（含酒精）</t>
  </si>
  <si>
    <t>坛有喜</t>
  </si>
  <si>
    <t>凌华立</t>
  </si>
  <si>
    <t>⻩酒;⽩酒;清酒（⽇本⽶酒）;烈酒;⽩兰地;伏特加酒;除啤酒外的酒精饮料;汽酒;果酒（含酒精）;葡萄酒</t>
  </si>
  <si>
    <t>酒尾猫</t>
  </si>
  <si>
    <t>酒尾猫（杭州）品牌管理有限公司</t>
  </si>
  <si>
    <t>蒸馏饮料;以葡萄酒为主的饮料;酒精饮料（啤酒除外）;含酒精的⽓泡⽔;预先混合的酒精饮料（以啤酒为主的除外）;烈酒（饮料）;酒精饮料原汁;果酒（含酒精）;酒精饮料浓缩汁;葡萄酒</t>
  </si>
  <si>
    <t>义聚永记</t>
  </si>
  <si>
    <t>天津食品进出口股份有限公司</t>
  </si>
  <si>
    <t>烈酒（饮料）;酒精饮料浓缩汁;果酒（含酒精）;酒精饮料（啤酒除外）;⻩酒;酒精饮料原汁;⽩酒;葡萄酒;⽶酒;蜂蜜酒</t>
  </si>
  <si>
    <t>众俏</t>
  </si>
  <si>
    <t>怀化市梦农科技有限责任公司</t>
  </si>
  <si>
    <t>果酒;烈酒;葡萄酒;⽶酒;含酒精⽔果饮料;烧酒;⽩酒;杨梅酒;甜酒;⾕物制蒸馏酒精饮料</t>
  </si>
  <si>
    <t>君封颂粤</t>
  </si>
  <si>
    <t>贵州朝品坊酒业有限公司</t>
  </si>
  <si>
    <t>葡萄酒;烧酒;⽩酒;烈酒（饮料）;酒精饮料（啤酒除外）;⽶酒;⽼酒（中国蒸馏烈酒）;果酒（含酒精）;利⼝酒;开胃酒</t>
  </si>
  <si>
    <t>汣仙子</t>
  </si>
  <si>
    <t>马建平</t>
  </si>
  <si>
    <t>果酒（含酒精）;葡萄酒;⻩酒;⽩酒;⾷⽤酒精;⽩兰地;鸡尾酒;含⽔果酒精饮料;⽶酒;酒精饮料（啤酒除外）</t>
  </si>
  <si>
    <t>美叽和大鼠</t>
  </si>
  <si>
    <t>胡月</t>
  </si>
  <si>
    <t>鸡尾酒;⽶酒;⽩酒;烈酒（饮料）;烧酒;果酒（含酒精）;清酒（⽇本⽶酒）;葡萄酒;威⼠忌;蒸馏饮料</t>
  </si>
  <si>
    <t>味觉欢</t>
  </si>
  <si>
    <t>品答(杭州)生鲜科技有限公司</t>
  </si>
  <si>
    <t>⽩酒;烧酒;果酒（含酒精）;葡萄酒;佐餐酒;⻩酒;酒精饮料原汁;⽶酒;含酒精⽔果饮料;清酒</t>
  </si>
  <si>
    <t>龟醒堂</t>
  </si>
  <si>
    <t>李佳栋</t>
  </si>
  <si>
    <t>⽩兰地;⽩酒;葡萄酒;⻩酒;酒精饮料（啤酒除外）;含⽔果酒精饮料;果酒（含酒精）;⽶酒;⾷⽤酒精;鸡尾酒</t>
  </si>
  <si>
    <t>梦禾玺</t>
  </si>
  <si>
    <t>酒精饮料原汁;⻩酒;清酒;⾼粱酒;葡萄酒;果酒（含酒精）;⽩酒;烧酒（烈酒）;⽶酒;酒精饮料（啤酒除外）</t>
  </si>
  <si>
    <t>传品道</t>
  </si>
  <si>
    <t>杨斌</t>
  </si>
  <si>
    <t>果酒（含酒精）;烈酒（饮料）;⽩酒;葡萄酒;⾕物制蒸馏酒精饮料;露酒;⽶酒;苹果酒;餐后酒（利⼝酒和烈酒）;蒸馏饮料</t>
  </si>
  <si>
    <t>耐博德</t>
  </si>
  <si>
    <t>广州耐博德汽车零部件有限公司</t>
  </si>
  <si>
    <t>威⼠忌;⽩酒;烧酒;含⽔果酒精饮料;⽶酒;烈酒（饮料）;葡萄酒;果酒（含酒精）;清酒;苹果酒</t>
  </si>
  <si>
    <t>萨凡纳彼得森</t>
  </si>
  <si>
    <t>彼得森酒业有限公司</t>
  </si>
  <si>
    <t>清酒;含⽔果酒精饮料;酒精饮料浓缩汁;以葡萄酒为主的饮料;葡萄酒;鸡尾酒;含酒精的⽔果鸡尾酒饮料;果酒（含酒精）;苹果酒;含酒精的饮料（啤酒除外）</t>
  </si>
  <si>
    <t>巨鹏鑫</t>
  </si>
  <si>
    <t>李娅142323********0249</t>
  </si>
  <si>
    <t>蒸煮提取物（利⼝酒和烈酒）;烧酒;开胃酒;⽩酒;苦味酒;含⽔果酒精饮料;⽶酒;酒精饮料（啤酒除外）;葡萄酒;果酒（含酒精）</t>
  </si>
  <si>
    <t>藏兄</t>
  </si>
  <si>
    <t>刘阳阳</t>
  </si>
  <si>
    <t>葡萄酒;⽩兰地;酒精饮料（啤酒除外）;⾷⽤酒精;⽶酒;鸡尾酒;含⽔果酒精饮料;⻩酒;⽩酒;果酒（含酒精）</t>
  </si>
  <si>
    <t>雍京坊</t>
  </si>
  <si>
    <t>宿迁市梦金亭酒业有限公司</t>
  </si>
  <si>
    <t>⽩酒;⽩⼲酒（中国⽩酒）;⽼酒（中国蒸馏烈酒）;五加⽪酒（中国混合烈酒）;烧酒（烈酒）;烈性⼲酒;烈酒;烧酒;由⾕物蒸馏的⽩酒;⾼粱酒</t>
  </si>
  <si>
    <t>常掼</t>
  </si>
  <si>
    <t>青岛同禾源贸易有限公司</t>
  </si>
  <si>
    <t>烧酒;开胃酒;⻘稞酒;⻩酒;烈酒（饮料）;葡萄酒;伏特加酒;⽩酒;⽶酒;果酒（含酒精）</t>
  </si>
  <si>
    <t>酣林歌</t>
  </si>
  <si>
    <t>陈旭英</t>
  </si>
  <si>
    <t>蒸煮提取物（利⼝酒和烈酒）;⽶酒;⽩酒;烧酒;果酒（含酒精）;⾷⽤酒精;酒精饮料浓缩汁;酒精饮料（啤酒除外）;葡萄酒;烧酒（烈酒）</t>
  </si>
  <si>
    <t>乐亭县金正商贸有限公司</t>
  </si>
  <si>
    <t>⻩酒;伏特加酒;酒精饮料（啤酒除外）;红葡萄酒;烧酒;⽩酒;⽶酒;烈酒（饮料）;鸡尾酒;苹果酒</t>
  </si>
  <si>
    <t>巴溪醇</t>
  </si>
  <si>
    <t>叶映</t>
  </si>
  <si>
    <t>由⾕物蒸馏的⽩酒;⽩酒;⽩⼲酒（中国⽩酒）;红葡萄酒;烧酒;⽼酒（中国蒸馏烈酒）</t>
  </si>
  <si>
    <t>英力宝</t>
  </si>
  <si>
    <t>⻩酒;果酒;草本型利⼝酒;葡萄酒;预调甜酒;⽩酒;酒精饮料（啤酒除外）;⽶酒;已调味的蒸馏酒;烧酒</t>
  </si>
  <si>
    <t>雅感</t>
  </si>
  <si>
    <t>甜酒;梅酒;⽩酒;⾼粱酒;果酒（含酒精）;⽶酒;烈酒;草莓酒;清酒;酸酒（低等葡萄酒）</t>
  </si>
  <si>
    <t>粱鼎典</t>
  </si>
  <si>
    <t>酒精饮料浓缩汁;蒸煮提取物（利⼝酒和烈酒）;⽩酒;酒精饮料（啤酒除外）;葡萄酒;⾷⽤酒精;⽶酒;烧酒;烧酒（烈酒）;果酒（含酒精）</t>
  </si>
  <si>
    <t>山西中煤基建建筑工程有限公司</t>
  </si>
  <si>
    <t>⻩酒;蜂蜜酒;酒精饮料（啤酒除外）;烧酒;开胃酒;烈酒（饮料）;⾕物制蒸馏酒精饮料;⽩酒;葡萄酒;⻘稞酒</t>
  </si>
  <si>
    <t>常社川</t>
  </si>
  <si>
    <t>郭志波</t>
  </si>
  <si>
    <t>⽩酒;烧酒;蒸煮提取物（利⼝酒和烈酒）;果酒（含酒精）;葡萄酒;烈酒（饮料）;⽶酒;利⼝酒;酒精饮料（啤酒除外）;含⽔果酒精饮料</t>
  </si>
  <si>
    <t>闽合聚</t>
  </si>
  <si>
    <t>⽩酒;⽶酒;烧酒;果酒（含酒精）;餐后酒（利⼝酒和烈酒）;⻩酒;烈酒（饮料）;葡萄酒;酒精饮料（啤酒除外）;酒精饮料原汁</t>
  </si>
  <si>
    <t>牧谷尚果</t>
  </si>
  <si>
    <t>宁夏牧谷尚果农业科技有限公司</t>
  </si>
  <si>
    <t>果酒（含酒精）;红葡萄酒;伏特加酒;⼲型苹果酒;⽩⼲酒（中国⽩酒）;⽶酒;混合威⼠忌酒;利⼝酒;薄荷酒;朗姆酒</t>
  </si>
  <si>
    <t>盛青枫</t>
  </si>
  <si>
    <t>广西盛青枫食品有限公司</t>
  </si>
  <si>
    <t>烧酒;⾷⽤酒精;威⼠忌;⽩酒;⽶酒;鸡尾酒;⻩酒;果酒;清酒;葡萄酒</t>
  </si>
  <si>
    <t>绸都洞</t>
  </si>
  <si>
    <t>四川锦龙香农业有限公司</t>
  </si>
  <si>
    <t>伏特加酒;葡萄酒;果酒（含酒精）;⻩酒;烧酒;威⼠忌;由⾕物蒸馏的⽩酒;蜂蜜酒;⽩酒;樱桃酒</t>
  </si>
  <si>
    <t>充洞</t>
  </si>
  <si>
    <t>⽩酒;果酒（含酒精）;由⾕物蒸馏的⽩酒;蜂蜜酒;⻩酒;威⼠忌;葡萄酒;烧酒;伏特加酒;樱桃酒</t>
  </si>
  <si>
    <t>佳市君品</t>
  </si>
  <si>
    <t>黑龙江君品纯粮酒业有限公司</t>
  </si>
  <si>
    <t>⻘稞酒;⻩酒;烈酒（饮料）;果酒（含酒精）;威⼠忌;含⽔果酒精饮料;⾷⽤酒精;烧酒;葡萄酒;⽩酒</t>
  </si>
  <si>
    <t>汣太公</t>
  </si>
  <si>
    <t>葡萄酒;果酒（含酒精）;⽩兰地;⾷⽤酒精;⽩酒;含⽔果酒精饮料;⽶酒;⻩酒;鸡尾酒;酒精饮料（啤酒除外）</t>
  </si>
  <si>
    <t>义聚永</t>
  </si>
  <si>
    <t>葡萄酒;烈酒（饮料）;酒精饮料原汁;酒精饮料（啤酒除外）;酒精饮料浓缩汁;⽩酒;蜂蜜酒;⽶酒;⻩酒;果酒（含酒精）</t>
  </si>
  <si>
    <t>阿汕</t>
  </si>
  <si>
    <t>惠州正正品牌管理有限公司</t>
  </si>
  <si>
    <t>⽩酒;葡萄酒;甜酒;⾷⽤酒精;果酒（含酒精）;⽶酒;苦味酒;鸡尾酒;酒精饮料（啤酒除外）;⻩酒</t>
  </si>
  <si>
    <t>巧滇圆</t>
  </si>
  <si>
    <t>巧滇园（巧家县）食品有限公司</t>
  </si>
  <si>
    <t>⽼酒（中国蒸馏烈酒）;清酒;⾼粱酒;果酒;葡萄酒;⻩酒;烈酒;烧酒;甜酒;⽩酒</t>
  </si>
  <si>
    <t>晋弟</t>
  </si>
  <si>
    <t>李帅</t>
  </si>
  <si>
    <t>⽶酒;⻩酒;⾷⽤酒精;⽩酒;含⽔果酒精饮料;葡萄酒;酒精饮料（啤酒除外）;果酒（含酒精）;鸡尾酒;⽩兰地</t>
  </si>
  <si>
    <t>熊猫乖乖</t>
  </si>
  <si>
    <t>马莉娅</t>
  </si>
  <si>
    <t>⽶酒;⾷⽤酒精;开胃酒;葡萄酒;⻩酒;果酒（含酒精）;烧酒;威⼠忌;⽩酒;烈酒（饮料）</t>
  </si>
  <si>
    <t>庭满峰</t>
  </si>
  <si>
    <t>王浩</t>
  </si>
  <si>
    <t>烧酒;果酒（含酒精）;蒸馏饮料;清酒;威⼠忌;含⽔果酒精饮料;⽩酒;酒精饮料原汁;烈酒（饮料）;鸡尾酒</t>
  </si>
  <si>
    <t>卡厘</t>
  </si>
  <si>
    <t>广州慕可生物科技有限公司</t>
  </si>
  <si>
    <t>果酒（含酒精）;酒精饮料浓缩汁;葡萄酒;⾷⽤酒精;⽩酒;鸡尾酒;朝鲜族⽶酒;薄荷酒;烈酒（饮料）;亚⼒酒</t>
  </si>
  <si>
    <t>麦小乙</t>
  </si>
  <si>
    <t>河北位桥臻好食品有限公司</t>
  </si>
  <si>
    <t>烧酒;⽩酒;⽩⼲酒（中国⽩酒）;苹果酒;⻩酒;含酒精⽔果饮料;果酒（含酒精）;开胃酒;葡萄酒;威⼠忌</t>
  </si>
  <si>
    <t>蒙皇蓉</t>
  </si>
  <si>
    <t>黄千里</t>
  </si>
  <si>
    <t>葡萄酒;烧酒;⽩酒;开胃酒;果酒（含酒精）;威⼠忌;酒精饮料（啤酒除外）;苹果酒;⻘稞酒;鸡尾酒</t>
  </si>
  <si>
    <t>睿霖</t>
  </si>
  <si>
    <t>深圳市睿霖科技有限公司</t>
  </si>
  <si>
    <t>薄荷酒;以葡萄酒为主的饮料;苹果酒;威⼠忌;⽩兰地;酒精饮料（啤酒除外）;葡萄酒;⻩酒;鸡尾酒;⽩酒</t>
  </si>
  <si>
    <t>芙摩</t>
  </si>
  <si>
    <t>伏特加酒;酒精饮料（啤酒除外）;⻩酒;⾼粱酒;烈酒（饮料）;果酒（含酒精）;⽩酒;⽶酒;葡萄酒;鸡尾酒</t>
  </si>
  <si>
    <t>三富淼</t>
  </si>
  <si>
    <t>贵州省仁怀市三富淼种植农民专业合作社</t>
  </si>
  <si>
    <t>⻩酒;⾕物制蒸馏酒精饮料;威⼠忌;烈酒（饮料）;葡萄酒;果酒（含酒精）;⽩酒;烧酒;伏特加酒;酒精饮料浓缩汁</t>
  </si>
  <si>
    <t>凌坤源</t>
  </si>
  <si>
    <t>杨凌</t>
  </si>
  <si>
    <t>⽶酒;烧酒;⻩酒;酒精饮料原汁;葡萄酒;汽酒;以葡萄酒为主的开胃酒;果酒;⾼粱酒;⽩酒</t>
  </si>
  <si>
    <t>杏福雅</t>
  </si>
  <si>
    <t>开胃酒;烈酒（饮料）;⽶酒;果酒（含酒精）;⾼粱酒;⽩酒;利⼝酒;⻩酒;⾷⽤酒精;烧酒</t>
  </si>
  <si>
    <t>奉天老种</t>
  </si>
  <si>
    <t>杨辉</t>
  </si>
  <si>
    <t>开胃酒;露酒;由⾕物蒸馏的⽩酒;苦味酒;甜酒;汽酒;清酒;松叶酒;梅酒;亚⼒酒</t>
  </si>
  <si>
    <t>卮钰酒</t>
  </si>
  <si>
    <t>酒精饮料（啤酒除外）;烧酒;⾕物制蒸馏酒精饮料;⻘稞酒;⽩酒;开胃酒;⻩酒;烈酒（饮料）;葡萄酒;蜂蜜酒</t>
  </si>
  <si>
    <t>深圳市超达水务有限公司</t>
  </si>
  <si>
    <t>果酒（含酒精）;烧酒（烈酒）;⽩酒;红葡萄酒;酒精饮料原汁;含酒精的饮料（啤酒除外）;酒精饮料（啤酒除外）;⾕物制蒸馏酒精饮料;威⼠忌;烧酒</t>
  </si>
  <si>
    <t>简尼夫</t>
  </si>
  <si>
    <t>扬州霖茂酒业有限公司</t>
  </si>
  <si>
    <t>烈酒（饮料）;果酒（含酒精）;酒精饮料原汁;酒精饮料（啤酒除外）;⽩酒;蜂蜜酒;⽶酒;鸡尾酒;葡萄酒;苹果酒</t>
  </si>
  <si>
    <t>香莫</t>
  </si>
  <si>
    <t>⽶酒;⾼粱酒;葡萄酒;果酒（含酒精）;⽩酒;⻩酒;酒精饮料（啤酒除外）;鸡尾酒;伏特加酒;烈酒（饮料）</t>
  </si>
  <si>
    <t>闽昌隆</t>
  </si>
  <si>
    <t>杨松雨</t>
  </si>
  <si>
    <t>烧酒;酒精饮料（啤酒除外）;餐后酒（利⼝酒和烈酒）;⻩酒;葡萄酒;酒精饮料原汁;果酒（含酒精）;⽩酒;⽶酒;烈酒（饮料）</t>
  </si>
  <si>
    <t>欧普</t>
  </si>
  <si>
    <t>欧普照明股份有限公司</t>
  </si>
  <si>
    <t>⽩酒;薄荷酒;⾷⽤酒精;清酒;果酒（含酒精）;烧酒;⽩兰地;葡萄酒;蒸煮提取物（利⼝酒和烈酒）;酒精饮料（啤酒除外）</t>
  </si>
  <si>
    <t>观濑</t>
  </si>
  <si>
    <t>⽩酒;葡萄酒;⽩兰地;伏特加酒;除啤酒外的酒精饮料;清酒（⽇本⽶酒）;烈酒;⻩酒;果酒（含酒精）;汽酒</t>
  </si>
  <si>
    <t>大运祥</t>
  </si>
  <si>
    <t>⽩兰地;伏特加酒;除啤酒外的酒精饮料;果酒（含酒精）;烈酒;汽酒;⻩酒;⽩酒;葡萄酒;清酒（⽇本⽶酒）</t>
  </si>
  <si>
    <t>贵香溢</t>
  </si>
  <si>
    <t>李宁</t>
  </si>
  <si>
    <t>果酒（含酒精）;⻩酒;葡萄酒;酒精饮料（啤酒除外）;⽩酒;鸡尾酒;⽩兰地;⽶酒;⾷⽤酒精;含⽔果酒精饮料</t>
  </si>
  <si>
    <t>匡信·传承</t>
  </si>
  <si>
    <t>吴菊生</t>
  </si>
  <si>
    <t>⽩酒;餐后酒（利⼝酒和烈酒）;果酒（含酒精）;葡萄酒;⻩酒;⽶酒;酒精饮料原汁;烈酒（饮料）;酒精饮料（啤酒除外）;烧酒</t>
  </si>
  <si>
    <t>盛醇年</t>
  </si>
  <si>
    <t>烧酒（烈酒）;⾷⽤酒精;⽩酒;酒精饮料浓缩汁;⽶酒;果酒（含酒精）;酒精饮料（啤酒除外）;蒸煮提取物（利⼝酒和烈酒）;葡萄酒;烧酒</t>
  </si>
  <si>
    <t>曹幽桐</t>
  </si>
  <si>
    <t>⽩⼲酒（中国⽩酒）;⽩酒;烈酒;⽼酒（中国蒸馏烈酒）;含酒精的充⽓饮料（啤酒除外）;含酒精的⽔果鸡尾酒饮料;葡萄酒;⽶酒;⻩酒;果酒;鸡尾酒</t>
  </si>
  <si>
    <t>晋介湖</t>
  </si>
  <si>
    <t>高长治</t>
  </si>
  <si>
    <t>⽶酒;酒精饮料原汁;⽩酒;果酒（含酒精）;鸡尾酒;含⽔果酒精饮料;蒸馏饮料;烈酒（饮料）;以葡萄酒为主的饮料;⾕物制蒸馏酒精饮料</t>
  </si>
  <si>
    <t>赢养优</t>
  </si>
  <si>
    <t>果酒;甜酒;⻩酒;开胃酒;葡萄酒;⾷⽤酒精;汽酒;清酒;⽩酒;⽶酒</t>
  </si>
  <si>
    <t>御第乡</t>
  </si>
  <si>
    <t>贵州茅润酒业（集团）有限公司</t>
  </si>
  <si>
    <t>烈酒（饮料）;⾕物制蒸馏酒精饮料;⽩酒;餐后酒（利⼝酒和烈酒）;⽶酒;苹果酒;葡萄酒;露酒;蒸馏饮料;果酒（含酒精）</t>
  </si>
  <si>
    <t>沈粮台</t>
  </si>
  <si>
    <t>朱万国</t>
  </si>
  <si>
    <t>果酒;⻩酒;⽩兰地;葡萄酒;⽩酒;苦味酒;⽶酒;开胃酒;烧酒;伏特加酒</t>
  </si>
  <si>
    <t>二木先生</t>
  </si>
  <si>
    <t>成都二木堂文化传播有限公司</t>
  </si>
  <si>
    <t>⽩兰地;梨酒;果酒（含酒精）;烈酒（饮料）;汽酒;⻩酒;威⼠忌;⽶酒;⽩酒;清酒（⽇本⽶酒）</t>
  </si>
  <si>
    <t>CHEZMOI</t>
  </si>
  <si>
    <t>北京好蕴酒业有限公司</t>
  </si>
  <si>
    <t>果酒（含酒精）;烈酒（饮料）;甜酒;清酒（⽇本⽶酒）;⽩酒;⻩酒;葡萄酒;⽶酒;烧酒;酒精饮料（啤酒除外）</t>
  </si>
  <si>
    <t>金品浔</t>
  </si>
  <si>
    <t>黄贱云</t>
  </si>
  <si>
    <t>酒精饮料（啤酒除外）;餐后酒（利⼝酒和烈酒）;⻩酒;⽩酒;酒精饮料原汁;果酒（含酒精）;烧酒;⽶酒;葡萄酒;烈酒（饮料）</t>
  </si>
  <si>
    <t>真旺</t>
  </si>
  <si>
    <t>北京沁宜堂中医学研究院有限公司</t>
  </si>
  <si>
    <t>含酒精的⽓泡⽔;⾷⽤酒精;露酒;含⽔果酒精饮料;蒸馏饮料;⽼酒（中国蒸馏烈酒）;⽩酒;酒精饮料（啤酒除外）;酒精饮料原汁;开胃酒</t>
  </si>
  <si>
    <t>佬坛梦</t>
  </si>
  <si>
    <t>马泽鹏</t>
  </si>
  <si>
    <t>葡萄酒;果酒（含酒精）;⻩酒;⽩酒;⽶酒;⽩兰地;酒精饮料（啤酒除外）;⾷⽤酒精;含⽔果酒精饮料;鸡尾酒</t>
  </si>
  <si>
    <t>GALACAN</t>
  </si>
  <si>
    <t>成都赛迪科生物科技有限公司</t>
  </si>
  <si>
    <t>果酒（含酒精）;⽩酒;蒸馏饮料;烧酒;酒精饮料（啤酒除外）;含酒精的鸡尾酒混合饮品;酒精饮料浓缩汁;预先混合的酒精饮料（以啤酒为主的除外）;含酒精的⽓泡⽔;汽酒</t>
  </si>
  <si>
    <t>奢秀</t>
  </si>
  <si>
    <t>张葆华</t>
  </si>
  <si>
    <t>⻩酒;⽩酒;葡萄酒;烧酒;威⼠忌;蒸馏饮料;鸡尾酒;⽩兰地;⽶酒;果酒（含酒精）</t>
  </si>
  <si>
    <t>维奈</t>
  </si>
  <si>
    <t>张龙涛</t>
  </si>
  <si>
    <t>⾼粱酒;烈酒（饮料）;⽩酒;鸡尾酒;伏特加酒;⻩酒;酒精饮料（啤酒除外）;⽶酒;葡萄酒;果酒（含酒精）</t>
  </si>
  <si>
    <t>五色蝉</t>
  </si>
  <si>
    <t>韩广涛</t>
  </si>
  <si>
    <t>⽶酒;⻩酒;⽼酒（中国蒸馏烈酒）;红葡萄酒;已调味的蒸馏酒;烧酒;⽩酒;烧酒（烈酒）;朝鲜烧酒;烈酒（饮料）</t>
  </si>
  <si>
    <t>喜鼎运</t>
  </si>
  <si>
    <t>烈酒（饮料）;烧酒;⽩酒;酒精饮料（啤酒除外）;⻩酒;葡萄酒;餐后酒（利⼝酒和烈酒）;酒精饮料原汁;果酒（含酒精）;⽶酒</t>
  </si>
  <si>
    <t>AONOSI</t>
  </si>
  <si>
    <t>广东宏强酒厂有限责任公司</t>
  </si>
  <si>
    <t>开胃酒;利⼝酒;⽶酒;⽩酒;酒精饮料（啤酒除外）;葡萄酒;烧酒;鸡尾酒;⽩兰地;威⼠忌</t>
  </si>
  <si>
    <t>京台赢滨</t>
  </si>
  <si>
    <t>葡萄酒;⻩酒;烈酒（饮料）;果酒（含酒精）;除啤酒外的酒精饮料;⽩⼲酒（中国⽩酒）;⽩酒;蒸馏饮料;鸡尾酒;由⾕物蒸馏的⽩酒</t>
  </si>
  <si>
    <t>佬白魂</t>
  </si>
  <si>
    <t>马延峰</t>
  </si>
  <si>
    <t>果酒（含酒精）;⽶酒;葡萄酒;酒精饮料（啤酒除外）;⾷⽤酒精;鸡尾酒;⽩兰地;含⽔果酒精饮料;⻩酒;⽩酒</t>
  </si>
  <si>
    <t>梓仙</t>
  </si>
  <si>
    <t>康小军</t>
  </si>
  <si>
    <t>⽶酒;果酒;葡萄酒;⽩兰地;⽩酒;蒸馏饮料;含酒精的⽓泡⽔;汽酒;⻩酒;烧酒</t>
  </si>
  <si>
    <t>延北情</t>
  </si>
  <si>
    <t>榆林市延北石油化工能源开发有限公司</t>
  </si>
  <si>
    <t>果酒;⽶酒;预先混合的酒精饮料（以啤酒为主的除外）;⻩酒;清酒;含⽔果酒精饮料;葡萄酒;酒精饮料原汁;⽩酒;烧酒</t>
  </si>
  <si>
    <t>雪春町</t>
  </si>
  <si>
    <t>王福军</t>
  </si>
  <si>
    <t>鸡尾酒;清酒;⽩酒;威⼠忌;含⽔果酒精饮料;烧酒;果酒（含酒精）;烈酒（饮料）;蒸馏饮料;酒精饮料原汁</t>
  </si>
  <si>
    <t>忻吕布泉</t>
  </si>
  <si>
    <t>定襄县七宝泉酒业有限公司</t>
  </si>
  <si>
    <t>烈酒（饮料）;威⼠忌;烧酒;⻩酒;⾷⽤酒精;酒精饮料（啤酒除外）;⽶酒;⽩酒;葡萄酒;酒精饮料原汁</t>
  </si>
  <si>
    <t>同粹坊</t>
  </si>
  <si>
    <t>果酒（含酒精）;⽩兰地;伏特加酒;汽酒;烈酒;⽩酒;除啤酒外的酒精饮料;葡萄酒;清酒（⽇本⽶酒）;⻩酒</t>
  </si>
  <si>
    <t>晋开心</t>
  </si>
  <si>
    <t>马程涵</t>
  </si>
  <si>
    <t>⽩兰地;果酒（含酒精）;鸡尾酒;葡萄酒;⽩酒;⾷⽤酒精;酒精饮料（啤酒除外）;含⽔果酒精饮料;⽶酒;⻩酒</t>
  </si>
  <si>
    <t>酒精饮料原汁;酒精饮料（啤酒除外）;蜂蜜酒;果酒（含酒精）;烈酒（饮料）;⽩酒;葡萄酒;⻩酒;酒精饮料浓缩汁;⽶酒</t>
  </si>
  <si>
    <t>皇奈</t>
  </si>
  <si>
    <t>⾼粱酒;鸡尾酒;伏特加酒;⽶酒;烈酒（饮料）;⻩酒;酒精饮料（啤酒除外）;葡萄酒;果酒（含酒精）;⽩酒</t>
  </si>
  <si>
    <t>本原拙玉</t>
  </si>
  <si>
    <t>杭州米鱼文化传媒有限公司</t>
  </si>
  <si>
    <t>⽶酒;鸡尾酒;⻩酒;樱桃酒;清酒（⽇本⽶酒）;果酒（含酒精）;苹果酒;蜂蜜酒;薄荷酒;梨酒</t>
  </si>
  <si>
    <t>青禾砻液</t>
  </si>
  <si>
    <t>柯江</t>
  </si>
  <si>
    <t>⽩酒;清酒（⽇本⽶酒）;蜂蜜酒;⽶酒;含⽔果酒精饮料;果酒（含酒精）;⻩酒;烧酒;酒精饮料（啤酒除外）;预先混合的酒精饮料（以啤酒为主的除外）</t>
  </si>
  <si>
    <t>聪牛</t>
  </si>
  <si>
    <t>广州聪牛科技有限公司</t>
  </si>
  <si>
    <t>汽酒;威⼠忌;酒精饮料（啤酒除外）;果酒;清酒;鸡尾酒;⽩酒;⽶酒;烈酒;葡萄酒</t>
  </si>
  <si>
    <t>莹梅吧</t>
  </si>
  <si>
    <t>怀化市侗乡花食品有限公司</t>
  </si>
  <si>
    <t>烈酒（饮料）;⾷⽤酒精;蒸馏饮料;汽酒;葡萄酒;果酒（含酒精）;⽩酒;⽶酒;酒精饮料（啤酒除外）;鸡尾酒</t>
  </si>
  <si>
    <t>DAISHGLS</t>
  </si>
  <si>
    <t>深圳市美视优文化传媒有限公司</t>
  </si>
  <si>
    <t>葡萄酒;利⼝酒;果酒;威⼠忌;鸡尾酒;烈酒;酒精饮料（啤酒除外）;⽩兰地;⽩酒;朗姆酒</t>
  </si>
  <si>
    <t>倍巨</t>
  </si>
  <si>
    <t>马艳艳</t>
  </si>
  <si>
    <t>⽩酒;⽶酒;葡萄酒;开胃酒;⻩酒;甜酒;⾷⽤酒精;果酒;清酒;汽酒</t>
  </si>
  <si>
    <t>贝贝鹅</t>
  </si>
  <si>
    <t>中联时代（莆田）商贸有限公司</t>
  </si>
  <si>
    <t>果酒（含酒精）;含酒精的⽓泡⽔;⽶酒;已调味的⻨芽酿制的酒精饮料（啤酒除外）;⽩酒;烈酒（饮料）;烧酒;鸡尾酒;含⽔果酒精饮料;葡萄酒</t>
  </si>
  <si>
    <t>粱云涧</t>
  </si>
  <si>
    <t>⽶酒;⽩酒;⾷⽤酒精;酒精饮料（啤酒除外）;蒸煮提取物（利⼝酒和烈酒）;烧酒（烈酒）;酒精饮料浓缩汁;葡萄酒;烧酒;果酒（含酒精）</t>
  </si>
  <si>
    <t>醇千啸</t>
  </si>
  <si>
    <t>⾷⽤酒精;果酒（含酒精）;烧酒（烈酒）;蒸煮提取物（利⼝酒和烈酒）;酒精饮料（啤酒除外）;⽶酒;⽩酒;酒精饮料浓缩汁;烧酒;葡萄酒</t>
  </si>
  <si>
    <t>精武风范</t>
  </si>
  <si>
    <t>天津杨柳青莲年有余文化发展有限公司</t>
  </si>
  <si>
    <t>⽩酒;烧酒;鸡尾酒;⽼酒（中国蒸馏烈酒）;果酒（含酒精）;酒精饮料（啤酒除外）;⻩酒;葡萄酒;⽶酒;开胃酒</t>
  </si>
  <si>
    <t>笼熏沙</t>
  </si>
  <si>
    <t>利⼝酒;⽼酒（中国蒸馏烈酒）;⾕物制蒸馏酒精饮料;⻩酒;酒精饮料（啤酒除外）;露酒;清酒;梅酒;⾷⽤酒精;黑覆盆⼦酒</t>
  </si>
  <si>
    <t>杏源山</t>
  </si>
  <si>
    <t>清酒;⽶酒;⻩酒;葡萄酒;⾷⽤酒精;果酒;烈酒;烧酒;⽩酒;除啤酒外的酒精饮料</t>
  </si>
  <si>
    <t>龟效堂</t>
  </si>
  <si>
    <t>葡萄酒;⽩兰地;⽶酒;⾷⽤酒精;果酒（含酒精）;鸡尾酒;酒精饮料（啤酒除外）;含⽔果酒精饮料;⻩酒;⽩酒</t>
  </si>
  <si>
    <t>和熹皇后</t>
  </si>
  <si>
    <t>刘宏</t>
  </si>
  <si>
    <t>烈酒;葡萄酒;酒精饮料（啤酒除外）;果酒（含酒精）;⽼酒（中国蒸馏烈酒）;⻩酒;⻘稞酒;汽酒;清酒（⽇本⽶酒）;⽶酒</t>
  </si>
  <si>
    <t>禾玺伯乐</t>
  </si>
  <si>
    <t>⻩酒;果酒（含酒精）;酒精饮料原汁;烧酒（烈酒）;酒精饮料（啤酒除外）;清酒;⾼粱酒;⽩酒;葡萄酒;⽶酒</t>
  </si>
  <si>
    <t>湘爱</t>
  </si>
  <si>
    <t>李春辉</t>
  </si>
  <si>
    <t>⽩兰地;葡萄酒;果酒（含酒精）;⻩酒;⽩酒;酒精饮料（啤酒除外）;烈酒（饮料）;开胃酒;⽶酒;鸡尾酒</t>
  </si>
  <si>
    <t>浪北北</t>
  </si>
  <si>
    <t>博凯（大连）企业管理有限公司</t>
  </si>
  <si>
    <t>⻘稞酒;⽩酒;开胃酒;清酒（⽇本⽶酒）;葡萄酒;果酒（含酒精）;⽶酒;烧酒;⻩酒;餐后酒（利⼝酒和烈酒）</t>
  </si>
  <si>
    <t>赤焰马</t>
  </si>
  <si>
    <t>义乌市贝晟贸易有限公司</t>
  </si>
  <si>
    <t>鸡尾酒;葡萄酒;烈酒（饮料）;⽩兰地;⽩酒;⻩酒;烧酒;果酒（含酒精）;酒精饮料（啤酒除外）;伏特加酒</t>
  </si>
  <si>
    <t>江河瀑布</t>
  </si>
  <si>
    <t>陈小敏</t>
  </si>
  <si>
    <t>果酒（含酒精）;烧酒;⽶酒;葡萄酒;蒸馏饮料;⽩酒;开胃酒;鸡尾酒;烈酒;⾼粱酒</t>
  </si>
  <si>
    <t>贵满华</t>
  </si>
  <si>
    <t>烧酒;⽶酒;⾷⽤酒精;⻩酒;葡萄酒;除啤酒外的酒精饮料;清酒;烈酒;⽩酒;果酒</t>
  </si>
  <si>
    <t>骆驼坳叶氏</t>
  </si>
  <si>
    <t>叶威</t>
  </si>
  <si>
    <t>威⼠忌;酒精饮料（啤酒除外）;含⽔果酒精饮料;⻩酒;烈酒（饮料）;酒精饮料原汁;⽩酒;⽶酒;烧酒;果酒（含酒精）</t>
  </si>
  <si>
    <t>翠陇盛丰</t>
  </si>
  <si>
    <t>杨义斌(612132********0410)</t>
  </si>
  <si>
    <t>⻩酒;⽶酒;⽩酒;以葡萄酒为主的饮料;⽩⼲酒（中国⽩酒）;红葡萄酒;果酒;烧酒;已调味的⻨芽酿制的酒精饮料（啤酒除外）;调制好的葡萄酒鸡尾酒</t>
  </si>
  <si>
    <t>⽩兰地;烈酒（饮料）;⽶酒;⽩酒;⻩酒;威⼠忌;果酒（含酒精）;梨酒;汽酒;清酒（⽇本⽶酒）</t>
  </si>
  <si>
    <t>香摩</t>
  </si>
  <si>
    <t>⾼粱酒;葡萄酒;伏特加酒;烈酒（饮料）;果酒（含酒精）;酒精饮料（啤酒除外）;鸡尾酒;⽩酒;⽶酒;⻩酒</t>
  </si>
  <si>
    <t>青禾龙液</t>
  </si>
  <si>
    <t>果酒（含酒精）;预先混合的酒精饮料（以啤酒为主的除外）;⻩酒;蜂蜜酒;含⽔果酒精饮料;酒精饮料（啤酒除外）;清酒（⽇本⽶酒）;⽶酒;⽩酒;烧酒</t>
  </si>
  <si>
    <t>因用堂</t>
  </si>
  <si>
    <t>因用堂（杭州）文化传播有限公司</t>
  </si>
  <si>
    <t>酒精饮料浓缩汁;含⽔果酒精饮料;⻩酒;酒精饮料（啤酒除外）;⽩酒;烧酒;果酒（含酒精）;开胃酒;⾷⽤酒精;⽶酒</t>
  </si>
  <si>
    <t>香诺</t>
  </si>
  <si>
    <t>⻩酒;果酒（含酒精）;⽩酒;⾼粱酒;伏特加酒;葡萄酒;烈酒（饮料）;酒精饮料（啤酒除外）;鸡尾酒;⽶酒</t>
  </si>
  <si>
    <t>中匠忆</t>
  </si>
  <si>
    <t>徐国仙</t>
  </si>
  <si>
    <t>果酒（含酒精）;⾕物制蒸馏酒精饮料;餐后酒（利⼝酒和烈酒）;烈酒（饮料）;露酒;葡萄酒;蒸馏饮料;⽶酒;苹果酒;⽩酒</t>
  </si>
  <si>
    <t>骏跃</t>
  </si>
  <si>
    <t>通化市蔚岚经贸有限公司</t>
  </si>
  <si>
    <t>⽩兰地;⾕物制蒸馏酒精饮料;开胃酒;利⼝酒;⽩酒;蒸馏饮料;蒸煮提取物（利⼝酒和烈酒）;葡萄汽酒;葡萄酒;果酒（含酒精）</t>
  </si>
  <si>
    <t>明连升</t>
  </si>
  <si>
    <t>健家科技（河北）有限公司</t>
  </si>
  <si>
    <t>蒸馏饮料;⽩兰地;⻩酒;汽酒;⽩酒;果酒（含酒精）;清酒;酒精饮料（啤酒除外）;葡萄酒;⽶酒</t>
  </si>
  <si>
    <t>蜂蜜酒;⽶酒;果酒（含酒精）;葡萄酒;⻩酒;酒精饮料原汁;⽩酒;酒精饮料浓缩汁;烈酒（饮料）;酒精饮料（啤酒除外）</t>
  </si>
  <si>
    <t>葡萄酒;⽩酒;果酒（含酒精）;烈酒（饮料）;酒精饮料原汁;⽶酒;⻩酒;酒精饮料浓缩汁;蜂蜜酒;酒精饮料（啤酒除外）</t>
  </si>
  <si>
    <t>钰贡台</t>
  </si>
  <si>
    <t>贵州钰贡台酒业有限公司</t>
  </si>
  <si>
    <t>酒精饮料（啤酒除外）;果酒;⽩酒;⻘稞酒;⾼粱酒;⻩酒;鸡尾酒;⽶酒;威⼠忌;烧酒</t>
  </si>
  <si>
    <t>启居</t>
  </si>
  <si>
    <t>启居电子商务（上海）有限公司</t>
  </si>
  <si>
    <t>蜂蜜酒;苹果酒;⽩兰地;威⼠忌;⽶酒;鸡尾酒;葡萄酒;开胃酒;酒精饮料原汁;⽩酒</t>
  </si>
  <si>
    <t>OPPLE</t>
  </si>
  <si>
    <t>薄荷酒;⽩酒;清酒;蒸煮提取物（利⼝酒和烈酒）;烧酒;果酒（含酒精）;葡萄酒;酒精饮料（啤酒除外）;⾷⽤酒精;⽩兰地</t>
  </si>
  <si>
    <t>黄侯</t>
  </si>
  <si>
    <t>餐后酒（利⼝酒和烈酒）;果酒（含酒精）;烧酒;⽶酒;⻩酒;酒精饮料（啤酒除外）;烈酒（饮料）;⽩酒;酒精饮料原汁;葡萄酒</t>
  </si>
  <si>
    <t>沐禧满</t>
  </si>
  <si>
    <t>吴舒敏</t>
  </si>
  <si>
    <t>清酒;蒸煮提取物（利⼝酒和烈酒）;果酒;烈酒;汽酒;酒精饮料（啤酒除外）;蒸馏饮料;葡萄酒;⽶酒;⽩酒</t>
  </si>
  <si>
    <t>汇谷</t>
  </si>
  <si>
    <t>李玉东</t>
  </si>
  <si>
    <t>酒精饮料（啤酒除外）;⻘稞酒;⽩酒;⽶酒;烧酒;⾼粱酒;露酒;果酒（含酒精）;葡萄酒;⻩酒</t>
  </si>
  <si>
    <t>2024/07/26</t>
  </si>
  <si>
    <t>喜邻</t>
  </si>
  <si>
    <t>李贵英</t>
  </si>
  <si>
    <t>葡萄酒;果酒（含酒精）;酒精饮料（啤酒除外）;⻘稞酒;烧酒;⽩酒;⾼粱酒;露酒;⽶酒;⻩酒</t>
  </si>
  <si>
    <t>品发</t>
  </si>
  <si>
    <t>梁金琼</t>
  </si>
  <si>
    <t>⻩酒;烈酒（饮料）;开胃酒;葡萄酒;威⼠忌;⽩酒;果酒（含酒精）;⽶酒;鸡尾酒;烧酒</t>
  </si>
  <si>
    <t>介悠</t>
  </si>
  <si>
    <t>湛江市佳辉贸易有限公司</t>
  </si>
  <si>
    <t>⽶酒;⽩酒;果酒;鸡尾酒;⻩酒;清酒;烈酒;烧酒;葡萄酒;⾼粱酒</t>
  </si>
  <si>
    <t>登顶九洲</t>
  </si>
  <si>
    <t>葡萄酒;鸡尾酒;⻩酒;烈酒;⽩葡萄酒;⾼粱酒;酒精饮料（啤酒除外）;⽩酒;烧酒;⽶酒</t>
  </si>
  <si>
    <t>咸淡江湖</t>
  </si>
  <si>
    <t>左延艳</t>
  </si>
  <si>
    <t>葡萄酒;⽶酒;⽩酒;酒精饮料（啤酒除外）;⽼酒（中国蒸馏烈酒）;⽩兰地;果酒（含酒精）;威⼠忌;烈酒（饮料）;⻩酒</t>
  </si>
  <si>
    <t>遵宏图</t>
  </si>
  <si>
    <t>刘辉</t>
  </si>
  <si>
    <t>⽼酒（中国蒸馏烈酒）;⽩酒;⽩⼲酒（中国⽩酒）;⾷⽤酒精;果酒;蒸馏饮料;刺五加酒;预先混合的酒精饮料（以啤酒为主的除外）;蒸煮提取物（利⼝酒和烈酒）;除啤酒外的酒精饮料</t>
  </si>
  <si>
    <t>观词</t>
  </si>
  <si>
    <t>酒精饮料（啤酒除外）;果酒;梅酒;⽶酒;甜酒;⻩酒;⽩酒;葡萄酒;汽酒;鸡尾酒</t>
  </si>
  <si>
    <t>餐桌尚</t>
  </si>
  <si>
    <t>泗洪县双沟镇胜德酒业有限公司</t>
  </si>
  <si>
    <t>含⽔果酒精饮料;果酒（含酒精）;蒸煮提取物（利⼝酒和烈酒）;蒸馏饮料;葡萄酒;鸡尾酒;酒精饮料（啤酒除外）;酒精饮料原汁;⽩酒;⾷⽤酒精</t>
  </si>
  <si>
    <t>珍好大刘家</t>
  </si>
  <si>
    <t>莲享大刘家（大连）农业发展有限公司</t>
  </si>
  <si>
    <t>烧酒;⻩酒;樱桃酒;⻘稞酒;⾕物制蒸馏酒精饮料;果酒（含酒精）;葡萄酒;⽩酒;⽶酒;蒸馏饮料</t>
  </si>
  <si>
    <t>斌承千秋</t>
  </si>
  <si>
    <t>张宝戈</t>
  </si>
  <si>
    <t>佐餐酒;葡萄酒;⽶酒;酒精饮料（啤酒除外）;⾷⽤酒精;果酒（含酒精）;烧酒;⽩酒;蒸煮提取物（利⼝酒和烈酒）;酒精饮料浓缩汁</t>
  </si>
  <si>
    <t>泉福穗佳</t>
  </si>
  <si>
    <t>李文成</t>
  </si>
  <si>
    <t>葡萄酒;⻩酒;⾷⽤酒精;已调味的⻨芽酿制的酒精饮料（啤酒除外）;⽩酒;开胃酒;⽶酒;果酒（含酒精）;⾕物制蒸馏酒精饮料;烈酒（饮料）</t>
  </si>
  <si>
    <t>粤伦</t>
  </si>
  <si>
    <t>江门市粤伦诊所有限公司</t>
  </si>
  <si>
    <t>烧酒;⽩酒;葡萄酒;⻩酒;⾷⽤酒精;鸡尾酒;果酒;⽶酒;烈酒;酒精饮料（啤酒除外）</t>
  </si>
  <si>
    <t>润禹水韵</t>
  </si>
  <si>
    <t>禹城市润禹水务有限公司</t>
  </si>
  <si>
    <t>以葡萄酒为主的开胃酒;起泡⽩葡萄酒;起泡红葡萄酒;不起泡葡萄酒;⽩葡萄酒;红葡萄酒;葡萄酒</t>
  </si>
  <si>
    <t>顶笈</t>
  </si>
  <si>
    <t>王成银</t>
  </si>
  <si>
    <t>烧酒;烈酒（饮料）;⽩酒;清酒（⽇本⽶酒）;⽶酒;烈酒;含⽔果酒精饮料;⽩⼲酒（中国⽩酒）;⾼粱酒;葡萄酒</t>
  </si>
  <si>
    <t>壹喜岛</t>
  </si>
  <si>
    <t>仓小盒（大连）科技有限公司</t>
  </si>
  <si>
    <t>蒸馏饮料;烈酒（饮料）;烧酒;⻩酒;梅酒;酒精饮料（啤酒除外）;鸡尾酒;⽶酒;⽩酒;果酒（含酒精）</t>
  </si>
  <si>
    <t>二友居西四包子铺</t>
  </si>
  <si>
    <t>北京华天饮食控股集团有限公司</t>
  </si>
  <si>
    <t>⻩酒;⽶酒;含⽔果酒精饮料;果酒（含酒精）;⽩酒;葡萄酒;⾷⽤酒精;蒸馏饮料;利⼝酒;开胃酒</t>
  </si>
  <si>
    <t>HB HENG BO TE</t>
  </si>
  <si>
    <t>江苏恒博特工贸有限公司</t>
  </si>
  <si>
    <t>鸡尾酒;起泡⽩葡萄酒;⽼酒（中国蒸馏烈酒）;⽩兰地;甜酒;⻩酒;酒精饮料原汁;⽔果汽酒;⻘稞酒;烧酒</t>
  </si>
  <si>
    <t>壹禄岛</t>
  </si>
  <si>
    <t>酒精饮料（啤酒除外）;⽶酒;⽩酒;蒸馏饮料;烧酒;⻩酒;梅酒;果酒（含酒精）;烈酒（饮料）;鸡尾酒</t>
  </si>
  <si>
    <t>蜷川</t>
  </si>
  <si>
    <t>王子敬</t>
  </si>
  <si>
    <t>⽩葡萄酒;鸡尾酒;酒精饮料（啤酒除外）;伏特加酒;葡萄酒;果酒;⻩酒;烧酒;⽩酒;红葡萄酒</t>
  </si>
  <si>
    <t>黔馧</t>
  </si>
  <si>
    <t>茴⾹酒（利⼝酒）;柑⾹酒;⽼酒（中国蒸馏烈酒）;清酒;⽩酒;⾼粱酒;⽩⼲酒（中国⽩酒）;烧酒（烈酒）;由⾕物蒸馏的⽩酒;开胃酒</t>
  </si>
  <si>
    <t>悠悠侠</t>
  </si>
  <si>
    <t>刘行</t>
  </si>
  <si>
    <t>鸡尾酒;⽶酒;烧酒;果酒（含酒精）;⽩酒;利⼝酒;威⼠忌;⻩酒;⽩兰地;葡萄酒</t>
  </si>
  <si>
    <t>植佰润</t>
  </si>
  <si>
    <t>杭州博润生生生物科技有限公司</t>
  </si>
  <si>
    <t>餐后酒（利⼝酒和烈酒）;⽩兰地;含⽔果酒精饮料;⾷⽤酒精;酒精饮料（啤酒除外）;⽩酒;果酒（含酒精）;蒸馏饮料;葡萄酒;鸡尾酒</t>
  </si>
  <si>
    <t>卫健康</t>
  </si>
  <si>
    <t>北京康众时代医药科技集团有限公司</t>
  </si>
  <si>
    <t>利⼝酒;⽶酒;清酒;烧酒;⻩酒;果酒;露酒;⽩酒;果酒（含酒精）;汽酒</t>
  </si>
  <si>
    <t>欧乐多</t>
  </si>
  <si>
    <t>欧乐多（广州）贸易有限公司</t>
  </si>
  <si>
    <t>酒精饮料（啤酒除外）;汽酒;露酒;甜酒;葡萄酒;⽩酒;开胃酒;果酒（含酒精）;鸡尾酒;⽶酒</t>
  </si>
  <si>
    <t>黑龙江相阳牛业有限公司</t>
  </si>
  <si>
    <t>烈酒;⽩酒;蒸馏饮料;葡萄酒;⾷⽤酒精;含⽔果酒精饮料;⽶酒;烧酒;果酒（含酒精）;酒精饮料（啤酒除外）</t>
  </si>
  <si>
    <t>昇合坊</t>
  </si>
  <si>
    <t>四川昇合胜农业发展有限公司</t>
  </si>
  <si>
    <t>酒精饮料原汁;⽩酒;烈酒（饮料）;开胃酒;⾷⽤酒精;蒸馏饮料;烧酒;⽶酒;杜松⼦酒;鸡尾酒</t>
  </si>
  <si>
    <t>七个喵  SEVENGOMEOW</t>
  </si>
  <si>
    <t>广州风顺农牧有限公司</t>
  </si>
  <si>
    <t>鸡尾酒;葡萄酒;⽩酒;薄荷酒;烈酒（饮料）;蜂蜜酒;酒精饮料（啤酒除外）;果酒（含酒精）;苹果酒;开胃酒</t>
  </si>
  <si>
    <t>建华鑫海</t>
  </si>
  <si>
    <t>江西瑞和国际酒店有限公司</t>
  </si>
  <si>
    <t>开胃酒;烧酒;葡萄酒;⻩酒;汽酒;⽩酒;⻘稞酒;⽶酒;果酒（含酒精）;酒精饮料（啤酒除外）</t>
  </si>
  <si>
    <t>勃承千秋</t>
  </si>
  <si>
    <t>程龙飞</t>
  </si>
  <si>
    <t>果酒（含酒精）;⽩酒;⽶酒;酒精饮料浓缩汁;⾷⽤酒精;葡萄酒;酒精饮料（啤酒除外）;烧酒;蒸煮提取物（利⼝酒和烈酒）;佐餐酒</t>
  </si>
  <si>
    <t>永乐雅韵</t>
  </si>
  <si>
    <t>果酒（含酒精）;葡萄酒;红葡萄酒;⽩葡萄酒;烈酒（饮料）;酒精饮料（啤酒除外）;甜酒;⽶酒;⽩酒;清酒（⽇本⽶酒）</t>
  </si>
  <si>
    <t>官柔</t>
  </si>
  <si>
    <t>果酒（含酒精）;葡萄酒;⽩酒;⾼粱酒;⻘稞酒;烧酒;⻩酒;露酒;酒精饮料（啤酒除外）;⽶酒</t>
  </si>
  <si>
    <t>忘了时空</t>
  </si>
  <si>
    <t>五行八通（江苏）健康管理服务有限公司</t>
  </si>
  <si>
    <t>果酒;五加⽪酒（中国混合烈酒）;开胃酒;除啤酒外的酒精饮料;酒精饮料浓缩汁;⽩酒;烧酒（烈酒）;⽶酒;葡萄酒;露酒</t>
  </si>
  <si>
    <t>中国冶金地质总局</t>
  </si>
  <si>
    <t>洛斯洽恰</t>
  </si>
  <si>
    <t>洛斯洽恰（北京）贸易有限公司</t>
  </si>
  <si>
    <t>葡萄酒;⽩兰地;⽶酒;⽩葡萄酒;梅酒;⽩酒;烧酒;烈酒;含酒精⽔果饮料;鸡尾酒</t>
  </si>
  <si>
    <t>岑樽千古</t>
  </si>
  <si>
    <t>徐海洋</t>
  </si>
  <si>
    <t>烧酒;葡萄酒;酒精饮料（啤酒除外）;⽶酒;佐餐酒;⾷⽤酒精;果酒（含酒精）;⽩酒;酒精饮料浓缩汁;蒸煮提取物（利⼝酒和烈酒）</t>
  </si>
  <si>
    <t>盈赐</t>
  </si>
  <si>
    <t>杨春</t>
  </si>
  <si>
    <t>⾷⽤酒精;酒精饮料（啤酒除外）;汽酒;果酒（含酒精）;葡萄酒;蒸馏饮料;烈酒（饮料）;清酒（⽇本⽶酒）;⽶酒;⽩酒</t>
  </si>
  <si>
    <t>NOMI</t>
  </si>
  <si>
    <t>上海蔚来汽车有限公司</t>
  </si>
  <si>
    <t>⽶酒;红葡萄酒;酒精饮料（啤酒除外）;烈酒;鸡尾酒;果酒（含酒精）;⻩酒;⽩酒;⽩葡萄酒;汽酒;蜂蜜酒;葡萄酒</t>
  </si>
  <si>
    <t>迪森达</t>
  </si>
  <si>
    <t>谷振东</t>
  </si>
  <si>
    <t>果酒（含酒精）;开胃酒;⽩酒;烧酒;⻩酒;⽶酒;葡萄酒;蜂蜜酒;蒸馏饮料;⾕物制蒸馏酒精饮料</t>
  </si>
  <si>
    <t>瑰园匠</t>
  </si>
  <si>
    <t>周畅</t>
  </si>
  <si>
    <t>含⽔果酒精饮料;果酒（含酒精）;⾷⽤酒精;⽩酒;⽩兰地;⻩酒;鸡尾酒;葡萄酒;酒精饮料（啤酒除外）;⽶酒</t>
  </si>
  <si>
    <t>同福永常春</t>
  </si>
  <si>
    <t>杭州同福永酿酒有限公司</t>
  </si>
  <si>
    <t>⽶酒;含⽔果酒精饮料;葡萄酒;酒精饮料（啤酒除外）;⻘稞酒;⾷⽤酒精;⻩酒;烧酒;⽩酒;汽酒</t>
  </si>
  <si>
    <t>OLODO</t>
  </si>
  <si>
    <t>果酒（含酒精）;鸡尾酒;⽩酒;开胃酒;露酒;⽶酒;甜酒;酒精饮料（啤酒除外）;汽酒;葡萄酒</t>
  </si>
  <si>
    <t>洛帝曼尚选</t>
  </si>
  <si>
    <t>刘玉华</t>
  </si>
  <si>
    <t>开胃酒;朗姆酒;⽩兰地;红葡萄酒;⽩葡萄酒;⽩酒;鸡尾酒;利⼝酒;葡萄酒;威⼠忌</t>
  </si>
  <si>
    <t>福薯予你</t>
  </si>
  <si>
    <t>杨春玲</t>
  </si>
  <si>
    <t>烈酒（饮料）;酒精饮料（啤酒除外）;开胃酒;含⽔果酒精饮料;⽶酒;烧酒;蒸馏饮料;葡萄酒;酒精饮料浓缩汁;⽩酒</t>
  </si>
  <si>
    <t>忆东坡</t>
  </si>
  <si>
    <t>唐永</t>
  </si>
  <si>
    <t>果酒（含酒精）;酒精饮料（啤酒除外）;鸡尾酒;烈酒（饮料）;⻘稞酒;⽩兰地;⽩酒;⻩酒;⽶酒;威⼠忌</t>
  </si>
  <si>
    <t>牧都御液</t>
  </si>
  <si>
    <t>内蒙古东方牧都食品有限责任公司</t>
  </si>
  <si>
    <t>果酒（含酒精）;⽩酒;烧酒;汽酒;葡萄酒;⽶酒;烈酒;开胃酒;利⼝酒;⻩酒</t>
  </si>
  <si>
    <t>柏贡烧坊</t>
  </si>
  <si>
    <t>葡萄酒;蒸煮提取物（利⼝酒和烈酒）;果酒（含酒精）;烧酒;佐餐酒;⽩酒;⽶酒;酒精饮料（啤酒除外）;⾷⽤酒精;酒精饮料浓缩汁</t>
  </si>
  <si>
    <t>御泉祖</t>
  </si>
  <si>
    <t>周迎梅</t>
  </si>
  <si>
    <t>鸡尾酒;烈酒;⽶酒;⽩酒;⾼粱酒;烧酒;⻩酒;酒精饮料（啤酒除外）;⽩葡萄酒;葡萄酒</t>
  </si>
  <si>
    <t>帝叁喜</t>
  </si>
  <si>
    <t>王东民</t>
  </si>
  <si>
    <t>烈酒（饮料）;⽩兰地;甜酒;蜂蜜酒;葡萄酒;鸡尾酒;⽶酒;烧酒;⽩酒;果酒（含酒精）</t>
  </si>
  <si>
    <t>赤谷云天</t>
  </si>
  <si>
    <t>贵州云静熠蕊酒业有限公司</t>
  </si>
  <si>
    <t>蒸煮提取物（利⼝酒和烈酒）;⽼酒（中国蒸馏烈酒）;⽩酒;烈酒;⾕物制蒸馏酒精饮料;蒸馏饮料;酒精饮料（啤酒除外）;烈性⼲酒;果酒;露酒</t>
  </si>
  <si>
    <t>沧承千秋</t>
  </si>
  <si>
    <t>杨丙旭</t>
  </si>
  <si>
    <t>烧酒;酒精饮料浓缩汁;⽩酒;葡萄酒;蒸煮提取物（利⼝酒和烈酒）;佐餐酒;酒精饮料（啤酒除外）;果酒（含酒精）;⽶酒;⾷⽤酒精</t>
  </si>
  <si>
    <t>岳天下</t>
  </si>
  <si>
    <t>⽶酒;烧酒;⻩酒;⾼粱酒;⻘稞酒;酒精饮料（啤酒除外）;⽩酒;露酒;果酒（含酒精）;葡萄酒</t>
  </si>
  <si>
    <t>铜航</t>
  </si>
  <si>
    <t>贵州省仁怀市茅台镇私房酒业有限公司</t>
  </si>
  <si>
    <t>含酒精的饮料（啤酒除外）;烧酒;鸡尾酒;果酒;梅酒;蒸馏饮料;⽩兰地;汽酒;葡萄酒;⽩酒</t>
  </si>
  <si>
    <t>喜娃</t>
  </si>
  <si>
    <t>彭云</t>
  </si>
  <si>
    <t>果酒（含酒精）;⽶酒;⻘稞酒;⽩酒;⾼粱酒;⻩酒;露酒;酒精饮料（啤酒除外）;烧酒;葡萄酒</t>
  </si>
  <si>
    <t>虎之涧</t>
  </si>
  <si>
    <t>朱琦进</t>
  </si>
  <si>
    <t>⽶酒;葡萄酒;酒精饮料（啤酒除外）;烈酒（饮料）;⻩酒;果酒（含酒精）;烧酒;⽩酒;餐后酒（利⼝酒和烈酒）;酒精饮料原汁</t>
  </si>
  <si>
    <t>BOUNTYORDER</t>
  </si>
  <si>
    <t>苏州天可汉信息技术有限公司</t>
  </si>
  <si>
    <t>开胃酒;苹果酒;甜酒;含酒精的鸡尾酒混合饮品;葡萄酒;⽩酒;鸡尾酒;含⽔果酒精饮料;清酒;汽酒</t>
  </si>
  <si>
    <t>贵声</t>
  </si>
  <si>
    <t>宫红娇</t>
  </si>
  <si>
    <t>葡萄酒;酒精饮料（啤酒除外）;烧酒;⻘稞酒;露酒;⾼粱酒;果酒（含酒精）;⻩酒;⽩酒;⽶酒</t>
  </si>
  <si>
    <t>刘振滨</t>
  </si>
  <si>
    <t>来凤县振兵白酒庄园厂</t>
  </si>
  <si>
    <t>酒精饮料（啤酒除外）;酒精饮料原汁;⾷⽤酒精;蒸馏饮料;⽶酒;⽩酒;烧酒;果酒（含酒精）;葡萄酒;烈酒（饮料）</t>
  </si>
  <si>
    <t>介优</t>
  </si>
  <si>
    <t>烈酒;烧酒;⾼粱酒;⽶酒;⻩酒;清酒;⽩酒;果酒;鸡尾酒;葡萄酒</t>
  </si>
  <si>
    <t>吉和顺</t>
  </si>
  <si>
    <t>刘丽平</t>
  </si>
  <si>
    <t>⽶酒;烧酒;露酒;果酒（含酒精）;⽩酒;⻩酒;⾼粱酒;酒精饮料（啤酒除外）;⻘稞酒;葡萄酒</t>
  </si>
  <si>
    <t>敬酒猫</t>
  </si>
  <si>
    <t>杨敬</t>
  </si>
  <si>
    <t>含酒精的⽔果鸡尾酒饮料;鸡尾酒;葡萄酒;酒精饮料（啤酒除外）;⽩酒;⾷⽤酒精;伏特加酒;⻨芽威⼠忌;清酒（⽇本⽶酒）;朗姆酒</t>
  </si>
  <si>
    <t>飞扬四海</t>
  </si>
  <si>
    <t>季子豪330822********1510</t>
  </si>
  <si>
    <t>葡萄酒;含⽔果酒精饮料;烧酒;威⼠忌;⽩酒;鸡尾酒;果酒（含酒精）;酒精饮料（啤酒除外）;汽酒;蒸馏饮料</t>
  </si>
  <si>
    <t>暖燕</t>
  </si>
  <si>
    <t>北京暖燕餐饮管理有限公司</t>
  </si>
  <si>
    <t>烈酒（饮料）;含⽔果酒精饮料;⽩兰地;烧酒;已调味的⻨芽酿制的酒精饮料（啤酒除外）;威⼠忌;⽶酒;酒精饮料原汁;⾷⽤酒精;⽩酒</t>
  </si>
  <si>
    <t>秋林秦道</t>
  </si>
  <si>
    <t>任宗秋</t>
  </si>
  <si>
    <t>苦味酒;⽶酒;果酒;烈酒;薄荷酒;烧酒;⾼粱酒;葡萄酒;⽩酒;烈酒（饮料）</t>
  </si>
  <si>
    <t>黑宇宙</t>
  </si>
  <si>
    <t>王建河</t>
  </si>
  <si>
    <t>⽩酒;朗姆酒;⽼酒（中国蒸馏烈酒）;果酒（含酒精）;烈酒;含⽔果酒精饮料;⾼粱酒;蒸煮提取物（利⼝酒和烈酒）;⽩⼲酒（中国⽩酒）;利⼝酒</t>
  </si>
  <si>
    <t>龙樽传天韵</t>
  </si>
  <si>
    <t>河南中实酒业有限公司</t>
  </si>
  <si>
    <t>⻩酒;利⼝酒;预先混合的酒精饮料（以啤酒为主的除外）;蒸馏饮料;烧酒;红葡萄酒;⽩酒;烈酒（饮料）;⽶酒;含⽔果酒精饮料</t>
  </si>
  <si>
    <t>溪稻坊</t>
  </si>
  <si>
    <t>李翠盘</t>
  </si>
  <si>
    <t>鸡尾酒;⽶酒;烈酒（饮料）;清酒（⽇本⽶酒）;⻩酒;果酒（含酒精）;葡萄酒;酒精饮料（啤酒除外）;⽩酒;烧酒</t>
  </si>
  <si>
    <t>骄师傅</t>
  </si>
  <si>
    <t>南京食百千食品有限公司</t>
  </si>
  <si>
    <t>薄荷酒</t>
  </si>
  <si>
    <t>微丰境</t>
  </si>
  <si>
    <t>以葡萄酒为主的饮料;⻩酒;酒精饮料原汁;⽶酒;葡萄酒;酒精饮料（啤酒除外）;蒸馏饮料;⽩酒;果酒（含酒精）;⾕物制蒸馏酒精饮料</t>
  </si>
  <si>
    <t>杏仓福佑</t>
  </si>
  <si>
    <t>山西杏花清香白酒核心产区酒业集团有限公司</t>
  </si>
  <si>
    <t>⻩酒;果酒;烈酒;⽼酒（中国蒸馏烈酒）;烧酒;⽶酒;⽩酒;⾼粱酒;葡萄酒;酒精饮料（啤酒除外）</t>
  </si>
  <si>
    <t>冇山</t>
  </si>
  <si>
    <t>德州市金创意广告有限公司</t>
  </si>
  <si>
    <t>鸡尾酒;葡萄酒;⻩酒;⽩酒;烧酒;⽶酒;果酒（含酒精）;⽩兰地;威⼠忌;清酒（⽇本⽶酒）</t>
  </si>
  <si>
    <t>神羲膳</t>
  </si>
  <si>
    <t>湖南省湘青研学旅行社有限公司</t>
  </si>
  <si>
    <t>果酒（含酒精）;鸡尾酒;⻩酒;葡萄酒;⽩酒;蜂蜜酒;⽶酒;⽩兰地;威⼠忌;开胃酒</t>
  </si>
  <si>
    <t>草原蓝胖胖</t>
  </si>
  <si>
    <t>王文平</t>
  </si>
  <si>
    <t>草莓酒;松叶酒;已调味的蒸馏酒;⾼粱酒;⽩⼲酒（中国⽩酒）;烈性⼲酒;⽢蔗汁酿朗姆酒;含酒精的饮料（啤酒除外）;苦荞酒;果酒</t>
  </si>
  <si>
    <t>芹</t>
  </si>
  <si>
    <t>福建大芹陆宜酒业有限公司</t>
  </si>
  <si>
    <t>含⽔果酒精饮料;威⼠忌;清酒（⽇本⽶酒）;伏特加酒;蒸煮提取物（利⼝酒和烈酒）;酒精饮料（啤酒除外）;蒸馏饮料;开胃酒;⽶酒;葡萄酒</t>
  </si>
  <si>
    <t>帝始祖</t>
  </si>
  <si>
    <t>⽶酒;⾼粱酒;烧酒;⽩葡萄酒;烈酒;鸡尾酒;⽩酒;葡萄酒;酒精饮料（啤酒除外）;⻩酒</t>
  </si>
  <si>
    <t>咏春无界</t>
  </si>
  <si>
    <t>福建五枚咏春文化发展有限公司</t>
  </si>
  <si>
    <t>烈酒（饮料）;蒸馏饮料;清酒（⽇本⽶酒）;威⼠忌;开胃酒;以葡萄酒为主的饮料;含酒精的⽓泡⽔;酒精饮料浓缩汁;含⽔果酒精饮料;⽩酒</t>
  </si>
  <si>
    <t>中酷</t>
  </si>
  <si>
    <t>烧酒;露酒;果酒（含酒精）;酒精饮料（啤酒除外）;⾼粱酒;葡萄酒;⻩酒;⻘稞酒;⽩酒;⽶酒</t>
  </si>
  <si>
    <t>蝎座姬</t>
  </si>
  <si>
    <t>烧酒;⽩葡萄酒;鸡尾酒;葡萄酒;伏特加酒;红葡萄酒;酒精饮料（啤酒除外）;⽩酒;⻩酒;果酒</t>
  </si>
  <si>
    <t>倍健象</t>
  </si>
  <si>
    <t>李来富</t>
  </si>
  <si>
    <t>⽩酒;果酒（含酒精）;⻩酒;葡萄酒;烧酒（烈酒）;蒸馏饮料;⾼粱酒;鸡尾酒;⽶酒;开胃酒</t>
  </si>
  <si>
    <t>2024/07/28</t>
  </si>
  <si>
    <t>候唐</t>
  </si>
  <si>
    <t>武汉楚康瓦刊咖啡有限公司</t>
  </si>
  <si>
    <t>清酒（⽇本⽶酒）;朗姆酒;果酒（含酒精）;鸡尾酒;酒精饮料（啤酒除外）;⽩酒;酒精饮料浓缩汁;⻩酒;蒸馏饮料;⽶酒</t>
  </si>
  <si>
    <t>湘太煲</t>
  </si>
  <si>
    <t>烧酒;⽶酒;鸡尾酒;果酒（含酒精）;⻘稞酒;酒精饮料（啤酒除外）;⻩酒;⽩酒;含⽔果酒精饮料;葡萄酒</t>
  </si>
  <si>
    <t>2024/07/27</t>
  </si>
  <si>
    <t>忘渡</t>
  </si>
  <si>
    <t>卿乾琼</t>
  </si>
  <si>
    <t>⽩酒;鸡尾酒;果酒;威⼠忌;葡萄酒;⻩酒;开胃酒;酒精饮料（啤酒除外）;烈酒（饮料）;清酒（⽇本⽶酒）</t>
  </si>
  <si>
    <t>楚令尹</t>
  </si>
  <si>
    <t>义乌匠源科技有限公司</t>
  </si>
  <si>
    <t>酒精饮料（啤酒除外）;清酒（⽇本⽶酒）;鸡尾酒;葡萄酒;烈酒（饮料）;烧酒;果酒（含酒精）;⻩酒;⽩酒;⽶酒</t>
  </si>
  <si>
    <t>壹寿岛</t>
  </si>
  <si>
    <t>梅酒;果酒（含酒精）;蒸馏饮料;⽩酒;⻩酒;烧酒;鸡尾酒;烈酒（饮料）;⽶酒;酒精饮料（啤酒除外）</t>
  </si>
  <si>
    <t>壹贵岛</t>
  </si>
  <si>
    <t>鸡尾酒;果酒（含酒精）;烈酒（饮料）;⽶酒;梅酒;酒精饮料（啤酒除外）;烧酒;⽩酒;⻩酒;蒸馏饮料</t>
  </si>
  <si>
    <t>贵枪</t>
  </si>
  <si>
    <t>康建</t>
  </si>
  <si>
    <t>⾼粱酒;果酒（含酒精）;烧酒;⻘稞酒;⻩酒;葡萄酒;酒精饮料（啤酒除外）;⽶酒;露酒;⽩酒</t>
  </si>
  <si>
    <t>壹祥岛</t>
  </si>
  <si>
    <t>烈酒（饮料）;⽩酒;⻩酒;蒸馏饮料;果酒（含酒精）;⽶酒;鸡尾酒;烧酒;梅酒;酒精饮料（啤酒除外）</t>
  </si>
  <si>
    <t>尚果熊</t>
  </si>
  <si>
    <t>唐山启森农业科技有限公司</t>
  </si>
  <si>
    <t>樱桃酒;含⽔果酒精饮料;酒精饮料（啤酒除外）;梨酒;酒精饮料原汁;⽩兰地;葡萄酒;蜂蜜酒;利⼝酒;果酒（含酒精）</t>
  </si>
  <si>
    <t>TYSP</t>
  </si>
  <si>
    <t>福建同益食品有限公司</t>
  </si>
  <si>
    <t>葡萄酒;含⽔果酒精饮料;⽶酒;⽩酒;含酒精的⽓泡⽔;酒精饮料浓缩汁;薄荷酒;酒精饮料（啤酒除外）;果酒（含酒精）;酒精饮料原汁</t>
  </si>
  <si>
    <t>才兰王子</t>
  </si>
  <si>
    <t>炊迎辉</t>
  </si>
  <si>
    <t>⽶酒;酒精饮料浓缩汁;蒸煮提取物（利⼝酒和烈酒）;酒精饮料（啤酒除外）;佐餐酒;⽩酒;葡萄酒;⾷⽤酒精;果酒（含酒精）;烧酒</t>
  </si>
  <si>
    <t>君助</t>
  </si>
  <si>
    <t>周兴梅</t>
  </si>
  <si>
    <t>⽶酒;利⼝酒;烈酒;果酒;威⼠忌;烧酒;⽩酒;⾼粱酒;⽼酒（中国蒸馏烈酒）;酒精饮料（啤酒除外）</t>
  </si>
  <si>
    <t>佬粮汣</t>
  </si>
  <si>
    <t>富力食品有限公司</t>
  </si>
  <si>
    <t>⽩兰地;⽶酒;果酒（含酒精）;鸡尾酒;含⽔果酒精饮料;⻩酒;⾷⽤酒精;⽩酒;酒精饮料（啤酒除外）;葡萄酒</t>
  </si>
  <si>
    <t>蒸煮提取物（利⼝酒和烈酒）;利⼝酒;⽼酒（中国蒸馏烈酒）;果酒（含酒精）;⾼粱酒;⽩⼲酒（中国⽩酒）;烈酒;含⽔果酒精饮料;⽩酒;朗姆酒</t>
  </si>
  <si>
    <t>龙梓</t>
  </si>
  <si>
    <t>黄小华</t>
  </si>
  <si>
    <t>⻩酒;烈酒（饮料）;清酒;⽩酒;利⼝酒;葡萄酒;⽩⼲酒（中国⽩酒）;果酒（含酒精）;开胃酒;烧酒</t>
  </si>
  <si>
    <t>非凡江湖</t>
  </si>
  <si>
    <t>刘烈梅</t>
  </si>
  <si>
    <t>开胃酒;⻩酒;⽩酒;烈酒（饮料）;清酒;烧酒;⽩⼲酒（中国⽩酒）;果酒（含酒精）;利⼝酒;葡萄酒</t>
  </si>
  <si>
    <t>敬予</t>
  </si>
  <si>
    <t>董凤梅</t>
  </si>
  <si>
    <t>⽶酒;烧酒;⽩酒;鸡尾酒;含⽔果酒精饮料;果酒（含酒精）;葡萄酒;蜂蜜酒;酒精饮料（啤酒除外）;清酒（⽇本⽶酒）</t>
  </si>
  <si>
    <t>粮缘福地</t>
  </si>
  <si>
    <t>葡萄酒;果酒（含酒精）;含⽔果酒精饮料;蜂蜜酒;烧酒;⽩酒;鸡尾酒;清酒（⽇本⽶酒）;⽶酒;酒精饮料（啤酒除外）</t>
  </si>
  <si>
    <t>暗乾盛世</t>
  </si>
  <si>
    <t>葛海添</t>
  </si>
  <si>
    <t>⽶酒;酒精饮料浓缩汁;葡萄酒;酒精饮料（啤酒除外）;果酒（含酒精）;佐餐酒;烧酒;⽩酒;蒸煮提取物（利⼝酒和烈酒）;⾷⽤酒精</t>
  </si>
  <si>
    <t>贵馧</t>
  </si>
  <si>
    <t>苦味酒;⾼粱酒;由⾕物蒸馏的⽩酒;茴⾹酒（利⼝酒）;清酒;⽼酒（中国蒸馏烈酒）;⽩酒;柑⾹酒;烧酒;开胃酒</t>
  </si>
  <si>
    <t>中座</t>
  </si>
  <si>
    <t>⻘稞酒;露酒;⽩酒;⾼粱酒;酒精饮料（啤酒除外）;烧酒;⻩酒;果酒（含酒精）;葡萄酒;⽶酒</t>
  </si>
  <si>
    <t>京味七宝</t>
  </si>
  <si>
    <t>北京日升汇杰餐饮管理有限公司</t>
  </si>
  <si>
    <t>果酒（含酒精）;威⼠忌;⽶酒;烈酒（饮料）;酒精饮料（啤酒除外）;葡萄酒;⽩酒;鸡尾酒;含⽔果酒精饮料;开胃酒</t>
  </si>
  <si>
    <t>御和喜</t>
  </si>
  <si>
    <t>葡萄酒;烧酒;⻩酒;果酒（含酒精）;露酒;⻘稞酒;⾼粱酒;酒精饮料（啤酒除外）;⽩酒;⽶酒</t>
  </si>
  <si>
    <t>鸿柔</t>
  </si>
  <si>
    <t>李文文</t>
  </si>
  <si>
    <t>烧酒;⽼酒（中国蒸馏烈酒）;⻩酒;⽩⼲酒（中国⽩酒）;⽩酒;⽶酒;露酒;清酒;果酒（含酒精）;葡萄酒</t>
  </si>
  <si>
    <t>海慈园美宜佳</t>
  </si>
  <si>
    <t>边家尧</t>
  </si>
  <si>
    <t>葡萄酒;⽩兰地;鸡尾酒;烧酒;⽶酒;果酒（含酒精）;开胃酒;汽酒;⽩酒;⻩酒</t>
  </si>
  <si>
    <t>菋芾</t>
  </si>
  <si>
    <t>杨家伟</t>
  </si>
  <si>
    <t>威⼠忌;⾷⽤酒精;葡萄酒;烈酒（饮料）;⻩酒;⽩酒;⽶酒;酒精饮料（啤酒除外）;鸡尾酒;⽩兰地</t>
  </si>
  <si>
    <t>百分明</t>
  </si>
  <si>
    <t>武汉明华楸石企业管理有限公司</t>
  </si>
  <si>
    <t>果酒;蒸馏饮料;利⼝酒;⽩酒;预调甜酒;葡萄酒;威⼠忌;烈酒;含酒精的⽓泡⽔;鸡尾酒</t>
  </si>
  <si>
    <t>王嗦嗦</t>
  </si>
  <si>
    <t>王军</t>
  </si>
  <si>
    <t>果酒（含酒精）;烈酒（饮料）;清酒（⽇本⽶酒）;酒精饮料（啤酒除外）;⽩酒;烧酒;鸡尾酒;葡萄酒;⽶酒;⻩酒</t>
  </si>
  <si>
    <t>喜座</t>
  </si>
  <si>
    <t>葡萄酒;⽶酒;烧酒;⻩酒;酒精饮料（啤酒除外）;果酒（含酒精）;⻘稞酒;⾼粱酒;露酒;⽩酒</t>
  </si>
  <si>
    <t>阿武的故事</t>
  </si>
  <si>
    <t>蒋新武</t>
  </si>
  <si>
    <t>酒精饮料（啤酒除外）;威⼠忌;含酒精的⽔果鸡尾酒饮料;清酒;葡萄酒;烧酒（烈酒）;⽩酒;鸡尾酒;果酒（含酒精）;⽔果汽酒</t>
  </si>
  <si>
    <t>福诚鑫海</t>
  </si>
  <si>
    <t>酒精饮料（啤酒除外）;⻘稞酒;葡萄酒;果酒（含酒精）;⽶酒;⻩酒;开胃酒;烧酒;汽酒;⽩酒</t>
  </si>
  <si>
    <t>帝圣皇</t>
  </si>
  <si>
    <t>烧酒;酒精饮料（啤酒除外）;⽶酒;葡萄酒;⽩葡萄酒;⽩酒;⻩酒;鸡尾酒;⾼粱酒;烈酒</t>
  </si>
  <si>
    <t>中边</t>
  </si>
  <si>
    <t>⻩酒;酒精饮料（啤酒除外）;⽶酒;果酒（含酒精）;⻘稞酒;⽩酒;⾼粱酒;露酒;烧酒;葡萄酒</t>
  </si>
  <si>
    <t>予学予商部落</t>
  </si>
  <si>
    <t>予商文化传播（山东）有限公司</t>
  </si>
  <si>
    <t>苹果酒;葡萄酒;开胃酒;⽶酒;果酒;蜂蜜酒;烈酒（饮料）;烧酒;⻩酒;⽩酒</t>
  </si>
  <si>
    <t>龙吟跃龙门</t>
  </si>
  <si>
    <t>蒸馏饮料;利⼝酒;烈酒（饮料）;预先混合的酒精饮料（以啤酒为主的除外）;⽶酒;⽩酒;烧酒;⻩酒;含⽔果酒精饮料;红葡萄酒</t>
  </si>
  <si>
    <t>臻凌彩</t>
  </si>
  <si>
    <t>四平市千杯酒业有限公司</t>
  </si>
  <si>
    <t>⽶酒;果酒（含酒精）;⽩酒;⾷⽤酒精;酒精饮料原汁;预先混合的酒精饮料（以啤酒为主的除外）;含酒精的⽓泡⽔;餐后酒（利⼝酒和烈酒）;烈酒（饮料）;威⼠忌</t>
  </si>
  <si>
    <t>赢赐</t>
  </si>
  <si>
    <t>清酒（⽇本⽶酒）;葡萄酒;⽩酒;⾷⽤酒精;汽酒;蒸馏饮料;⽶酒;果酒（含酒精）;烈酒（饮料）;酒精饮料（啤酒除外）</t>
  </si>
  <si>
    <t>金朝盛河</t>
  </si>
  <si>
    <t>潘春雷</t>
  </si>
  <si>
    <t>⾷⽤酒精;烧酒;果酒（含酒精）;⻩酒;汽酒;蜂蜜酒;⽶酒;⽩酒;酒精饮料（啤酒除外）;葡萄酒</t>
  </si>
  <si>
    <t>卓天下</t>
  </si>
  <si>
    <t>露酒;烧酒;⻘稞酒;⽶酒;果酒（含酒精）;酒精饮料（啤酒除外）;⾼粱酒;葡萄酒;⻩酒;⽩酒</t>
  </si>
  <si>
    <t>观诗</t>
  </si>
  <si>
    <t>葡萄酒;⽶酒;果酒;鸡尾酒;梅酒;汽酒;⽩酒;⻩酒;甜酒;酒精饮料（啤酒除外）</t>
  </si>
  <si>
    <t>仁义爵</t>
  </si>
  <si>
    <t>烧酒;⻩酒;葡萄酒;威⼠忌;梅酒;蒸馏⽶酒（泡盛酒）;⾼粱酒;果酒（含酒精）;开胃酒;⽩酒</t>
  </si>
  <si>
    <t>⽩酒;⽶酒;果酒（含酒精）;蒸馏饮料;⾷⽤酒精;含⽔果酒精饮料;⻩酒;利⼝酒;开胃酒;葡萄酒</t>
  </si>
  <si>
    <t>彩歌</t>
  </si>
  <si>
    <t>安徽众与众文化传媒有限公司</t>
  </si>
  <si>
    <t>⽩酒;清酒;⻩酒;葡萄酒;⻘稞酒;烧酒;汽酒;果酒;⽶酒;酒精饮料（啤酒除外）</t>
  </si>
  <si>
    <t>帛兴烧坊</t>
  </si>
  <si>
    <t>酒精饮料（啤酒除外）;⾷⽤酒精;佐餐酒;果酒（含酒精）;酒精饮料浓缩汁;⽩酒;⽶酒;葡萄酒;蒸煮提取物（利⼝酒和烈酒）;烧酒</t>
  </si>
  <si>
    <t>蕴佳穗</t>
  </si>
  <si>
    <t>⽩酒;果酒（含酒精）;葡萄酒;⾕物制蒸馏酒精饮料;已调味的⻨芽酿制的酒精饮料（啤酒除外）;烈酒（饮料）;开胃酒;⾷⽤酒精;⽶酒;⻩酒</t>
  </si>
  <si>
    <t>菩逸堂</t>
  </si>
  <si>
    <t>浙江菩壹德实业有限公司</t>
  </si>
  <si>
    <t>酒精饮料原汁;葡萄酒;酒精饮料（啤酒除外）;开胃酒;⾕物制蒸馏酒精饮料;⽶酒;⽩酒;⾷⽤酒精;果酒（含酒精）;蒸馏饮料</t>
  </si>
  <si>
    <t>泸州老参林商贸有限公司</t>
  </si>
  <si>
    <t>开胃酒;果酒（含酒精）;烈酒（饮料）;⽩酒;蒸煮提取物（利⼝酒和烈酒）;含⽔果酒精饮料;⽶酒;烧酒;⻩酒;葡萄酒</t>
  </si>
  <si>
    <t>华岸</t>
  </si>
  <si>
    <t>烧酒;酒精饮料（啤酒除外）;⽶酒;果酒（含酒精）;露酒;⻘稞酒;⻩酒;⽩酒;⾼粱酒;葡萄酒</t>
  </si>
  <si>
    <t>帝好</t>
  </si>
  <si>
    <t>葡萄酒;烧酒;⽩酒;露酒;⻩酒;酒精饮料（啤酒除外）;⻘稞酒;⾼粱酒;⽶酒;果酒（含酒精）</t>
  </si>
  <si>
    <t>洪婶当家</t>
  </si>
  <si>
    <t>泉州洪婶当家家政服务有限公司</t>
  </si>
  <si>
    <t>果酒;⽩兰地;⻩酒;烈酒（饮料）;⽩酒;⽶酒;烧酒;威⼠忌;以葡萄酒为主的饮料;含⽔果酒精饮料</t>
  </si>
  <si>
    <t>卡瑟维加斯 CRS VEGAS</t>
  </si>
  <si>
    <t>烟台塞瑞斯国际酒业有限公司</t>
  </si>
  <si>
    <t>果酒（含酒精）;烈酒;混合威⼠忌酒;含酒精的充⽓饮料（啤酒除外）;调制好的葡萄酒鸡尾酒;朗姆酒;葡萄酒;威⼠忌;⽩兰地;含酒精的鸡尾酒混合饮品</t>
  </si>
  <si>
    <t>壹富岛</t>
  </si>
  <si>
    <t>烈酒（饮料）;⽶酒;烧酒;梅酒;⻩酒;鸡尾酒;酒精饮料（啤酒除外）;蒸馏饮料;⽩酒;果酒（含酒精）</t>
  </si>
  <si>
    <t>草悦春</t>
  </si>
  <si>
    <t>济宁荣福缘健康产业发展有限责任公司</t>
  </si>
  <si>
    <t>果酒（含酒精）;蒸馏饮料;⽩酒;蜂蜜酒;⾷⽤酒精;⻩酒;葡萄酒;开胃酒;⽶酒;酒精饮料（啤酒除外）</t>
  </si>
  <si>
    <t>具丘水韵</t>
  </si>
  <si>
    <t>葡萄酒;不起泡葡萄酒;起泡⽩葡萄酒;起泡红葡萄酒;以葡萄酒为主的开胃酒;红葡萄酒;⽩葡萄酒</t>
  </si>
  <si>
    <t>形膳天下</t>
  </si>
  <si>
    <t>王东亮</t>
  </si>
  <si>
    <t>⾷⽤酒精;蒸馏饮料;威⼠忌;酒精饮料（啤酒除外）;⽩兰地;清酒;⻩酒;果酒;葡萄酒;⽩酒</t>
  </si>
  <si>
    <t>蒙刀</t>
  </si>
  <si>
    <t>果酒（含酒精）;酒精饮料（啤酒除外）;烧酒;⻘稞酒;露酒;⾼粱酒;葡萄酒;⽶酒;⽩酒;⻩酒</t>
  </si>
  <si>
    <t>宴神</t>
  </si>
  <si>
    <t>烧酒;⾼粱酒;果酒（含酒精）;⻩酒;⽩酒;⻘稞酒;露酒;⽶酒;酒精饮料（啤酒除外）;葡萄酒</t>
  </si>
  <si>
    <t>昂祖烧坊</t>
  </si>
  <si>
    <t>付鹏</t>
  </si>
  <si>
    <t>⽩酒;葡萄酒;蒸煮提取物（利⼝酒和烈酒）;酒精饮料（啤酒除外）;烧酒;⾷⽤酒精;⽶酒;佐餐酒;果酒（含酒精）;酒精饮料浓缩汁</t>
  </si>
  <si>
    <t>迈士明</t>
  </si>
  <si>
    <t>张小满</t>
  </si>
  <si>
    <t>酒精饮料（啤酒除外）;伏特加酒;威⼠忌;烧酒;⻩酒;朗姆酒;葡萄酒;⽩酒;⻘稞酒;鸡尾酒</t>
  </si>
  <si>
    <t>大风大浪</t>
  </si>
  <si>
    <t>⽶酒;⻘稞酒;⾼粱酒;果酒（含酒精）;烧酒;⽩酒;露酒;葡萄酒;酒精饮料（啤酒除外）;⻩酒</t>
  </si>
  <si>
    <t>宋祖佑康</t>
  </si>
  <si>
    <t>河北宋祖酒业有限公司</t>
  </si>
  <si>
    <t>露酒;⽩酒;酒精饮料（啤酒除外）;烧酒;⻩酒;⽶酒;利⼝酒;果酒;清酒;葡萄酒</t>
  </si>
  <si>
    <t>尊悦华臻</t>
  </si>
  <si>
    <t>胡春贵</t>
  </si>
  <si>
    <t>酒精饮料原汁;葡萄酒;威⼠忌;伏特加酒;烈酒（饮料）;⽩酒;⽶酒;清酒（⽇本⽶酒）;鸡尾酒;酒精饮料（啤酒除外）</t>
  </si>
  <si>
    <t>御香沟</t>
  </si>
  <si>
    <t>沈道正</t>
  </si>
  <si>
    <t>⽩酒;烧酒;果酒（含酒精）;蜂蜜酒;⻩酒;清酒（⽇本⽶酒）;⽶酒;烈酒（饮料）;开胃酒;苦味酒</t>
  </si>
  <si>
    <t>秦喜乐</t>
  </si>
  <si>
    <t>焦作市禾田雨农业开发有限公司</t>
  </si>
  <si>
    <t>⻩酒;酒精饮料（啤酒除外）;露酒;含⽔果酒精饮料;葡萄酒;⽩兰地;⽩酒;果酒（含酒精）;⽶酒;蒸馏饮料</t>
  </si>
  <si>
    <t>壹财岛</t>
  </si>
  <si>
    <t>烈酒（饮料）;⽶酒;烧酒;⽩酒;⻩酒;果酒（含酒精）;蒸馏饮料;鸡尾酒;酒精饮料（啤酒除外）;梅酒</t>
  </si>
  <si>
    <t>壹吉岛</t>
  </si>
  <si>
    <t>鸡尾酒;⽩酒;梅酒;烈酒（饮料）;烧酒;⻩酒;果酒（含酒精）;蒸馏饮料;酒精饮料（啤酒除外）;⽶酒</t>
  </si>
  <si>
    <t>邻居伙伴</t>
  </si>
  <si>
    <t>邻居伙伴（重庆）科技有限公司</t>
  </si>
  <si>
    <t>鸡尾酒;⻩酒;烧酒;⾷⽤酒精;葡萄酒;汽酒;⻘稞酒;⽩酒;果酒（含酒精）;⽶酒</t>
  </si>
  <si>
    <t>十田甲</t>
  </si>
  <si>
    <t>内蒙古终点供应链管理有限公司</t>
  </si>
  <si>
    <t>果酒;酒精饮料（啤酒除外）;⽩酒;⽶酒;清酒（⽇本⽶酒）;烈酒;⻩酒;烧酒;鸡尾酒;葡萄酒</t>
  </si>
  <si>
    <t>宫廷陶</t>
  </si>
  <si>
    <t>亳州市徽窖酒业有限公司</t>
  </si>
  <si>
    <t>饮⽤烈酒;酒精饮料（啤酒除外）;⾼粱酒;果酒（含酒精）;烈酒（饮料）;⽶酒;⾷⽤酒精;⽩酒;露酒;烧酒</t>
  </si>
  <si>
    <t>岑冠王子</t>
  </si>
  <si>
    <t>⾷⽤酒精;⽩酒;蒸煮提取物（利⼝酒和烈酒）;酒精饮料（啤酒除外）;佐餐酒;烧酒;酒精饮料浓缩汁;⽶酒;葡萄酒;果酒（含酒精）</t>
  </si>
  <si>
    <t>老友炫</t>
  </si>
  <si>
    <t>田雯</t>
  </si>
  <si>
    <t>葡萄酒;⽩酒;果酒（含酒精）;烈酒（饮料）;烧酒;蜂蜜酒;甜酒;鸡尾酒;⽩兰地;⽶酒</t>
  </si>
  <si>
    <t>狂悦 CRAZY JOY</t>
  </si>
  <si>
    <t>宜宾雯熙食品有限公司</t>
  </si>
  <si>
    <t>蒸馏饮料;⽩兰地;含⽔果酒精饮料;烧酒;⽩酒;酒精饮料原汁;烈酒;果酒（含酒精）;⾷⽤酒精;甜酒</t>
  </si>
  <si>
    <t>BAI JIA QIN</t>
  </si>
  <si>
    <t>百家亲酒业（广东）股份有限公司</t>
  </si>
  <si>
    <t>葡萄酒;⽶酒;酒精饮料（啤酒除外）;⾼粱酒;⽼酒（中国蒸馏烈酒）;⻩酒;烧酒;烈酒;果酒;⽩酒</t>
  </si>
  <si>
    <t>贡全福</t>
  </si>
  <si>
    <t>李宝刚</t>
  </si>
  <si>
    <t>果酒;烈酒;⽩酒;酒精饮料（啤酒除外）;⾼粱酒;烧酒;⻩酒;清酒;⽶酒;葡萄酒</t>
  </si>
  <si>
    <t>威州壹号</t>
  </si>
  <si>
    <t>林积</t>
  </si>
  <si>
    <t>蒸煮提取物（利⼝酒和烈酒）;预先混合的酒精饮料（以啤酒为主的除外）;葡萄酒;酒精饮料（啤酒除外）;亚⼒酒;果酒（含酒精）;⽶酒;⽩酒;茴芹酒（利⼝酒）;开胃酒</t>
  </si>
  <si>
    <t>飞刀过浪</t>
  </si>
  <si>
    <t>大连福金网络科技有限公司</t>
  </si>
  <si>
    <t>⽶酒;杜松⼦酒;清酒;⽩酒;⽩兰地;薄荷酒;威⼠忌;果酒（含酒精）;葡萄酒;含⽔果酒精饮料</t>
  </si>
  <si>
    <t>南岭钰</t>
  </si>
  <si>
    <t>张威</t>
  </si>
  <si>
    <t>烈酒（饮料）;威⼠忌;⽩兰地;⽩酒;果酒（含酒精）;⾕物制蒸馏酒精饮料;⻩酒;酒精饮料浓缩汁;⻘稞酒;葡萄酒</t>
  </si>
  <si>
    <t>印象乌兰计</t>
  </si>
  <si>
    <t>包头市昆都仑区卜尔汉图镇乌兰计三村经济合作社</t>
  </si>
  <si>
    <t>开胃酒;酒精饮料（啤酒除外）;含酒精的饮料（啤酒除外）;⻩酒;果酒;葡萄酒;⽶酒;烧酒;⾼粱酒;⽩酒</t>
  </si>
  <si>
    <t>思州禧</t>
  </si>
  <si>
    <t>刘西军</t>
  </si>
  <si>
    <t>酒精饮料（啤酒除外）;⻩酒;果酒（含酒精）;⾷⽤酒精;威⼠忌;⽶酒;⽩酒;⾼粱酒;葡萄酒;烧酒</t>
  </si>
  <si>
    <t>湖江湖</t>
  </si>
  <si>
    <t>开胃酒;烧酒;烈酒（饮料）;葡萄酒;清酒;⽩⼲酒（中国⽩酒）;⽩酒;利⼝酒;⻩酒;果酒（含酒精）</t>
  </si>
  <si>
    <t>芝英雄</t>
  </si>
  <si>
    <t>⻩酒;⽩酒;烧酒;烈酒（饮料）;利⼝酒;开胃酒;清酒;葡萄酒;⽩⼲酒（中国⽩酒）;果酒（含酒精）</t>
  </si>
  <si>
    <t>雒城凤藏瑧品</t>
  </si>
  <si>
    <t>葡萄酒;⻩酒;蒸煮提取物（利⼝酒和烈酒）;果酒;烧酒;酒精饮料浓缩汁;烈酒;⾷⽤酒精;⽶酒;⽩酒</t>
  </si>
  <si>
    <t>洪源三关烧</t>
  </si>
  <si>
    <t>德清县上柏酒厂</t>
  </si>
  <si>
    <t>鸡尾酒;葡萄酒;⽶酒;⽩酒;⻩酒;杨梅酒;⽩葡萄酒;含⽔果酒精饮料;烧酒;果酒（含酒精）</t>
  </si>
  <si>
    <t>阅念</t>
  </si>
  <si>
    <t>河南耐思供应链管理有限公司</t>
  </si>
  <si>
    <t>果酒（含酒精）;鸡尾酒;葡萄酒;果酒;红葡萄酒;⽶酒;⽩葡萄酒;⽩酒;⽔果汽酒;预先混合的酒精饮料（以啤酒为主的除外）</t>
  </si>
  <si>
    <t>华孝大德</t>
  </si>
  <si>
    <t>清酒（⽇本⽶酒）;⽶酒;烧酒;鸡尾酒;含⽔果酒精饮料;蜂蜜酒;⽩酒;果酒（含酒精）;酒精饮料（啤酒除外）;葡萄酒</t>
  </si>
  <si>
    <t>鹿承祥</t>
  </si>
  <si>
    <t>吉林省盛邦鹿业有限公司</t>
  </si>
  <si>
    <t>露酒;果酒;烈酒（饮料）;开胃酒;烈酒浓缩汁;⽩⼲酒（中国⽩酒）;⽶酒;烈酒;⽩酒;佐餐酒</t>
  </si>
  <si>
    <t>康咚</t>
  </si>
  <si>
    <t>济宁济邹时代投资有限公司</t>
  </si>
  <si>
    <t>⽩酒;利⼝酒;葡萄酒;酒精饮料原汁;开胃酒;威⼠忌;含⽔果酒精饮料;果酒（含酒精）;烈酒（饮料）;⽶酒</t>
  </si>
  <si>
    <t>晋九昌</t>
  </si>
  <si>
    <t>⾼粱酒;酒精饮料（啤酒除外）;⽶酒;⽩酒;威⼠忌;⻩酒;⾷⽤酒精;葡萄酒;果酒（含酒精）;烧酒</t>
  </si>
  <si>
    <t>泓爱</t>
  </si>
  <si>
    <t>徐恒芳</t>
  </si>
  <si>
    <t>⽼酒（中国蒸馏烈酒）;酒精饮料（啤酒除外）;⽶酒;⽩酒;烧酒;⻩酒;由⾕物蒸馏的⽩酒;⾼粱酒;果酒（含酒精）;葡萄酒</t>
  </si>
  <si>
    <t>飞铸</t>
  </si>
  <si>
    <t>庞海军</t>
  </si>
  <si>
    <t>蒸馏饮料;威⼠忌;⻩酒;葡萄酒;⽩酒;酒精饮料（啤酒除外）;⽶酒;烧酒;鸡尾酒;果酒（含酒精）</t>
  </si>
  <si>
    <t>芙蓉岩</t>
  </si>
  <si>
    <t>利⼝酒;烈酒（饮料）;清酒;葡萄酒;开胃酒;烧酒;果酒（含酒精）;⽩酒;⽩⼲酒（中国⽩酒）;⻩酒</t>
  </si>
  <si>
    <t>藏悦香颂</t>
  </si>
  <si>
    <t>含⽔果酒精饮料;⽩酒;烧酒;果酒（含酒精）;酒精饮料（啤酒除外）;⽶酒;鸡尾酒;葡萄酒;清酒（⽇本⽶酒）;蜂蜜酒</t>
  </si>
  <si>
    <t>凰朝主义</t>
  </si>
  <si>
    <t>果酒（含酒精）;鸡尾酒;葡萄酒;清酒（⽇本⽶酒）;烧酒;含⽔果酒精饮料;⽩酒;蜂蜜酒;⽶酒;酒精饮料（啤酒除外）</t>
  </si>
  <si>
    <t>劳享圈</t>
  </si>
  <si>
    <t>劳斯圈网络技术（北京）有限公司</t>
  </si>
  <si>
    <t>⽩酒;葡萄酒;酒精饮料（啤酒除外）;烈酒（饮料）;果酒（含酒精）;酒精饮料原汁;鸡尾酒;威⼠忌;酒精饮料浓缩汁;⽩兰地</t>
  </si>
  <si>
    <t>团圆光辉</t>
  </si>
  <si>
    <t>威⼠忌;果酒（含酒精）;⻩酒;⽶酒;⾼粱酒;酒精饮料（啤酒除外）;⽩酒;⾷⽤酒精;烧酒;葡萄酒</t>
  </si>
  <si>
    <t>玺界</t>
  </si>
  <si>
    <t>周良义</t>
  </si>
  <si>
    <t>酒精饮料（啤酒除外）;烈酒（饮料）;烧酒;⻩酒;鸡尾酒;⽶酒;葡萄酒;开胃酒;果酒（含酒精）;⽩酒</t>
  </si>
  <si>
    <t>苍洱爱情</t>
  </si>
  <si>
    <t>加油传媒有限公司</t>
  </si>
  <si>
    <t>梅酒;葡萄酒;果酒（含酒精）;⽩酒</t>
  </si>
  <si>
    <t>千钧堂</t>
  </si>
  <si>
    <t>曹朝军</t>
  </si>
  <si>
    <t>⻘稞酒;⻩酒;⽩酒;鸡尾酒;含⽔果酒精饮料;果酒（含酒精）;葡萄酒;酒精饮料（啤酒除外）;烧酒;⽶酒</t>
  </si>
  <si>
    <t>皆不晚</t>
  </si>
  <si>
    <t>慕振鹏</t>
  </si>
  <si>
    <t>蜂蜜酒;⽩酒;含酒精的饮料（啤酒除外）;苹果酒;除啤酒外的酒精饮料;含酒精⽔果饮料;樱桃酒;含⽔果酒精饮料;葡萄酒</t>
  </si>
  <si>
    <t>清熙王</t>
  </si>
  <si>
    <t>⾷⽤酒精;果酒（含酒精）;烧酒;⽩酒;⽶酒;葡萄酒;鸡尾酒;⻩酒;威⼠忌;酒精饮料（啤酒除外）</t>
  </si>
  <si>
    <t>逍崇</t>
  </si>
  <si>
    <t>无锡逍崇供应链管理有限公司</t>
  </si>
  <si>
    <t>果酒;⽶酒;苦艾酒;⻘梅酒;⾼粱酒;葡萄酒;⽩酒;烧酒;杨梅酒;清酒</t>
  </si>
  <si>
    <t>陕开</t>
  </si>
  <si>
    <t>蜂蜜酒;清酒（⽇本⽶酒）;含⽔果酒精饮料;⽶酒;果酒（含酒精）;⽩酒;鸡尾酒;葡萄酒;酒精饮料（啤酒除外）;烧酒</t>
  </si>
  <si>
    <t>大晴</t>
  </si>
  <si>
    <t>长春建宇科技有限公司</t>
  </si>
  <si>
    <t>烧酒;⽩酒;⾷⽤酒精;⻩酒;清酒;威⼠忌;⽶酒;果酒（含酒精）;葡萄酒;含⽔果酒精饮料</t>
  </si>
  <si>
    <t>米记年份</t>
  </si>
  <si>
    <t>米真辉</t>
  </si>
  <si>
    <t>⽼酒（中国蒸馏烈酒）;⾼粱酒;蜂蜜酒;酒精饮料（啤酒除外）;⻩酒;⽩酒;⻘稞酒;果酒;⽶酒;葡萄酒</t>
  </si>
  <si>
    <t>晋合</t>
  </si>
  <si>
    <t>⻩酒;果酒;露酒;葡萄酒;烈酒;⽩酒;⽼酒（中国蒸馏烈酒）;⽩⼲酒（中国⽩酒）;⾼粱酒;烧酒</t>
  </si>
  <si>
    <t>雒城凤藏珍酒</t>
  </si>
  <si>
    <t>烈酒;烧酒;蒸煮提取物（利⼝酒和烈酒）;果酒;⻩酒;酒精饮料浓缩汁;⽩酒;葡萄酒;⾷⽤酒精;⽶酒</t>
  </si>
  <si>
    <t>槐安桥</t>
  </si>
  <si>
    <t>李旭亮</t>
  </si>
  <si>
    <t>蒸馏饮料;⻘稞酒;果酒（含酒精）;酒精饮料（啤酒除外）;⽩酒;⽶酒;⻩酒;烧酒;⾷⽤酒精;葡萄酒</t>
  </si>
  <si>
    <t>溪土妈妈</t>
  </si>
  <si>
    <t>品小二(上海)品牌管理有限公司</t>
  </si>
  <si>
    <t>苹果酒;葡萄酒;威⼠忌;⽶酒;⻘稞酒;⻩酒;果酒（含酒精）;梨酒;蜂蜜酒;⽩酒</t>
  </si>
  <si>
    <t>云尚婵予</t>
  </si>
  <si>
    <t>太和县朱纹婵生物科技有限公司</t>
  </si>
  <si>
    <t>⻩酒;酒精饮料浓缩汁;⽩酒;⽶酒;烧酒;烈酒（饮料）;葡萄酒;含⽔果酒精饮料;果酒（含酒精）;鸡尾酒</t>
  </si>
  <si>
    <t>农膳长</t>
  </si>
  <si>
    <t>陈阳霖</t>
  </si>
  <si>
    <t>果酒（含酒精）;⽶酒;葡萄酒;烈酒（饮料）;餐后酒（利⼝酒和烈酒）;⻩酒;⽩酒;酒精饮料（啤酒除外）;烧酒;酒精饮料原汁</t>
  </si>
  <si>
    <t>农初养</t>
  </si>
  <si>
    <t>唐国庆</t>
  </si>
  <si>
    <t>葡萄酒;酒精饮料（啤酒除外）;烈酒（饮料）;烧酒;⽩酒;酒精饮料原汁;⽶酒;⻩酒;餐后酒（利⼝酒和烈酒）;果酒（含酒精）</t>
  </si>
  <si>
    <t>为樽</t>
  </si>
  <si>
    <t>彭中琴</t>
  </si>
  <si>
    <t>酒精饮料（啤酒除外）;清酒（⽇本⽶酒）;鸡尾酒;⽩酒;葡萄酒;开胃酒;果酒;⻩酒;威⼠忌;烈酒（饮料）</t>
  </si>
  <si>
    <t>农千方</t>
  </si>
  <si>
    <t>林泽涛</t>
  </si>
  <si>
    <t>果酒（含酒精）;餐后酒（利⼝酒和烈酒）;⽩酒;⽶酒;烈酒（饮料）;葡萄酒;酒精饮料原汁;酒精饮料（啤酒除外）;烧酒;⻩酒</t>
  </si>
  <si>
    <t>谷韵客</t>
  </si>
  <si>
    <t>姚永刚</t>
  </si>
  <si>
    <t>开胃酒;清酒（⽇本⽶酒）;⻩酒;⽩酒;酒精饮料（啤酒除外）;葡萄酒;果酒（含酒精）;鸡尾酒;威⼠忌;烈酒</t>
  </si>
  <si>
    <t>古越龙山龙飨</t>
  </si>
  <si>
    <t>⽶酒;⽩酒;甜酒;烧酒;⻩酒;清酒;蒸煮提取物（利⼝酒和烈酒）;葡萄酒;烈酒（饮料）;果酒（含酒精）</t>
  </si>
  <si>
    <t>普拉颂</t>
  </si>
  <si>
    <t>北京麦朴论道科技有限公司</t>
  </si>
  <si>
    <t>葡萄酒;起泡红葡萄酒;杜松⼦酒;烈酒（饮料）;利⼝酒;⽩兰地;威⼠忌;⽩酒;烧酒;朗姆酒</t>
  </si>
  <si>
    <t>皇城门</t>
  </si>
  <si>
    <t>⽢蔗制酒精饮料;烧酒;⽩酒;酒精饮料浓缩汁;烈酒;烈酒（饮料）;⾷⽤酒精;⽶酒;以葡萄酒为主的饮料;梨酒</t>
  </si>
  <si>
    <t>漫小白</t>
  </si>
  <si>
    <t>漫小白智慧科技（上海）有限公司</t>
  </si>
  <si>
    <t>⻩酒;酒精饮料（啤酒除外）;⽶酒;果酒（含酒精）;含酒精的潘趣酒;威⼠忌;⽩酒;鸡尾酒;烧酒;⽩兰地;⾼粱酒;葡萄酒</t>
  </si>
  <si>
    <t>匠王巅</t>
  </si>
  <si>
    <t>烈酒;⽼酒（中国蒸馏烈酒）;威⼠忌;果酒;⾼粱酒;酒精饮料（啤酒除外）;利⼝酒;⽶酒;⽩酒;烧酒</t>
  </si>
  <si>
    <t>腾霖河</t>
  </si>
  <si>
    <t>内蒙古腾霖河酒业有限公司</t>
  </si>
  <si>
    <t>⾼粱酒;甜酒;⻩酒;烧酒;⾷⽤酒精;果酒;葡萄酒;⽶酒;鸡尾酒;⽩酒</t>
  </si>
  <si>
    <t>万鹏村</t>
  </si>
  <si>
    <t>李友丽</t>
  </si>
  <si>
    <t>⾼粱酒;果酒;⽶酒;⽼酒（中国蒸馏烈酒）;⻩酒;烧酒;⽩酒;含酒精的饮料（啤酒除外）;葡萄酒;清酒</t>
  </si>
  <si>
    <t>怀慎</t>
  </si>
  <si>
    <t>王建平</t>
  </si>
  <si>
    <t>酒精饮料（啤酒除外）;威⼠忌;蒸馏饮料;⽩酒;果酒（含酒精）;葡萄酒;⾕物制蒸馏酒精饮料;烧酒;⽶酒;⻩酒</t>
  </si>
  <si>
    <t>御凤仙</t>
  </si>
  <si>
    <t>⽩酒;威⼠忌;⽶酒;烈酒;⽼酒（中国蒸馏烈酒）;⾼粱酒;利⼝酒;烧酒;果酒;酒精饮料（啤酒除外）</t>
  </si>
  <si>
    <t>金翎</t>
  </si>
  <si>
    <t>惠州市天下乐器有限公司</t>
  </si>
  <si>
    <t>⽶酒;酒精饮料（啤酒除外）;清酒;果酒（含酒精）;⾼粱酒;威⼠忌;⽩酒;鸡尾酒;烈酒;葡萄酒</t>
  </si>
  <si>
    <t>拜乾盛世</t>
  </si>
  <si>
    <t>酒精饮料（啤酒除外）;烧酒;⽶酒;果酒（含酒精）;酒精饮料浓缩汁;⾷⽤酒精;⽩酒;佐餐酒;蒸煮提取物（利⼝酒和烈酒）;葡萄酒</t>
  </si>
  <si>
    <t>汣品师</t>
  </si>
  <si>
    <t>星享食品有限公司</t>
  </si>
  <si>
    <t>葡萄酒;鸡尾酒;⽩兰地;含⽔果酒精饮料;⾷⽤酒精;⽩酒;果酒（含酒精）;酒精饮料（啤酒除外）;⽶酒;⻩酒</t>
  </si>
  <si>
    <t>涌进</t>
  </si>
  <si>
    <t>宋利亚</t>
  </si>
  <si>
    <t>⽩酒;威⼠忌;葡萄酒;果酒;鸡尾酒;清酒（⽇本⽶酒）;烈酒（饮料）;⻩酒;开胃酒;酒精饮料（啤酒除外）</t>
  </si>
  <si>
    <t>储香溢</t>
  </si>
  <si>
    <t>海口美兰储香溢老酒商行(个体工商户)</t>
  </si>
  <si>
    <t>⽩酒;葡萄酒;烈酒;⽩⼲酒（中国⽩酒）;果酒（含酒精）;⽶酒;清酒;烧酒;⽼酒（中国蒸馏烈酒）;烧酒（烈酒）</t>
  </si>
  <si>
    <t>倍健喵</t>
  </si>
  <si>
    <t>高强</t>
  </si>
  <si>
    <t>⽩酒;开胃酒;蒸馏饮料;⾼粱酒;烧酒（烈酒）;⽶酒;葡萄酒;果酒（含酒精）;⻘稞酒;⻩酒</t>
  </si>
  <si>
    <t>爱界共鸣</t>
  </si>
  <si>
    <t>广东爱无界文化传媒有限公司</t>
  </si>
  <si>
    <t>鸡尾酒;烈酒（饮料）;酒精饮料（啤酒除外）;⽩酒;葡萄酒;⽶酒;⾷⽤酒精;杨梅酒;梅酒;果酒</t>
  </si>
  <si>
    <t>帝品凤</t>
  </si>
  <si>
    <t>利⼝酒;⽶酒;⽩酒;⾼粱酒;烈酒;果酒;威⼠忌;⽼酒（中国蒸馏烈酒）;酒精饮料（啤酒除外）;烧酒</t>
  </si>
  <si>
    <t>汴乐白</t>
  </si>
  <si>
    <t>开封市初宇网络科技有限公司</t>
  </si>
  <si>
    <t>⽩酒;甜酒;⻩酒;⾼粱酒;⽩⼲酒(中国⽩酒);果酒;烧酒;⽶酒;烈酒;含酒精的饮料(啤酒除外)</t>
  </si>
  <si>
    <t>逸品师</t>
  </si>
  <si>
    <t>特殊沃利餐饮有限公司</t>
  </si>
  <si>
    <t>含⽔果酒精饮料;⾷⽤酒精;鸡尾酒;葡萄酒;酒精饮料（啤酒除外）;⻩酒;⽩酒;果酒（含酒精）;⽩兰地;⽶酒</t>
  </si>
  <si>
    <t>黑灵山</t>
  </si>
  <si>
    <t>蜂蜜酒;⽩酒;烧酒;⻩酒;⽩兰地;果酒（含酒精）;烈酒（饮料）;⽶酒;伏特加酒;鸡尾酒</t>
  </si>
  <si>
    <t>鑫庆花白</t>
  </si>
  <si>
    <t>王健</t>
  </si>
  <si>
    <t>⽩酒;含⽔果酒精饮料;樱桃酒;蜂蜜酒;开胃酒;酒精饮料（啤酒除外）;苹果酒;葡萄酒;梨酒;⾷⽤酒精</t>
  </si>
  <si>
    <t>金润来</t>
  </si>
  <si>
    <t>葡萄酒;果酒;含酒精的饮料（啤酒除外）;⽩酒;⽼酒（中国蒸馏烈酒）;⻩酒;清酒;烧酒;⽶酒;⾼粱酒</t>
  </si>
  <si>
    <t>妃子恋</t>
  </si>
  <si>
    <t>张利平</t>
  </si>
  <si>
    <t>葡萄酒;酒精饮料（啤酒除外）;⽶酒;开胃酒;含⽔果酒精饮料;果酒（含酒精）;⾷⽤酒精;苹果酒;鸡尾酒;⽩酒</t>
  </si>
  <si>
    <t>千言陆羽</t>
  </si>
  <si>
    <t>冯俊伟</t>
  </si>
  <si>
    <t>⽩酒;鸡尾酒;含酒精的饮料（啤酒除外）;果酒;调制好的葡萄酒鸡尾酒;葡萄酒;⾼粱酒;⻘梅酒;⽶酒;⻩酒</t>
  </si>
  <si>
    <t>麦凯莱</t>
  </si>
  <si>
    <t>上海古道驼铃酒业有限公司</t>
  </si>
  <si>
    <t>开胃酒;葡萄酒;烈酒（饮料）;果酒（含酒精）;⽩酒;烧酒;蒸馏饮料;酒精饮料（啤酒除外）;⻩酒;⽶酒</t>
  </si>
  <si>
    <t>甜山水</t>
  </si>
  <si>
    <t>果酒;清酒;⾼粱酒;葡萄酒;烧酒;⻩酒;⽩酒;含酒精的饮料（啤酒除外）;⽼酒（中国蒸馏烈酒）;⽶酒</t>
  </si>
  <si>
    <t>怀孤</t>
  </si>
  <si>
    <t>⽩酒;蒸馏饮料;葡萄酒;果酒（含酒精）;威⼠忌;⻩酒;⽶酒;酒精饮料（啤酒除外）;烧酒;⾕物制蒸馏酒精饮料</t>
  </si>
  <si>
    <t>聚百乐</t>
  </si>
  <si>
    <t>南京新文化教育咨询有限公司</t>
  </si>
  <si>
    <t>烈酒（饮料）;⽶酒;⻘稞酒;⾼粱酒;⾷⽤酒精;烧酒;⽼酒（中国蒸馏烈酒）;葡萄酒;⻩酒;⽩酒</t>
  </si>
  <si>
    <t>汣品顺</t>
  </si>
  <si>
    <t>⻩酒;葡萄酒;⽩兰地;酒精饮料（啤酒除外）;⽩酒;鸡尾酒;⾷⽤酒精;含⽔果酒精饮料;⽶酒;果酒（含酒精）</t>
  </si>
  <si>
    <t>疆湖恋</t>
  </si>
  <si>
    <t>新星市盛世酒业有限公司</t>
  </si>
  <si>
    <t>⾷⽤酒精;烧酒;⽩酒;烈酒（饮料）;利⼝酒;果酒（含酒精）;烈酒;烧酒（烈酒）;饮⽤烈酒;⻩酒</t>
  </si>
  <si>
    <t>2024/07/29</t>
  </si>
  <si>
    <t>忻屿扉礼</t>
  </si>
  <si>
    <t>焦路路</t>
  </si>
  <si>
    <t>奎湖</t>
  </si>
  <si>
    <t>芜湖奎湖现代渔业有限公司</t>
  </si>
  <si>
    <t>⽼酒（中国蒸馏烈酒）;威⼠忌;⾼粱酒;⽶酒;葡萄酒;⻩酒;清酒;⽩兰地;果酒;利⼝酒</t>
  </si>
  <si>
    <t>牧诗莱思</t>
  </si>
  <si>
    <t>乌鲁木齐一心悦读文化科技有限公司</t>
  </si>
  <si>
    <t>葡萄酒;清酒（⽇本⽶酒）;朗姆酒;⽩兰地;烧酒;⽩酒;伏特加酒;果酒（含酒精）;鸡尾酒;威⼠忌</t>
  </si>
  <si>
    <t>山东好优食品有限公司</t>
  </si>
  <si>
    <t>含⽔果酒精饮料;葡萄酒;果酒（含酒精）;烈酒（饮料）;烧酒;⽩酒;⽶酒;酒精饮料（啤酒除外）;开胃酒;⽩兰地</t>
  </si>
  <si>
    <t>思中三拱桥</t>
  </si>
  <si>
    <t>贵州省仁怀市九实酒业有限公司</t>
  </si>
  <si>
    <t>⾷⽤酒精;葡萄酒;梅酒;鸡尾酒;⻩酒;⻘稞酒;⽩酒;烧酒;⽶酒;伏特加酒</t>
  </si>
  <si>
    <t>忆南繁</t>
  </si>
  <si>
    <t>江西蒸栈泉酒业有限公司</t>
  </si>
  <si>
    <t>⽩酒;⾼粱酒;⽩⼲酒（中国⽩酒）;烈性⼲酒;由⾕物蒸馏的⽩酒;含酒精⽔果饮料;五加⽪酒（中国混合烈酒）;果酒（含酒精）;杨梅酒</t>
  </si>
  <si>
    <t>壹抠壹</t>
  </si>
  <si>
    <t>贵州壹抠壹网络传媒科技发展有限公司</t>
  </si>
  <si>
    <t>⽩酒;伏特加酒;⽶酒;烈酒（饮料）;酒精饮料原汁;鸡尾酒;⽩兰地;果酒（含酒精）;烧酒;威⼠忌</t>
  </si>
  <si>
    <t>漷州</t>
  </si>
  <si>
    <t>北京漷州酒业有限公司</t>
  </si>
  <si>
    <t>果酒（含酒精）;⾼粱酒;以葡萄酒为主的饮料;葡萄酒;鸡尾酒;⽶酒;酒精饮料浓缩汁;烧酒;⽩酒;蒸馏饮料</t>
  </si>
  <si>
    <t>长观</t>
  </si>
  <si>
    <t>千椰万果文化创意（武汉）有限公司</t>
  </si>
  <si>
    <t>果酒（含酒精）;烈酒（饮料）;⽶酒;蒸馏饮料;葡萄酒;⻩酒;⽩酒;鸡尾酒;烧酒;酒精饮料（啤酒除外）</t>
  </si>
  <si>
    <t>伊卡妮理查</t>
  </si>
  <si>
    <t>蓬莱卡诗蒂酒业有限公司</t>
  </si>
  <si>
    <t>⽩兰地;蒸煮提取物（利⼝酒和烈酒）;鸡尾酒;⽩酒;果酒（含酒精）;葡萄酒;朗姆酒;威⼠忌;酒精饮料（啤酒除外）;汽酒</t>
  </si>
  <si>
    <t>傲承千秋</t>
  </si>
  <si>
    <t>酒精饮料浓缩汁;⾷⽤酒精;佐餐酒;⽩酒;葡萄酒;果酒（含酒精）;烧酒;蒸煮提取物（利⼝酒和烈酒）;酒精饮料（啤酒除外）;⽶酒</t>
  </si>
  <si>
    <t>史狄威</t>
  </si>
  <si>
    <t>济南道珉供应链管理服务有限责任公司</t>
  </si>
  <si>
    <t>樱桃酒;果酒（含酒精）;⻩酒;葡萄酒;苹果酒;烧酒;⽩酒;⽩兰地;清酒（⽇本⽶酒）;⽶酒</t>
  </si>
  <si>
    <t>吴记香滇厨</t>
  </si>
  <si>
    <t>吴元锁532233********2911</t>
  </si>
  <si>
    <t>烧酒;含⽔果酒精饮料;预先混合的酒精饮料（以啤酒为主的除外）;⻘稞酒;⽩⼲酒（中国⽩酒）;饮⽤烈酒;含酒精的鸡尾酒混合饮品;果酒（含酒精）;酒精饮料（啤酒除外）;除啤酒外的酒精饮料</t>
  </si>
  <si>
    <t>求客</t>
  </si>
  <si>
    <t>徐州君钻酒业有限公司</t>
  </si>
  <si>
    <t>开胃酒;梨酒;⽩酒;⻩酒;⻘稞酒;利⼝酒;⽶酒;葡萄酒;清酒（⽇本⽶酒）;烧酒</t>
  </si>
  <si>
    <t>迪鹏逸</t>
  </si>
  <si>
    <t>深圳市鹏逸物业有限公司</t>
  </si>
  <si>
    <t>葡萄酒;蜂蜜酒;烧酒;清酒;果酒（含酒精）;⾷⽤酒精;⽩酒;汽酒;⻩酒</t>
  </si>
  <si>
    <t>冀家巷</t>
  </si>
  <si>
    <t>冀杰</t>
  </si>
  <si>
    <t>烈酒（饮料）;葡萄酒;烧酒;⽩酒;酒精饮料（啤酒除外）;伏特加酒;⽶酒;开胃酒;⻩酒;鸡尾酒</t>
  </si>
  <si>
    <t>求悟</t>
  </si>
  <si>
    <t>徐州世家酿酒业有限公司</t>
  </si>
  <si>
    <t>开胃酒;梨酒;清酒（⽇本⽶酒）;⻘稞酒;葡萄酒;烧酒;利⼝酒;威⼠忌;⽩酒;⻩酒</t>
  </si>
  <si>
    <t>当趣</t>
  </si>
  <si>
    <t>当趣网络科技（杭州）有限公司</t>
  </si>
  <si>
    <t>⽩酒;烧酒（烈酒）;葡萄酒;⽶酒;烈酒（饮料）;⻩酒;梅酒;清酒;饮⽤烈酒;⽩兰地</t>
  </si>
  <si>
    <t>PONIE MANOR</t>
  </si>
  <si>
    <t>尊贵酒业（深圳）集团有限公司</t>
  </si>
  <si>
    <t>果酒（含酒精）;⽩酒;⽩兰地;伏特加酒;酒精饮料（啤酒除外）;含⽔果酒精饮料;威⼠忌;葡萄酒;烈酒（饮料）;⻩酒</t>
  </si>
  <si>
    <t>遵汇名匠</t>
  </si>
  <si>
    <t>彭洪轩</t>
  </si>
  <si>
    <t>葡萄酒;威⼠忌;酒精饮料原汁;鸡尾酒;烈酒（饮料）;⽩酒;清酒（⽇本⽶酒）;伏特加酒;酒精饮料（啤酒除外）;⽶酒</t>
  </si>
  <si>
    <t>百联李记</t>
  </si>
  <si>
    <t>贵州九第酒业有限公司</t>
  </si>
  <si>
    <t>⽩兰地;葡萄酒;⻩酒;烈酒;⽼酒（中国蒸馏烈酒）;蜂蜜酒;⽶酒;⽩酒;蝮蛇酒;果酒（含酒精）</t>
  </si>
  <si>
    <t>桃依竹</t>
  </si>
  <si>
    <t>广州燊劳贸易有限公司</t>
  </si>
  <si>
    <t>苦味酒;⻩酒;葡萄酒;酒精饮料（啤酒除外）;烧酒;⾕物制蒸馏酒精饮料;蜂蜜酒;烈酒（饮料）;⽶酒;蒸馏饮料</t>
  </si>
  <si>
    <t>天方棠</t>
  </si>
  <si>
    <t>符文杰</t>
  </si>
  <si>
    <t>果酒（含酒精）;开胃酒;烧酒;鸡尾酒;⽩酒;蒸馏饮料;⾼粱酒;⽶酒;葡萄酒;烈酒</t>
  </si>
  <si>
    <t>君台厚酿</t>
  </si>
  <si>
    <t>贵州君台厚酱酒业有限公司</t>
  </si>
  <si>
    <t>威⼠忌;朗姆酒;果酒（含酒精）;⽩兰地;⻩酒;鸡尾酒;⽩酒;葡萄酒;酒精饮料（啤酒除外）;烧酒</t>
  </si>
  <si>
    <t>鸿莯</t>
  </si>
  <si>
    <t>甘小洪</t>
  </si>
  <si>
    <t>蒸馏饮料;威⼠忌;⻩酒;果酒（含酒精）;⽩酒;⽩兰地;鸡尾酒;葡萄酒;⽶酒;烧酒</t>
  </si>
  <si>
    <t>京台朻</t>
  </si>
  <si>
    <t>烧酒;葡萄酒;⻩酒;果酒;酒精饮料（啤酒除外）;鸡尾酒;⽩⼲酒（中国⽩酒）;⽩酒;饮⽤烈酒;由⾕物蒸馏的⽩酒</t>
  </si>
  <si>
    <t>荞三风</t>
  </si>
  <si>
    <t>文山市会来商贸有限公司</t>
  </si>
  <si>
    <t>⻩酒;烈酒（饮料）;利⼝酒;蒸馏饮料;⾕物制蒸馏酒精饮料;⽶酒;⽩酒;葡萄酒;果酒（含酒精）;蒸煮提取物（利⼝酒和烈酒）</t>
  </si>
  <si>
    <t>享鑫仁</t>
  </si>
  <si>
    <t>贵州省仁怀市怡润餐饮服务有限公司</t>
  </si>
  <si>
    <t>烧酒;⻘稞酒;⽼酒（中国蒸馏烈酒）;酒精饮料（啤酒除外）;⽩⼲酒（中国⽩酒）;葡萄酒;⽩酒;⾼粱酒;果酒（含酒精）;⾷⽤酒精</t>
  </si>
  <si>
    <t>大随四禾</t>
  </si>
  <si>
    <t>杨勇</t>
  </si>
  <si>
    <t>烧酒;⻩酒;红葡萄酒;⽩酒;清酒;⽶酒;甜酒;烈酒;果酒;酒精饮料（啤酒除外）</t>
  </si>
  <si>
    <t>菠乐多</t>
  </si>
  <si>
    <t>四川孔师傅食品有限公司</t>
  </si>
  <si>
    <t>蜂蜜酒;含⽔果酒精饮料;⻩酒;以葡萄酒为主的饮料;开胃酒;葡萄酒;⽩酒;⽶酒;餐后酒（利⼝酒和烈酒）;果酒（含酒精）</t>
  </si>
  <si>
    <t>后声</t>
  </si>
  <si>
    <t>佘素敏</t>
  </si>
  <si>
    <t>含酒精⽔果饮料;葡萄酒;果酒（含酒精）;⽩兰地;⻩酒;烧酒;⽩酒;⾕物制蒸馏酒精饮料;威⼠忌;⽶酒</t>
  </si>
  <si>
    <t>SK</t>
  </si>
  <si>
    <t>初美时代生物有限公司</t>
  </si>
  <si>
    <t>⽩兰地;果酒（含酒精）;⽩酒;⽶酒;蜂蜜酒;⻩酒;酒精饮料（啤酒除外）;葡萄酒;鸡尾酒;威⼠忌</t>
  </si>
  <si>
    <t>河夜曲</t>
  </si>
  <si>
    <t>南岸区佳禾酒水坊（个体工商户）</t>
  </si>
  <si>
    <t>开胃酒;⽶酒;汽酒;烈酒（饮料）;葡萄酒;⻩酒;酒精饮料（啤酒除外）;⽩酒;鸡尾酒;果酒（含酒精）</t>
  </si>
  <si>
    <t>酉情</t>
  </si>
  <si>
    <t>广州市番禺区大石友善电子商务商行（个体工商户）</t>
  </si>
  <si>
    <t>烧酒;⽩酒;鸡尾酒;葡萄酒;⽶酒;酒精饮料（啤酒除外）;果酒;清酒;威⼠忌;⻩酒</t>
  </si>
  <si>
    <t>掼乐</t>
  </si>
  <si>
    <t>上海朵朴国际贸易有限公司</t>
  </si>
  <si>
    <t>⻩酒;⽩酒;⽶酒;伏特加酒;威⼠忌;烈酒;清酒;⽩兰地;朗姆酒;葡萄酒</t>
  </si>
  <si>
    <t>孙思远地利</t>
  </si>
  <si>
    <t>四川老孙家的酒文化传播有限公司</t>
  </si>
  <si>
    <t>⽩酒;葡萄酒;蒸馏饮料;⽶酒;樱桃酒;⻩酒;烧酒;果酒（含酒精）;苹果酒;清酒</t>
  </si>
  <si>
    <t>渡百生</t>
  </si>
  <si>
    <t>三只豺网络技术（重庆）有限公司</t>
  </si>
  <si>
    <t>果酒（含酒精）;烈酒（饮料）;⽶酒;烧酒;预先混合的酒精饮料（以啤酒为主的除外）;葡萄酒;酒精饮料（啤酒除外）;⽩酒;⻩酒;蒸煮提取物（利⼝酒和烈酒）</t>
  </si>
  <si>
    <t>贵河鸿</t>
  </si>
  <si>
    <t>司政倡</t>
  </si>
  <si>
    <t>⽩兰地;含⽔果酒精饮料;果酒（含酒精）;⻩酒;酒精饮料（啤酒除外）;开胃酒;葡萄酒;酒精饮料原汁;⽩酒;烧酒</t>
  </si>
  <si>
    <t>拥正</t>
  </si>
  <si>
    <t>朱小英</t>
  </si>
  <si>
    <t>⽩兰地;⽶酒;⾕物制蒸馏酒精饮料;烧酒;葡萄酒;⽩酒;伏特加酒;⾷⽤酒精;果酒（含酒精）;⻩酒</t>
  </si>
  <si>
    <t>侨月圆</t>
  </si>
  <si>
    <t>广东乐供国际控股有限公司</t>
  </si>
  <si>
    <t>⻩酒;酒精饮料（啤酒除外）;⽶酒;果酒（含酒精）;烈酒（饮料）;朗姆酒;⽩酒;威⼠忌;鸡尾酒;葡萄酒</t>
  </si>
  <si>
    <t>雄大</t>
  </si>
  <si>
    <t>尹月强</t>
  </si>
  <si>
    <t>⾼粱酒;⽼酒（中国蒸馏烈酒）;⽩酒;⻘稞酒;烧酒;葡萄酒;开胃酒;清酒;果酒;⽩⼲酒（中国⽩酒）</t>
  </si>
  <si>
    <t>莫德茨瓦</t>
  </si>
  <si>
    <t>深圳明图未来科技有限公司</t>
  </si>
  <si>
    <t>⽩兰地;鸡尾酒;葡萄酒;威⼠忌;⽩酒;酒精饮料（啤酒除外）;伏特加酒;朗姆酒;果酒（含酒精）;苹果酒</t>
  </si>
  <si>
    <t>君台厚工</t>
  </si>
  <si>
    <t>威⼠忌;葡萄酒;果酒（含酒精）;朗姆酒;⽩酒;⽩兰地;酒精饮料（啤酒除外）;鸡尾酒;⻩酒;烧酒</t>
  </si>
  <si>
    <t>君台厚粮</t>
  </si>
  <si>
    <t>⻩酒;威⼠忌;酒精饮料（啤酒除外）;⽩酒;鸡尾酒;朗姆酒;果酒（含酒精）;⽩兰地;烧酒;葡萄酒</t>
  </si>
  <si>
    <t>黔羊飞</t>
  </si>
  <si>
    <t>张松庆520201********3630</t>
  </si>
  <si>
    <t>⽶酒;⽩⼲酒（中国⽩酒）;鸡尾酒;⽩兰地;烧酒;⻩酒;⽩酒;葡萄酒;果酒（含酒精）;酒精饮料（啤酒除外）</t>
  </si>
  <si>
    <t>苗泉恒新</t>
  </si>
  <si>
    <t>云南苗泉恒新食品有限公司</t>
  </si>
  <si>
    <t>汽酒;烧酒;果酒;酒精饮料（啤酒除外）;蒸煮提取物（利⼝酒和烈酒）;⻘稞酒;葡萄酒;⽶酒;⾼粱酒;⽩酒</t>
  </si>
  <si>
    <t>汉廷同盛源</t>
  </si>
  <si>
    <t>潍坊同盛源商贸有限公司</t>
  </si>
  <si>
    <t>利⼝酒;⽩⼲酒（中国⽩酒）;烈酒（饮料）;⽶酒;葡萄酒;清酒（⽇本⽶酒）;⽩酒;果酒;开胃酒;烧酒</t>
  </si>
  <si>
    <t>梦丽洋</t>
  </si>
  <si>
    <t>淮安梦丽洋药业有限公司</t>
  </si>
  <si>
    <t>⻩酒;清酒;烈酒;果酒;开胃酒;酒精饮料（啤酒除外）;⽩酒;葡萄酒;鸡尾酒;露酒</t>
  </si>
  <si>
    <t>君子晏如</t>
  </si>
  <si>
    <t>北京恒宇畅通汽车贸易有限公司</t>
  </si>
  <si>
    <t>威⼠忌;鸡尾酒;利⼝酒;葡萄酒;⽩酒;⽶酒;朗姆酒;伏特加酒;⽩兰地;果酒（含酒精）</t>
  </si>
  <si>
    <t>永丰君临</t>
  </si>
  <si>
    <t>北京二锅头酒业股份有限公司</t>
  </si>
  <si>
    <t>鸡尾酒;葡萄酒;利⼝酒;烈酒（饮料）;⽼酒（中国蒸馏烈酒）;烧酒;⽩酒;开胃酒;蒸馏饮料;酒精饮料（啤酒除外）</t>
  </si>
  <si>
    <t>津江南</t>
  </si>
  <si>
    <t>张平</t>
  </si>
  <si>
    <t>清酒（⽇本⽶酒）;⽶酒;⽩酒;果酒;烧酒;葡萄酒;⻘稞酒;蒸馏饮料;烈酒;酒精饮料浓缩汁</t>
  </si>
  <si>
    <t>东升灌</t>
  </si>
  <si>
    <t>林长伟</t>
  </si>
  <si>
    <t>果酒（含酒精）;烧酒;葡萄酒;⽩酒;⻩酒;清酒（⽇本⽶酒）;鸡尾酒;烈酒（饮料）;酒精饮料（啤酒除外）;⽶酒</t>
  </si>
  <si>
    <t>星鹤三花</t>
  </si>
  <si>
    <t>保定市创发酒业有限公司</t>
  </si>
  <si>
    <t>果酒（含酒精）;蒸煮提取物（利⼝酒和烈酒）;酒精饮料原汁;⽩酒;⻘稞酒;烧酒;预先混合的酒精饮料（以啤酒为主的除外）;⻩酒;酒精饮料（啤酒除外）;蒸馏饮料</t>
  </si>
  <si>
    <t>中禾鸿</t>
  </si>
  <si>
    <t>福建旭禾米业有限公司</t>
  </si>
  <si>
    <t>果酒（含酒精）;含⽔果酒精饮料;⾼粱酒;⻩酒;⽼酒（中国蒸馏烈酒）;⾷⽤酒精;蒸馏⽶酒（泡盛酒）;⽩酒;烧酒;⽶酒</t>
  </si>
  <si>
    <t>葡萄酒;⽩兰地;朗姆酒;果酒;清酒;威⼠忌;含⽔果酒精饮料;⽶酒;烧酒;以葡萄酒为主的饮料</t>
  </si>
  <si>
    <t>帝春秘</t>
  </si>
  <si>
    <t>鸡尾酒;蜂蜜酒;含⽔果酒精饮料;⽶酒;⽩兰地;果酒（含酒精）;蒸馏饮料;威⼠忌;葡萄酒;⽩酒</t>
  </si>
  <si>
    <t>葛洪圣元</t>
  </si>
  <si>
    <t>山东省华硒生物制药有限公司</t>
  </si>
  <si>
    <t>⽶酒;蜂蜜酒;果酒（含酒精）;清酒（⽇本⽶酒）;烈酒（饮料）;⽩酒;威⼠忌;甜酒;葡萄酒;酒精饮料（啤酒除外）</t>
  </si>
  <si>
    <t>开妙</t>
  </si>
  <si>
    <t>葡萄酒;威⼠忌;⽶酒;含⽔果酒精饮料;蜂蜜酒;⽩兰地;果酒（含酒精）;蒸馏饮料;鸡尾酒;⽩酒</t>
  </si>
  <si>
    <t>俏清花</t>
  </si>
  <si>
    <t>徐婧</t>
  </si>
  <si>
    <t>烈酒（饮料）;烧酒;葡萄酒;餐后酒（利⼝酒和烈酒）;⽩酒;酒精饮料原汁;酒精饮料（啤酒除外）;⽶酒;⻩酒;果酒（含酒精）</t>
  </si>
  <si>
    <t>壹悟须臾</t>
  </si>
  <si>
    <t>武汉至简天成食品有限公司</t>
  </si>
  <si>
    <t>⻩酒;清酒（⽇本⽶酒）;⽶酒;⽩酒;⻘稞酒;烧酒;威⼠忌;汽酒;⽩兰地;葡萄酒</t>
  </si>
  <si>
    <t>兴万邦</t>
  </si>
  <si>
    <t>戴晋华</t>
  </si>
  <si>
    <t>烧酒;果酒（含酒精）;蒸馏饮料;酒精饮料（啤酒除外）;⽩兰地;烈酒（饮料）;⽩酒;威⼠忌;鸡尾酒;葡萄酒</t>
  </si>
  <si>
    <t>郁轮袍</t>
  </si>
  <si>
    <t>李宣慧</t>
  </si>
  <si>
    <t>葡萄酒;烈酒（饮料）;烧酒;酒精饮料（啤酒除外）;⽩酒;果酒（含酒精）;酒精饮料原汁;清酒（⽇本⽶酒）;⻩酒;鸡尾酒</t>
  </si>
  <si>
    <t>林家儿女</t>
  </si>
  <si>
    <t>安济桥老白干酒业股份有限公司</t>
  </si>
  <si>
    <t>蒸馏饮料;清酒;甜果酒;⽶酒;⻩酒;⽩⼲酒（中国⽩酒）;葡萄酒;薄荷酒;果酒（含酒精）;⽩酒</t>
  </si>
  <si>
    <t>宏媛</t>
  </si>
  <si>
    <t>深圳市宏媛控股(集团)有限公司</t>
  </si>
  <si>
    <t>果酒（含酒精）;烧酒;⽶酒;葡萄酒;蜂蜜酒;⻩酒;⽩酒;蒸馏饮料;开胃酒;含酒精的⽔果鸡尾酒饮料</t>
  </si>
  <si>
    <t>弘毅</t>
  </si>
  <si>
    <t>河北巨鑫酒业有限公司</t>
  </si>
  <si>
    <t>⻩酒;威⼠忌;果酒（含酒精）;伏特加酒;烈酒（饮料）;⽩酒;葡萄酒;⽩兰地;⽶酒;清酒</t>
  </si>
  <si>
    <t>明代井</t>
  </si>
  <si>
    <t>亳州十里飘香酒业有限公司</t>
  </si>
  <si>
    <t>蒸馏饮料;⽶酒;葡萄酒;烧酒;⽼酒（中国蒸馏烈酒）;⻩酒;⾷⽤酒精;清酒（⽇本⽶酒）;⻘稞酒;⽩酒</t>
  </si>
  <si>
    <t>木纹松</t>
  </si>
  <si>
    <t>贵州智闻酒业有限责任公司</t>
  </si>
  <si>
    <t>蒸馏饮料;葡萄酒;鸡尾酒;烈酒（饮料）;果酒;⽩酒;蜂蜜酒;烧酒;⽶酒;酒精饮料（啤酒除外）</t>
  </si>
  <si>
    <t>山河九洲</t>
  </si>
  <si>
    <t>利⼝酒;苦味酒;葡萄酒;⻩酒;果酒（含酒精）;开胃酒;⽩酒;⽶酒;烈酒（饮料）;鸡尾酒</t>
  </si>
  <si>
    <t>AUGUST BLISS</t>
  </si>
  <si>
    <t>八月玖喜（杭州）文化创意有限公司</t>
  </si>
  <si>
    <t>汽酒;蒸煮提取物（利⼝酒和烈酒）;开胃酒;⽩酒;威⼠忌;清酒（⽇本⽶酒）;含⽔果酒精饮料;酒精饮料（啤酒除外）;薄荷酒;⾷⽤酒精</t>
  </si>
  <si>
    <t>泉小萌</t>
  </si>
  <si>
    <t>葡萄酒;酒精饮料（啤酒除外）;⻩酒;果酒（含酒精）;朗姆酒;⽶酒;烈酒（饮料）;⽩酒;鸡尾酒;威⼠忌</t>
  </si>
  <si>
    <t>美妍世家</t>
  </si>
  <si>
    <t>山东兰之妍化妆品有限公司</t>
  </si>
  <si>
    <t>⽶酒;⻩酒;葡萄酒;梨酒;⽩酒;威⼠忌;鸡尾酒;酒精饮料（啤酒除外）;烧酒;果酒（含酒精）</t>
  </si>
  <si>
    <t>大汉蓝妍</t>
  </si>
  <si>
    <t>山东汉妆生物科技有限公司</t>
  </si>
  <si>
    <t>梨酒;⽶酒;鸡尾酒;果酒（含酒精）;⽩酒;威⼠忌;酒精饮料（啤酒除外）;烧酒;⻩酒;葡萄酒</t>
  </si>
  <si>
    <t>虎柠</t>
  </si>
  <si>
    <t>美高（大理）商贸有限责任公司</t>
  </si>
  <si>
    <t>葡萄酒;⽶酒;果酒（含酒精）;威⼠忌;⻩酒;酒精饮料（啤酒除外）;清酒（⽇本⽶酒）;烧酒;⽩兰地;⽩酒</t>
  </si>
  <si>
    <t>秦池千日醉</t>
  </si>
  <si>
    <t>山东秦池酒业有限公司</t>
  </si>
  <si>
    <t>果酒（含酒精）;酒精饮料（啤酒除外）;⻩酒;葡萄酒;烧酒;⽶酒;烈酒（饮料）;清酒（⽇本⽶酒）;⽩酒;酒精饮料浓缩汁</t>
  </si>
  <si>
    <t>尚至然</t>
  </si>
  <si>
    <t>尚至然（河北）网络科技有限公司</t>
  </si>
  <si>
    <t>⽩酒;开胃酒;酒精饮料（啤酒除外）;鸡尾酒;⽶酒;烈酒（饮料）;果酒（含酒精）;酒精饮料原汁;清酒（⽇本⽶酒）;葡萄酒</t>
  </si>
  <si>
    <t>东方初</t>
  </si>
  <si>
    <t>李应贤</t>
  </si>
  <si>
    <t>小萝贝贝</t>
  </si>
  <si>
    <t>⽶酒;果酒（含酒精）;烈酒（饮料）;⻩酒;⽩酒;朗姆酒;鸡尾酒;威⼠忌;酒精饮料（啤酒除外）;葡萄酒</t>
  </si>
  <si>
    <t>悦加满</t>
  </si>
  <si>
    <t>合肥贝甜井文化传媒有限公司</t>
  </si>
  <si>
    <t>⽩兰地;果酒（含酒精）;⽩酒;威⼠忌;酒精饮料（啤酒除外）;⾷⽤酒精;葡萄酒;烈酒（饮料）;伏特加酒;⻩酒</t>
  </si>
  <si>
    <t>毕纳百川</t>
  </si>
  <si>
    <t>⽶酒;酒精饮料浓缩汁;果酒（含酒精）;烧酒;佐餐酒;葡萄酒;蒸煮提取物（利⼝酒和烈酒）;酒精饮料（啤酒除外）;⾷⽤酒精;⽩酒</t>
  </si>
  <si>
    <t>君台天工</t>
  </si>
  <si>
    <t>葡萄酒;烧酒;酒精饮料（啤酒除外）;鸡尾酒;⻩酒;果酒（含酒精）;⽩酒;威⼠忌;⽩兰地;朗姆酒</t>
  </si>
  <si>
    <t>君台厚养</t>
  </si>
  <si>
    <t>朗姆酒;⽩兰地;鸡尾酒;⻩酒;酒精饮料（啤酒除外）;果酒（含酒精）;烧酒;⽩酒;葡萄酒;威⼠忌</t>
  </si>
  <si>
    <t>君台厚礼</t>
  </si>
  <si>
    <t>果酒（含酒精）;威⼠忌;烧酒;⽩兰地;⻩酒;朗姆酒;⽩酒;酒精饮料（啤酒除外）;鸡尾酒;葡萄酒</t>
  </si>
  <si>
    <t>盅年</t>
  </si>
  <si>
    <t>曲阳恒岳酒业有限公司</t>
  </si>
  <si>
    <t>开胃酒;⽩酒;葡萄酒;酒精饮料（啤酒除外）;餐后酒（利⼝酒和烈酒）;烧酒;果酒（含酒精）;⽶酒;⾷⽤酒精;⻩酒</t>
  </si>
  <si>
    <t>掼皇</t>
  </si>
  <si>
    <t>清酒;烈酒;⻩酒;威⼠忌;朗姆酒;⽩兰地;⽩酒;⽶酒;伏特加酒;葡萄酒</t>
  </si>
  <si>
    <t>有福八闽</t>
  </si>
  <si>
    <t>福建漫鱼动漫科技股份有限公司</t>
  </si>
  <si>
    <t>酒精饮料（啤酒除外）;葡萄酒;烈酒;⽩酒;⽶酒;果酒;蜂蜜酒;鸡尾酒;⾷⽤酒精;开胃酒</t>
  </si>
  <si>
    <t>观古</t>
  </si>
  <si>
    <t>贵州世纪荣和酒业有限公司</t>
  </si>
  <si>
    <t>含⽔果酒精饮料;⽶酒;鸡尾酒;⻩酒;酒精饮料（啤酒除外）;葡萄酒;开胃酒;烈酒（饮料）;⽩酒;烧酒</t>
  </si>
  <si>
    <t>西安叁宝烤肉餐饮有限公司</t>
  </si>
  <si>
    <t>樱桃酒;酒精饮料（啤酒除外）;威⼠忌;烈酒（饮料）;烧酒;⽇式甜⽶酒;葡萄酒;⻩酒;含⽔果酒精饮料;⽩酒</t>
  </si>
  <si>
    <t>四大名福</t>
  </si>
  <si>
    <t>贵州省仁怀市福人德酒业有限公司</t>
  </si>
  <si>
    <t>酒精饮料（啤酒除外）;利⼝酒;威⼠忌;⻘稞酒;⽩酒;伏特加酒;烧酒;清酒（⽇本⽶酒）;⻩酒;葡萄酒</t>
  </si>
  <si>
    <t>HANFORD</t>
  </si>
  <si>
    <t>广东恒基实业投资发展有限公司</t>
  </si>
  <si>
    <t>薄荷酒;果酒（含酒精）;⻩酒;开胃酒;⽶酒;葡萄酒;烧酒;汽酒;⽩酒;利⼝酒</t>
  </si>
  <si>
    <t>掼宴</t>
  </si>
  <si>
    <t>烈酒;伏特加酒;朗姆酒;⽩酒;威⼠忌;⽩兰地;清酒;⽶酒;⻩酒;葡萄酒</t>
  </si>
  <si>
    <t>清酒（⽇本⽶酒）;葡萄酒;蒸煮提取物（利⼝酒和烈酒）;烈酒（饮料）;⽶酒;酒精饮料（啤酒除外）;果酒（含酒精）;鸡尾酒;烧酒;⽩酒</t>
  </si>
  <si>
    <t>杏福绽放</t>
  </si>
  <si>
    <t>林楚城</t>
  </si>
  <si>
    <t>⽩兰地;⽶酒;鸡尾酒;烧酒;威⼠忌;烈酒;葡萄酒;⻩酒;含⽔果酒精饮料;⽩酒</t>
  </si>
  <si>
    <t>康知福</t>
  </si>
  <si>
    <t>武汉康知福医疗器械有限公司</t>
  </si>
  <si>
    <t>鸡尾酒;⽶酒;⻩酒;果酒（含酒精）;烧酒;⽩酒;葡萄酒;威⼠忌;酒精饮料（啤酒除外）;朗姆酒</t>
  </si>
  <si>
    <t>文酒龙欢</t>
  </si>
  <si>
    <t>云南乾泰农业有限公司</t>
  </si>
  <si>
    <t>⽶酒;烧酒;苦荞酒;⽩⼲酒（中国⽩酒）;烈酒;⻩酒;果酒;⽩酒;⾼粱酒;甜酒</t>
  </si>
  <si>
    <t>汉芳颂芝</t>
  </si>
  <si>
    <t>宋红丽</t>
  </si>
  <si>
    <t>果酒（含酒精）;利⼝酒;⻩酒;⾷⽤酒精;⽩酒;葡萄酒;威⼠忌;⽩兰地;⽶酒;鸡尾酒</t>
  </si>
  <si>
    <t>且名和天下</t>
  </si>
  <si>
    <t>贵州且名酒业有限公司</t>
  </si>
  <si>
    <t>葡萄酒;⽶酒;酒精饮料（啤酒除外）;⽼酒（中国蒸馏烈酒）;烧酒（烈酒）;⾼粱酒;烈酒;⻩酒;果酒;⽩酒</t>
  </si>
  <si>
    <t>监早</t>
  </si>
  <si>
    <t>武汉成顺贸易有限公司</t>
  </si>
  <si>
    <t>烧酒;葡萄酒;汽酒;果酒（含酒精）;清酒;梨酒;⽶酒;⻩酒;⽩酒;苦味酒</t>
  </si>
  <si>
    <t>旭禾七彩</t>
  </si>
  <si>
    <t>⽶酒;果酒（含酒精）;⾷⽤酒精;⾼粱酒;⽼酒（中国蒸馏烈酒）;含⽔果酒精饮料;蒸馏⽶酒（泡盛酒）;⽩酒;烧酒;⻩酒</t>
  </si>
  <si>
    <t>福到佳</t>
  </si>
  <si>
    <t>烧酒;威⼠忌;鸡尾酒;烈酒（饮料）;⽩酒;酒精饮料（啤酒除外）;⽩兰地;果酒（含酒精）;葡萄酒;蒸馏饮料</t>
  </si>
  <si>
    <t>羽将</t>
  </si>
  <si>
    <t>深圳市曼曼里科技有限公司</t>
  </si>
  <si>
    <t>⻩酒;葡萄酒;除啤酒外的酒精饮料;果酒（含酒精）;⽼酒（中国蒸馏烈酒）;⾕物制蒸馏酒精饮料;开胃酒;⽩酒;烈酒（饮料）;酒精饮料（啤酒除外）</t>
  </si>
  <si>
    <t>华猜</t>
  </si>
  <si>
    <t>吴跃忠</t>
  </si>
  <si>
    <t>⽼酒（中国蒸馏烈酒）;烧酒（烈酒）;果酒（含酒精）;⾼粱酒;蒸煮提取物（利⼝酒和烈酒）;由⾕物蒸馏的⽩酒;⽩⼲酒（中国⽩酒）;烧酒;⽩酒;烈酒</t>
  </si>
  <si>
    <t>孙思远人和</t>
  </si>
  <si>
    <t>⽩酒;⽶酒;⻩酒;烧酒;葡萄酒;果酒（含酒精）;蒸馏饮料;苹果酒;樱桃酒;清酒</t>
  </si>
  <si>
    <t>卡瑞达</t>
  </si>
  <si>
    <t>漳州卡瑞达食品有限公司</t>
  </si>
  <si>
    <t>茴⾹酒;⽶酒;⻩酒;果酒;杨梅酒;烈酒（饮料）;⽩酒;鸡尾酒;葡萄酒;⽩⼲酒（中国⽩酒）</t>
  </si>
  <si>
    <t>圣石雅鲁王</t>
  </si>
  <si>
    <t>呼伦贝尔手工坊酿酒有限责任公司</t>
  </si>
  <si>
    <t>烧酒;⽶酒;⽩酒;⻘稞酒;酒精饮料（啤酒除外）;⻩酒;已调味的蒸馏酒;鸡尾酒;葡萄酒;果酒（含酒精）</t>
  </si>
  <si>
    <t>黄小咕</t>
  </si>
  <si>
    <t>含⽔果酒精饮料;烈酒（饮料）;⽶酒;酒精饮料（啤酒除外）;⽩酒;葡萄酒;果酒（含酒精）;烧酒;⽩兰地;开胃酒</t>
  </si>
  <si>
    <t>江山羡</t>
  </si>
  <si>
    <t>⽩酒;开胃酒;利⼝酒;⻩酒;烈酒（饮料）;苦味酒;葡萄酒;果酒（含酒精）;⽶酒;鸡尾酒</t>
  </si>
  <si>
    <t>一城风絮</t>
  </si>
  <si>
    <t>上海茉浅品牌管理有限公司</t>
  </si>
  <si>
    <t>樱桃酒;果酒;鸡尾酒;⽩酒;⽶酒;蒸馏饮料;⾷⽤酒精;含酒精⽔果饮料;开胃酒;含酒精的⽔果鸡尾酒饮料</t>
  </si>
  <si>
    <t>汕喜牛</t>
  </si>
  <si>
    <t>上海侨宴餐饮管理有限公司</t>
  </si>
  <si>
    <t>汽酒;苹果酒;葡萄酒;⻩酒;蜂蜜酒;苦味酒;⽶酒;⽩酒;威⼠忌;鸡尾酒</t>
  </si>
  <si>
    <t>懂小离</t>
  </si>
  <si>
    <t>广西控米人文化传播有限责任公司</t>
  </si>
  <si>
    <t>⽩酒;烈酒（饮料）;酒精饮料（啤酒除外）;蒸馏⽶酒（泡盛酒）;⽩⼲酒（中国⽩酒）;预先混合的酒精饮料（以啤酒为主的除外）;⽶酒;葡萄酒;清酒（⽇本⽶酒）;⾕物制蒸馏酒精饮料</t>
  </si>
  <si>
    <t>元小月</t>
  </si>
  <si>
    <t>王晓芳</t>
  </si>
  <si>
    <t>果酒（含酒精）;蜂蜜酒;⽶酒;⻩酒;烧酒;酒精饮料（啤酒除外）;葡萄酒;⽩兰地;开胃酒;⾷⽤酒精</t>
  </si>
  <si>
    <t>锐那</t>
  </si>
  <si>
    <t>河南省爵斗酒业有限公司</t>
  </si>
  <si>
    <t>烧酒;⽩兰地;烈酒（饮料）;开胃酒;利⼝酒;含⽔果酒精饮料;蜂蜜酒;鸡尾酒;葡萄酒;⽩酒</t>
  </si>
  <si>
    <t>中轴七·八</t>
  </si>
  <si>
    <t>大家之路（北京）文化旅游发展有限公司</t>
  </si>
  <si>
    <t>烧酒;鸡尾酒;蜂蜜酒;⽶酒;⻩酒;果酒（含酒精）;烈酒（饮料）;⽩酒;葡萄酒;酒精饮料（啤酒除外）</t>
  </si>
  <si>
    <t>帕图索</t>
  </si>
  <si>
    <t>无锡德威诺进出口有限公司</t>
  </si>
  <si>
    <t>汽酒;烈酒（饮料）;朗姆酒;果酒（含酒精）;鸡尾酒;葡萄酒;伏特加酒;威⼠忌;⽩酒;⽩兰地</t>
  </si>
  <si>
    <t>远桥·后边村</t>
  </si>
  <si>
    <t>江西远桥后边企业服务有限公司</t>
  </si>
  <si>
    <t>葡萄酒;⽶酒;清酒（⽇本⽶酒）;⾼粱酒;甜酒;杨梅酒;⻘梅酒;鸡尾酒;⽩酒;⻩酒</t>
  </si>
  <si>
    <t>孙思远天时</t>
  </si>
  <si>
    <t>⽶酒;苹果酒;蒸馏饮料;清酒;果酒（含酒精）;樱桃酒;⽩酒;⻩酒;烧酒;葡萄酒</t>
  </si>
  <si>
    <t>晋酩富</t>
  </si>
  <si>
    <t>张海玉</t>
  </si>
  <si>
    <t>酒精饮料浓缩汁;鸡尾酒;果酒（含酒精）;含⽔果酒精饮料;⽩兰地;伏特加酒;⽩酒;葡萄酒;烧酒;⻘稞酒</t>
  </si>
  <si>
    <t>嘉木延琳</t>
  </si>
  <si>
    <t>深圳市新荣阳食品科技有限公司</t>
  </si>
  <si>
    <t>果酒（含酒精）;酒精饮料浓缩汁;含⽔果酒精饮料;葡萄酒;酒精饮料（啤酒除外）;鸡尾酒;烈酒（饮料）;预先混合的酒精饮料（以啤酒为主的除外）;酒精饮料原汁;⾕物制蒸馏酒精饮料</t>
  </si>
  <si>
    <t>盛宴天地日月</t>
  </si>
  <si>
    <t>刘娜</t>
  </si>
  <si>
    <t>酒精饮料（啤酒除外）;鸡尾酒;⻩酒;葡萄酒;烈酒;⽢蔗制烈酒;⽩酒;果酒（含酒精）;⽶酒;烧酒</t>
  </si>
  <si>
    <t>匠太极</t>
  </si>
  <si>
    <t>⽩兰地;伏特加酒;⾕物制蒸馏酒精饮料;果酒（含酒精）;⽩酒;⾷⽤酒精;葡萄酒;烧酒;⻩酒;⽶酒</t>
  </si>
  <si>
    <t>柔耀</t>
  </si>
  <si>
    <t>罗启勇</t>
  </si>
  <si>
    <t>⽶酒;葡萄酒;烧酒;⻩酒;果酒（含酒精）;威⼠忌;含⽔果酒精饮料;⽩酒;鸡尾酒;⻘稞酒</t>
  </si>
  <si>
    <t>乐民河</t>
  </si>
  <si>
    <t>文霞</t>
  </si>
  <si>
    <t>薄荷酒;⽩酒;果酒（含酒精）;⻩酒;⽶酒;威⼠忌;开胃酒;鸡尾酒;⽩兰地;烈酒（饮料）</t>
  </si>
  <si>
    <t>罗家儿女</t>
  </si>
  <si>
    <t>⻩酒;果酒（含酒精）;⽩酒;甜果酒;葡萄酒;薄荷酒;蒸馏饮料;⽩⼲酒（中国⽩酒）;⽶酒;清酒</t>
  </si>
  <si>
    <t>至臻时光</t>
  </si>
  <si>
    <t>广西三土生物科技有限责任公司</t>
  </si>
  <si>
    <t>清酒;⽶酒;果酒;蒸馏饮料;⽩酒;葡萄酒;蒸馏⽶酒（泡盛酒）;烧酒（烈酒）;⻩酒;开胃酒</t>
  </si>
  <si>
    <t>味出蒙</t>
  </si>
  <si>
    <t>北京星屿咨询合伙企业（有限合伙）</t>
  </si>
  <si>
    <t>鸡尾酒;⽶酒;餐后酒（利⼝酒和烈酒）;开胃酒;含⽔果酒精饮料;⽩酒;葡萄酒;果酒（含酒精）;蒸馏饮料;酒精饮料（啤酒除外）</t>
  </si>
  <si>
    <t>诚美百信</t>
  </si>
  <si>
    <t>安阳诚美百信超市有限公司</t>
  </si>
  <si>
    <t>伏特加酒;⽼酒（中国蒸馏烈酒）;蜂蜜酒;⽶酒;葡萄酒;⻨芽威⼠忌;果酒;⽩酒;⽩⼲酒（中国⽩酒）;⻩酒</t>
  </si>
  <si>
    <t>爱氿嗏</t>
  </si>
  <si>
    <t>合肥酒韵商贸有限公司</t>
  </si>
  <si>
    <t>蒸馏饮料;烈酒（饮料）;⽶酒;清酒（⽇本⽶酒）;⻩酒;葡萄酒;烧酒;⽩酒;薄荷酒;果酒（含酒精）</t>
  </si>
  <si>
    <t>君台厚曲</t>
  </si>
  <si>
    <t>⽩兰地;葡萄酒;⻩酒;朗姆酒;鸡尾酒;烧酒;威⼠忌;酒精饮料（啤酒除外）;⽩酒;果酒（含酒精）</t>
  </si>
  <si>
    <t>臻美满</t>
  </si>
  <si>
    <t>刘志成</t>
  </si>
  <si>
    <t>葡萄酒;开胃酒;果酒;甜酒;汽酒;清酒;⽩酒;⽶酒;⻩酒;⾷⽤酒精</t>
  </si>
  <si>
    <t>狼王啸</t>
  </si>
  <si>
    <t>⽩酒;鸡尾酒;葡萄酒;果酒（含酒精）;汽酒;酒精饮料（啤酒除外）;开胃酒;⽶酒;烈酒（饮料）;⻩酒</t>
  </si>
  <si>
    <t>霞澜坊</t>
  </si>
  <si>
    <t>⽶酒;⾕物制蒸馏酒精饮料;苦味酒;蜂蜜酒;酒精饮料（啤酒除外）;⻩酒;葡萄酒;烈酒（饮料）;蒸馏饮料;烧酒</t>
  </si>
  <si>
    <t>求仁</t>
  </si>
  <si>
    <t>徐州首酿酒业有限公司</t>
  </si>
  <si>
    <t>葡萄酒;⻩酒;梨酒;威⼠忌;清酒（⽇本⽶酒）;⻘稞酒;烧酒;⽩酒;开胃酒;利⼝酒</t>
  </si>
  <si>
    <t>希维达</t>
  </si>
  <si>
    <t>李仙杰</t>
  </si>
  <si>
    <t>威⼠忌;烧酒;鸡尾酒;苹果酒;⻩酒;烈酒（饮料）;葡萄酒;⽶酒;果酒（含酒精）;⾷⽤酒精</t>
  </si>
  <si>
    <t>薯乐佳</t>
  </si>
  <si>
    <t>固原玉明淀粉有限公司</t>
  </si>
  <si>
    <t>利⼝酒;果酒（含酒精）;烧酒;蒸煮提取物（利⼝酒和烈酒）;葡萄酒;开胃酒;蜂蜜酒;清酒;⽩酒;⻘稞酒</t>
  </si>
  <si>
    <t>乾利贞</t>
  </si>
  <si>
    <t>甘纬钰</t>
  </si>
  <si>
    <t>鸡尾酒;烈酒（饮料）;⾕物制蒸馏酒精饮料;⻩酒;以葡萄酒为主的饮料;⽩酒;烧酒;伏特加酒;含酒精的⽓泡⽔;含⽔果酒精饮料</t>
  </si>
  <si>
    <t>提普思</t>
  </si>
  <si>
    <t>上海巢尚食品有限公司</t>
  </si>
  <si>
    <t>烧酒;⽶酒;烈酒（饮料）;蒸馏饮料;⽩酒;果酒（含酒精）;酒精饮料（啤酒除外）;鸡尾酒;葡萄酒;威⼠忌</t>
  </si>
  <si>
    <t>荷合悦</t>
  </si>
  <si>
    <t>宋开营</t>
  </si>
  <si>
    <t>⽶酒;酒精饮料原汁;⻩酒;酒精饮料（啤酒除外）;⾷⽤酒精;⽩兰地;⽩酒;葡萄酒;果酒</t>
  </si>
  <si>
    <t>贵州省仁怀市珍品酒业（集团）有限公司</t>
  </si>
  <si>
    <t>烧酒;⾼粱酒;清酒;⽼酒（中国蒸馏烈酒）;果酒;⽩酒;含酒精的饮料（啤酒除外）;威⼠忌;⽶酒;⻩酒</t>
  </si>
  <si>
    <t>鲵大侠</t>
  </si>
  <si>
    <t>重庆万弗生物科技有限公司</t>
  </si>
  <si>
    <t>⽶酒;果酒（含酒精）;烈酒（饮料）;⽩酒;⻩酒;葡萄酒;含⽔果酒精饮料;鸡尾酒;烧酒;果酒</t>
  </si>
  <si>
    <t>玛特宇宙</t>
  </si>
  <si>
    <t>杭州玛特宇宙数字科技有限公司</t>
  </si>
  <si>
    <t>以葡萄酒为主的饮料;⽩酒;葡萄酒;酒精饮料（啤酒除外）;⽶酒;烈酒（饮料）;果酒（含酒精）;鸡尾酒;威⼠忌;⻩酒;烧酒</t>
  </si>
  <si>
    <t>开胃酒;⽶酒;酒精饮料（啤酒除外）;⻩酒;葡萄酒;烧酒;⽩酒;烈酒（饮料）;鸡尾酒;含⽔果酒精饮料</t>
  </si>
  <si>
    <t>牧桐家</t>
  </si>
  <si>
    <t>湖南菜了盒子食品科技有限公司</t>
  </si>
  <si>
    <t>⽩兰地;葡萄酒;⾕物制蒸馏酒精饮料;果酒（含酒精）;烧酒;⽶酒;蜂蜜酒;烈酒（饮料）;威⼠忌;鸡尾酒</t>
  </si>
  <si>
    <t>㤅念</t>
  </si>
  <si>
    <t>中顺福源(北京)科贸有限公司</t>
  </si>
  <si>
    <t>葡萄酒;薄荷酒;利⼝酒;蜂蜜酒;烈酒（饮料）;开胃酒;鸡尾酒;樱桃酒;⽶酒;⽩酒</t>
  </si>
  <si>
    <t>由度传奇</t>
  </si>
  <si>
    <t>温州由度传媒有限公司</t>
  </si>
  <si>
    <t>烈酒;含酒精的⽓泡⽔;佐餐酒;⽩酒;⾕物制蒸馏酒精饮料;威⼠忌;鸡尾酒;果酒（含酒精）;酒精饮料（啤酒除外）;葡萄酒</t>
  </si>
  <si>
    <t>唐帅汉将</t>
  </si>
  <si>
    <t>蒸馏饮料;⽩兰地;⽶酒;果酒（含酒精）;⽩酒;威⼠忌;鸡尾酒;葡萄酒;蜂蜜酒;含⽔果酒精饮料</t>
  </si>
  <si>
    <t>花百道</t>
  </si>
  <si>
    <t>亳州市酿酒厂</t>
  </si>
  <si>
    <t>威⼠忌;⾕物制蒸馏酒精饮料;葡萄酒;⻘稞酒;果酒（含酒精）;苹果酒;鸡尾酒;烧酒;酒精饮料（啤酒除外）;开胃酒</t>
  </si>
  <si>
    <t>巴赫马</t>
  </si>
  <si>
    <t>潍坊果然文化传播有限公司</t>
  </si>
  <si>
    <t>⽩酒;果酒（含酒精）;烈酒（饮料）;葡萄酒;清酒（⽇本⽶酒）;利⼝酒;含酒精的⽓泡⽔;⻩酒;⽶酒;酒精饮料（啤酒除外）</t>
  </si>
  <si>
    <t>永乐阳吉</t>
  </si>
  <si>
    <t>深圳市永乐阳吉实业有限公司</t>
  </si>
  <si>
    <t>杨梅酒;⻘梅酒;尼⽡（以⽢蔗为主的酒精饮料）;清酒;⽩葡萄酒;⽩酒;果酒;含酒精⽔果饮料;红葡萄酒;含酒精的饮料（啤酒除外）</t>
  </si>
  <si>
    <t>⽩⼲酒（中国⽩酒）;杨梅酒;⾼粱酒;含酒精⽔果饮料;⽩酒;烈性⼲酒;五加⽪酒（中国混合烈酒）;果酒（含酒精）;由⾕物蒸馏的⽩酒</t>
  </si>
  <si>
    <t>北伯侯</t>
  </si>
  <si>
    <t>美佳农业科技有限公司</t>
  </si>
  <si>
    <t>葡萄酒;⽶酒;⽩酒;果酒（含酒精）;⻩酒;威⼠忌;蒸煮提取物（利⼝酒和烈酒）;酒精饮料（啤酒除外）;烈酒（饮料）;清酒（⽇本⽶酒）</t>
  </si>
  <si>
    <t>泉开</t>
  </si>
  <si>
    <t>贵州泉开酒业有限公司</t>
  </si>
  <si>
    <t>果酒（含酒精）;杨梅酒;清酒;⾼粱酒;⽩酒;烈酒;烧酒;⽼酒（中国蒸馏烈酒）;酒精饮料（啤酒除外）;⽶酒</t>
  </si>
  <si>
    <t>立天下</t>
  </si>
  <si>
    <t>贵州省仁怀市正鸿酒业有限公司</t>
  </si>
  <si>
    <t>烧酒;⾼粱酒;开胃酒;⽩酒;甜果酒;⾷⽤酒精;含⽔果酒精饮料;⽶酒;果酒（含酒精）;⽩兰地</t>
  </si>
  <si>
    <t>中康天德颜悦宝</t>
  </si>
  <si>
    <t>杭州明融科技有限公司</t>
  </si>
  <si>
    <t>果酒（含酒精）;酒精饮料（啤酒除外）;烧酒;烈酒（饮料）;开胃酒;⾷⽤酒精;蒸馏饮料;利⼝酒;葡萄酒;⽩酒</t>
  </si>
  <si>
    <t>水木问道</t>
  </si>
  <si>
    <t>贵州省仁怀市醉一回酒业销售有限公司</t>
  </si>
  <si>
    <t>烈酒（饮料）;烧酒;葡萄酒;⻩酒;⽩酒;开胃酒;蜂蜜酒;⾷⽤酒精;⽩兰地;蒸馏饮料</t>
  </si>
  <si>
    <t>福满和盛</t>
  </si>
  <si>
    <t>北京福满人间居家养老有限公司</t>
  </si>
  <si>
    <t>餐后酒（利⼝酒和烈酒）;烧酒;⽶酒;葡萄酒;开胃酒;酒精饮料（啤酒除外）;⽩酒;⽩兰地;果酒（含酒精）;⻩酒</t>
  </si>
  <si>
    <t>1Q1</t>
  </si>
  <si>
    <t>⽶酒;威⼠忌;伏特加酒;烈酒（饮料）;酒精饮料原汁;⽩兰地;烧酒;⽩酒;鸡尾酒;果酒（含酒精）</t>
  </si>
  <si>
    <t>佛山市顺德区顺德菜发展促进会</t>
  </si>
  <si>
    <t>果酒（含酒精）;鸡尾酒;烈酒（饮料）;⽶酒;汽酒;⽩酒;威⼠忌;烧酒;酒精饮料（啤酒除外）;葡萄酒</t>
  </si>
  <si>
    <t>INBAYJAN</t>
  </si>
  <si>
    <t>山东英贝健健康食品有限公司</t>
  </si>
  <si>
    <t>威⼠忌;鸡尾酒;⻩酒;⽶酒;烈酒（饮料）;⽩酒;朗姆酒;果酒（含酒精）;葡萄酒;酒精饮料（啤酒除外）</t>
  </si>
  <si>
    <t>君台厚道</t>
  </si>
  <si>
    <t>果酒（含酒精）;⽩兰地;⽩酒;鸡尾酒;葡萄酒;烧酒;酒精饮料（啤酒除外）;⻩酒;威⼠忌;朗姆酒</t>
  </si>
  <si>
    <t>粮膳正要</t>
  </si>
  <si>
    <t>广东昌祥粮食有限公司</t>
  </si>
  <si>
    <t>果酒（含酒精）;⽶酒;⾷⽤酒精;柑⾹酒;⻩酒;烧酒;⽼酒（中国蒸馏烈酒）;⽩酒;蜂蜜酒;葡萄酒</t>
  </si>
  <si>
    <t>素受祥</t>
  </si>
  <si>
    <t>山西灵芝谷科技有限公司</t>
  </si>
  <si>
    <t>果酒（含酒精）;⻩酒;烧酒（烈酒）;含酒精的饮料（啤酒除外）;⽼酒（中国蒸馏烈酒）;烈酒（饮料）;⽶酒;预先混合的酒精饮料（以啤酒为主的除外）;⾕物制蒸馏酒精饮料;⽩酒</t>
  </si>
  <si>
    <t>维丽谷</t>
  </si>
  <si>
    <t>广州市吉莉安日用化工有限公司</t>
  </si>
  <si>
    <t>伏特加酒;威⼠忌;清酒（⽇本⽶酒）;⽩兰地;朗姆酒（酒精饮料）;葡萄酒;鸡尾酒;烧酒;⽶酒;⽩酒</t>
  </si>
  <si>
    <t>酒溯定</t>
  </si>
  <si>
    <t>草本型利⼝酒;⽩酒;杨梅酒;果酒（含酒精）;⽶酒;⻩酒;五加⽪酒（中国混合烈酒）;苦荞酒;露酒;⾼粱酒;烈酒;葡萄酒;汽酒;⻘稞酒;清酒;⽼酒（中国蒸馏烈酒）;烧酒;含⽔果酒精饮料;⾷⽤酒精;梅酒</t>
  </si>
  <si>
    <t>多徕斯</t>
  </si>
  <si>
    <t>烧酒;烈酒（饮料）;⽩酒;鸡尾酒;含⽔果酒精饮料;蜂蜜酒;葡萄酒;开胃酒;利⼝酒;⽩兰地</t>
  </si>
  <si>
    <t>窨沁堂</t>
  </si>
  <si>
    <t>漯河市心传网络科技有限公司</t>
  </si>
  <si>
    <t>开胃酒;烈酒（饮料）;⽶酒;果酒（含酒精）;⽩酒;预先混合的酒精饮料（以啤酒为主的除外）;烧酒;利⼝酒;⽩兰地;葡萄酒</t>
  </si>
  <si>
    <t>天使马</t>
  </si>
  <si>
    <t>吃水不忘掘井人（上海）文化发展有限公司</t>
  </si>
  <si>
    <t>⻘稞酒;⽶酒;烧酒;葡萄酒;预先混合的酒精饮料（以啤酒为主的除外）;⽩酒;汽酒;⻩酒;⾷⽤酒精;含⽔果酒精饮料</t>
  </si>
  <si>
    <t>葡萄酒;⽩兰地;威⼠忌;⽶酒;清酒;烈酒（饮料）;⽩酒;果酒（含酒精）;伏特加酒;⻩酒</t>
  </si>
  <si>
    <t>西点符号</t>
  </si>
  <si>
    <t>合肥西点符号食品有限公司</t>
  </si>
  <si>
    <t>葡萄酒;开胃酒;⽩兰地;含⽔果酒精饮料;预先混合的酒精饮料（以啤酒为主的除外）;鸡尾酒;⽩酒;果酒（含酒精）;酒精饮料浓缩汁;以葡萄酒为主的饮料</t>
  </si>
  <si>
    <t>壮伊</t>
  </si>
  <si>
    <t>杨镇华</t>
  </si>
  <si>
    <t>含⽔果酒精饮料;⽶酒;⻩酒;⾼粱酒;⽩酒;葡萄酒;甜酒;果酒;烧酒;⽩⼲酒（中国⽩酒）</t>
  </si>
  <si>
    <t>樽圣黔豫</t>
  </si>
  <si>
    <t>平顶山市湛河区阔海商贸有限公司</t>
  </si>
  <si>
    <t>烧酒;果酒（含酒精）;鸡尾酒;酒精饮料（啤酒除外）;⽶酒;⽩酒;烈酒（饮料）;⾼粱酒;威⼠忌;葡萄酒</t>
  </si>
  <si>
    <t>人文宝坪</t>
  </si>
  <si>
    <t>云阳县月桂佳酿白酒酿造坊</t>
  </si>
  <si>
    <t>烈酒;梅酒;⽼酒（中国蒸馏烈酒）;⾼粱酒;烧酒（烈酒）;烧酒;⽩酒;蜂蜜酒;⽶酒;甜酒</t>
  </si>
  <si>
    <t>MODERSICO</t>
  </si>
  <si>
    <t>果酒（含酒精）;威⼠忌;伏特加酒;⽩酒;预先混合的酒精饮料（以啤酒为主的除外）;⽩兰地;酒精饮料（啤酒除外）;葡萄酒;鸡尾酒;蒸馏饮料</t>
  </si>
  <si>
    <t>赤碧泉</t>
  </si>
  <si>
    <t>杭万(河北)商贸有限公司</t>
  </si>
  <si>
    <t>烈酒（饮料）;⽩酒;⻩酒;蒸馏饮料;⽶酒;烈酒;烧酒;⽩兰地;葡萄酒;果酒（含酒精）</t>
  </si>
  <si>
    <t>求醴</t>
  </si>
  <si>
    <t>开胃酒;葡萄酒;清酒（⽇本⽶酒）;威⼠忌;⽩酒;利⼝酒;⻩酒;梨酒;⻘稞酒;烧酒</t>
  </si>
  <si>
    <t>嘉靖酩典</t>
  </si>
  <si>
    <t>徐文全</t>
  </si>
  <si>
    <t>清酒;开胃酒;果酒;甜酒;⾷⽤酒精;⽩酒;葡萄酒;⻩酒;汽酒;⽶酒</t>
  </si>
  <si>
    <t>甬上清风</t>
  </si>
  <si>
    <t>宁波市北仑清风寨酒厂（个体工商户）</t>
  </si>
  <si>
    <t>葡萄酒;酒精饮料（啤酒除外）;烧酒;汽酒;⻩酒;预先混合的酒精饮料（以啤酒为主的除外）;⽩酒;⽶酒;⻘稞酒;清酒（⽇本⽶酒）</t>
  </si>
  <si>
    <t>思中桃园</t>
  </si>
  <si>
    <t>⻘稞酒;⽶酒;葡萄酒;⽩酒;伏特加酒;烧酒;⻩酒;⾷⽤酒精;鸡尾酒;梅酒</t>
  </si>
  <si>
    <t>鲵修夫</t>
  </si>
  <si>
    <t>果酒（含酒精）;烧酒;⽩酒;果酒;⽶酒;含⽔果酒精饮料;⻩酒;鸡尾酒;葡萄酒;烈酒（饮料）</t>
  </si>
  <si>
    <t>春田纪</t>
  </si>
  <si>
    <t>四川春田纪农业科技有限公司</t>
  </si>
  <si>
    <t>薄荷酒;果酒（含酒精）;酒精饮料原汁;酒精饮料（啤酒除外）;樱桃酒;⽩兰地;蒸馏饮料;鸡尾酒;蜂蜜酒;苹果酒</t>
  </si>
  <si>
    <t>房阿玛</t>
  </si>
  <si>
    <t>汪晓鑫V***(6)</t>
  </si>
  <si>
    <t>鸡尾酒;餐后酒（利⼝酒和烈酒）;汽酒;⽩酒;葡萄酒;烈酒（饮料）;果酒（含酒精）;蒸馏饮料;⽶酒;葡萄潘趣酒</t>
  </si>
  <si>
    <t>堡乾盛世</t>
  </si>
  <si>
    <t>李梦雪</t>
  </si>
  <si>
    <t>烧酒;酒精饮料（啤酒除外）;果酒（含酒精）;⽩酒;酒精饮料浓缩汁;佐餐酒;蒸煮提取物（利⼝酒和烈酒）;⾷⽤酒精;⽶酒;葡萄酒</t>
  </si>
  <si>
    <t>荷四禧</t>
  </si>
  <si>
    <t>刘洪强</t>
  </si>
  <si>
    <t>⽶酒;鸡尾酒;⾼粱酒;⽩酒;果酒;葡萄酒;甜酒;⻘稞酒;⻩酒;汽酒</t>
  </si>
  <si>
    <t>壶万年</t>
  </si>
  <si>
    <t>葡萄酒;⽩兰地;酒精饮料（啤酒除外）;含⽔果酒精饮料;⻩酒;鸡尾酒;烈酒（饮料）;⽶酒;烧酒;果酒（含酒精）</t>
  </si>
  <si>
    <t>掼聚</t>
  </si>
  <si>
    <t>烈酒;⽶酒;伏特加酒;朗姆酒;威⼠忌;⽩酒;⻩酒;葡萄酒;清酒;⽩兰地</t>
  </si>
  <si>
    <t>酌和来仪</t>
  </si>
  <si>
    <t>张春亭</t>
  </si>
  <si>
    <t>果酒（含酒精）;烈酒（饮料）;⽩酒;烧酒;酒精饮料（啤酒除外）;葡萄酒;清酒（⽇本⽶酒）;⽶酒;鸡尾酒;⻩酒</t>
  </si>
  <si>
    <t>圣柯庄园</t>
  </si>
  <si>
    <t>龚中运</t>
  </si>
  <si>
    <t>烈酒（饮料）;酒精饮料（啤酒除外）;开胃酒;⽩兰地;葡萄酒;鸡尾酒;⻩酒;伏特加酒;⽩酒;威⼠忌</t>
  </si>
  <si>
    <t>聂辰</t>
  </si>
  <si>
    <t>云南聂辰商贸有限公司</t>
  </si>
  <si>
    <t>果酒（含酒精）;甜果酒;清酒;葡萄酒;起泡红葡萄酒;⽩酒;鸡尾酒;含⽔果酒精饮料;⾼粱酒;梅酒</t>
  </si>
  <si>
    <t>稞中仙</t>
  </si>
  <si>
    <t>谢寿云</t>
  </si>
  <si>
    <t>⽩酒;⾼粱酒;苦荞酒;酒精饮料浓缩汁;烈酒;烧酒;杨梅酒;⻘稞酒;⾷⽤酒精;⽩⼲酒（中国⽩酒）</t>
  </si>
  <si>
    <t>古周喜</t>
  </si>
  <si>
    <t>烈酒（饮料）;酒精饮料（啤酒除外）;蒸煮提取物（利⼝酒和烈酒）;清酒（⽇本⽶酒）;果酒（含酒精）;鸡尾酒;⽩酒;烧酒;葡萄酒;⽶酒</t>
  </si>
  <si>
    <t>爱乔儿</t>
  </si>
  <si>
    <t>乔锦红</t>
  </si>
  <si>
    <t>烧酒;⽶酒;鸡尾酒;酒精饮料（啤酒除外）;⽩酒;⽼酒（中国蒸馏烈酒）;果酒;葡萄酒;⻩酒;清酒</t>
  </si>
  <si>
    <t>烧焰</t>
  </si>
  <si>
    <t>江苏品香联食品有限公司</t>
  </si>
  <si>
    <t>⻩酒;果酒（含酒精）;酒精饮料（啤酒除外）;⽩酒;烈酒（饮料）;鸡尾酒;清酒（⽇本⽶酒）;烧酒;葡萄酒;⽶酒</t>
  </si>
  <si>
    <t>拾壹集</t>
  </si>
  <si>
    <t>江西珍芝肴食品有限公司</t>
  </si>
  <si>
    <t>⽩酒;烧酒;⽶酒;汽酒;预先混合的酒精饮料（以啤酒为主的除外）;果酒;蒸煮提取物（利⼝酒和烈酒）;葡萄酒;含⽔果酒精饮料;清酒（⽇本⽶酒）</t>
  </si>
  <si>
    <t>长有萌熊</t>
  </si>
  <si>
    <t>敦化市长有食品有限公司</t>
  </si>
  <si>
    <t>⻩酒;蒸馏饮料;⽶酒;酒精饮料浓缩汁;蒸煮提取物（利⼝酒和烈酒）;⽩酒;预先混合的酒精饮料（以啤酒为主的除外）;⾷⽤酒精;鸡尾酒;果酒（含酒精）</t>
  </si>
  <si>
    <t>斐能</t>
  </si>
  <si>
    <t>北京高投数科科技有限公司</t>
  </si>
  <si>
    <t>蒸馏饮料;⽶酒;⽼酒（中国蒸馏烈酒）;鸡尾酒;⾷⽤酒精;果酒（含酒精）;含酒精⽔果饮料;葡萄酒;烈酒（饮料）;⽩酒</t>
  </si>
  <si>
    <t>瑶纪</t>
  </si>
  <si>
    <t>⽶酒;⽩酒;威⼠忌;葡萄酒;⻩酒;酒精饮料（啤酒除外）;朗姆酒;果酒（含酒精）;鸡尾酒;烈酒（饮料）</t>
  </si>
  <si>
    <t>君台厚藏</t>
  </si>
  <si>
    <t>果酒（含酒精）;⽩酒;鸡尾酒;⻩酒;威⼠忌;⽩兰地;烧酒;葡萄酒;酒精饮料（啤酒除外）;朗姆酒</t>
  </si>
  <si>
    <t>君台厚艺</t>
  </si>
  <si>
    <t>烧酒;⻩酒;⽩酒;威⼠忌;鸡尾酒;酒精饮料（啤酒除外）;朗姆酒;⽩兰地;葡萄酒;果酒（含酒精）</t>
  </si>
  <si>
    <t>九龙尖</t>
  </si>
  <si>
    <t>江西壹梦村旅游发展有限公司</t>
  </si>
  <si>
    <t>果酒（含酒精）;鸡尾酒;蒸煮提取物（利⼝酒和烈酒）;烈酒（饮料）;⽶酒;葡萄酒;清酒;酒精饮料（啤酒除外）;烧酒;⻩酒</t>
  </si>
  <si>
    <t>儒临</t>
  </si>
  <si>
    <t>临沂中亿缘商贸中心</t>
  </si>
  <si>
    <t>葡萄酒;果酒;⽩兰地;威⼠忌;烈酒;⽩酒;⻩酒;⽶酒;鸡尾酒;⾼粱酒</t>
  </si>
  <si>
    <t>FROHE WEIHNACHTEN</t>
  </si>
  <si>
    <t>上海雷姆谷国际贸易有限公司</t>
  </si>
  <si>
    <t>伏特加酒;威⼠忌;酒精饮料（啤酒除外）;蜂蜜酒;清酒;⻩酒;鸡尾酒;⽩酒;葡萄酒;朗姆酒</t>
  </si>
  <si>
    <t>世纪源升（北京）供应链管理服务有限公司</t>
  </si>
  <si>
    <t>鸡尾酒;利⼝酒;⽩兰地;酒精饮料（啤酒除外）;葡萄酒;汽酒;果酒（含酒精）;酸酒（低等葡萄酒）;威⼠忌;⽩酒</t>
  </si>
  <si>
    <t>曹家儿女</t>
  </si>
  <si>
    <t>⽩⼲酒（中国⽩酒）;清酒;甜果酒;果酒（含酒精）;⽶酒;⽩酒;⻩酒;薄荷酒;蒸馏饮料;葡萄酒</t>
  </si>
  <si>
    <t>浙一刻</t>
  </si>
  <si>
    <t>汪庆康</t>
  </si>
  <si>
    <t>果酒（含酒精）;葡萄酒;⾷⽤酒精;鸡尾酒;含⽔果酒精饮料;⻩酒;⽩酒;⽩兰地;酒精饮料（啤酒除外）;⽶酒</t>
  </si>
  <si>
    <t>吴氏青娘</t>
  </si>
  <si>
    <t>广东省保炎信息服务有限公司</t>
  </si>
  <si>
    <t>威⼠忌;烈酒（饮料）;果酒（含酒精）;葡萄酒;⾷⽤酒精;⻩酒;⽩酒;酒精饮料（啤酒除外）;伏特加酒;⽩兰地</t>
  </si>
  <si>
    <t>贵州仁怀寻原酒业销售有限公司</t>
  </si>
  <si>
    <t>烧酒;鸡尾酒;葡萄酒;⽶酒;酒精饮料（啤酒除外）;⽩酒;果酒（含酒精）;清酒（⽇本⽶酒）;烈酒（饮料）;⻩酒</t>
  </si>
  <si>
    <t>誉福顺</t>
  </si>
  <si>
    <t>杨美章</t>
  </si>
  <si>
    <t>⻩酒;果酒（含酒精）;⾷⽤酒精;⽶酒;⽩酒;鸡尾酒;葡萄酒;烧酒;清酒（⽇本⽶酒）;⻘稞酒</t>
  </si>
  <si>
    <t>莫小甜</t>
  </si>
  <si>
    <t>北京迪利斯商贸有限公司</t>
  </si>
  <si>
    <t>鸡尾酒;清酒（⽇本⽶酒）;威⼠忌;酒精饮料（啤酒除外）;⽩兰地;果酒（含酒精）;葡萄酒;⽩酒;⽶酒;⻩酒</t>
  </si>
  <si>
    <t>ZHONGLUO CONSTRUCT</t>
  </si>
  <si>
    <t>中跞（上海）建设有限公司</t>
  </si>
  <si>
    <t>烧酒;酒精饮料（啤酒除外）;⽩酒;葡萄酒;⽶酒;烈酒（饮料）;清酒;苹果酒;⾷⽤酒精;威⼠忌</t>
  </si>
  <si>
    <t>菠乐鲜</t>
  </si>
  <si>
    <t>葡萄酒;餐后酒（利⼝酒和烈酒）;⻩酒;开胃酒;蜂蜜酒;⽶酒;果酒（含酒精）;⽩酒;以葡萄酒为主的饮料;含⽔果酒精饮料</t>
  </si>
  <si>
    <t>LIPOLIPOO 喱噗喱噗</t>
  </si>
  <si>
    <t>沈阳一梦传媒有限公司</t>
  </si>
  <si>
    <t>含⽔果酒精饮料;果酒（含酒精）;朗姆酒;威⼠忌;葡萄酒;酒精饮料（啤酒除外）;蒸煮提取物（利⼝酒和烈酒）;⽩酒;鸡尾酒;开胃酒</t>
  </si>
  <si>
    <t>FOUN</t>
  </si>
  <si>
    <t>宁夏乐乐商业有限公司</t>
  </si>
  <si>
    <t>利⼝酒;⽩兰地;⻩酒;除啤酒外的酒精饮料;葡萄酒;烧酒;果酒;开胃酒;⽶酒;⽩酒</t>
  </si>
  <si>
    <t>布扎拉古道</t>
  </si>
  <si>
    <t>茂煕投资（云南）有限公司</t>
  </si>
  <si>
    <t>⾼粱酒;露酒;果酒;含酒精的饮料（啤酒除外）;开胃酒;⽩酒;⽩⼲酒（中国⽩酒）;⽶酒;清酒;葡萄酒</t>
  </si>
  <si>
    <t>赤恋庄园</t>
  </si>
  <si>
    <t>宁夏联合农业科技有限公司</t>
  </si>
  <si>
    <t>葡萄酒;⽩兰地;红葡萄酒;⽩葡萄酒;威⼠忌;含酒精的饮料（啤酒除外）;佐餐酒;以葡萄酒为主的饮料;⾕物制蒸馏酒精饮料;果酒（含酒精）</t>
  </si>
  <si>
    <t>匠黔承</t>
  </si>
  <si>
    <t>⽶酒;⽩酒;含酒精的饮料（啤酒除外）;以蒸馏酒为主的开胃酒;以葡萄酒为主的饮料;餐后酒（利⼝酒和烈酒）;烧酒（烈酒）;⽼酒（中国蒸馏烈酒）;含酒精的鸡尾酒混合饮品;果酒（含酒精）</t>
  </si>
  <si>
    <t>森命植</t>
  </si>
  <si>
    <t>李超飞</t>
  </si>
  <si>
    <t>果酒;清酒;汽酒;开胃酒;甜酒;⽶酒;葡萄酒;⾷⽤酒精;⽩酒;⻩酒</t>
  </si>
  <si>
    <t>君台厚品</t>
  </si>
  <si>
    <t>鸡尾酒;⻩酒;朗姆酒;烧酒;酒精饮料（啤酒除外）;果酒（含酒精）;⽩酒;葡萄酒;⽩兰地;威⼠忌</t>
  </si>
  <si>
    <t>珍芝肴</t>
  </si>
  <si>
    <t>葡萄酒;⽩酒;汽酒;蒸煮提取物（利⼝酒和烈酒）;预先混合的酒精饮料（以啤酒为主的除外）;烧酒;果酒（含酒精）;清酒（⽇本⽶酒）;⽶酒;含⽔果酒精饮料</t>
  </si>
  <si>
    <t>之业堂</t>
  </si>
  <si>
    <t>北京京东弘健健康有限公司</t>
  </si>
  <si>
    <t>开胃酒;⻩酒;葡萄酒;烈酒（饮料）;蜂蜜酒;果酒（含酒精）;烧酒（烈酒）;预先混合的酒精饮料（以啤酒为主的除外）;含⽔果酒精饮料;⽩酒</t>
  </si>
  <si>
    <t>堰小湖</t>
  </si>
  <si>
    <t>湖北十堰兴颖生态农业发展有限公司</t>
  </si>
  <si>
    <t>蒸馏⽶酒（泡盛酒）;甜酒;⽶酒;开胃酒;鸡尾酒;⻩酒;果酒;含酒精的苦味开胃酒;⽩酒;酒精饮料（啤酒除外）</t>
  </si>
  <si>
    <t>黄埠神农</t>
  </si>
  <si>
    <t>曹光林</t>
  </si>
  <si>
    <t>含⽔果酒精饮料;开胃酒;⽩酒;烧酒;⻩酒;酒精饮料浓缩汁;⽶酒;葡萄酒;餐后酒（利⼝酒和烈酒）;酒精饮料（啤酒除外）</t>
  </si>
  <si>
    <t>广东永骏经济发展有限公司</t>
  </si>
  <si>
    <t>开胃酒;果酒（含酒精）;蒸馏饮料;⾷⽤酒精;伏特加酒;葡萄酒;⽶酒;酒精饮料原汁;含⽔果酒精饮料;⻩酒</t>
  </si>
  <si>
    <t>藏美峰味</t>
  </si>
  <si>
    <t>浙江藏美食品有限公司</t>
  </si>
  <si>
    <t>⽩酒;果酒（含酒精）;酸酒（低等葡萄酒）;酒精饮料（啤酒除外）;⻘稞酒;⻩酒;含⽔果酒精饮料;葡萄酒;⽶酒;鸡尾酒</t>
  </si>
  <si>
    <t>杯及</t>
  </si>
  <si>
    <t>烧酒;果酒（含酒精）;葡萄酒;⽩兰地;⾷⽤酒精;⽩酒;⻩酒;⽶酒;⾕物制蒸馏酒精饮料;伏特加酒</t>
  </si>
  <si>
    <t>味来富丰</t>
  </si>
  <si>
    <t>山东味来富丰酒店管理有限公司</t>
  </si>
  <si>
    <t>葡萄酒;果酒（含酒精）;伏特加酒;烧酒;⽩酒;开胃酒;鸡尾酒;⽶酒;⻩酒;⻘稞酒</t>
  </si>
  <si>
    <t>2024/07/30</t>
  </si>
  <si>
    <t>天懿瀚</t>
  </si>
  <si>
    <t>韩亚峰</t>
  </si>
  <si>
    <t>酒精饮料原汁;⽶酒;含酒精⽔果饮料;⽩酒;烈酒;开胃酒;鸡尾酒;葡萄酒;果酒;⻩酒</t>
  </si>
  <si>
    <t>牛传奇</t>
  </si>
  <si>
    <t>袁小凤</t>
  </si>
  <si>
    <t>葡萄酒;果酒（含酒精）;烧酒;开胃酒;含酒精的饮料（啤酒除外）;柑⾹酒;⽶酒;苹果酒;果酒;苦味酒</t>
  </si>
  <si>
    <t>美日盈</t>
  </si>
  <si>
    <t>杨震</t>
  </si>
  <si>
    <t>汽酒;甜酒;果酒;⽶酒;⻩酒;葡萄酒;开胃酒;清酒;⽩酒;⾷⽤酒精</t>
  </si>
  <si>
    <t>曹州三兄弟 SAN XIONG DI CAOZHOU</t>
  </si>
  <si>
    <t>北京岽鼓楼供应链管理服务有限公司</t>
  </si>
  <si>
    <t>烧酒;⽶酒;⻩酒;清酒（⽇本⽶酒）;薄荷酒;果酒（含酒精）;威⼠忌;鸡尾酒;葡萄酒;⽩酒</t>
  </si>
  <si>
    <t>首八方</t>
  </si>
  <si>
    <t>李世兵</t>
  </si>
  <si>
    <t>果酒（含酒精）;酒精饮料（啤酒除外）;⽶酒;烧酒;⾼粱酒;葡萄酒;烈酒（饮料）;⻩酒;鸡尾酒;⽩酒</t>
  </si>
  <si>
    <t>西四包子铺</t>
  </si>
  <si>
    <t>⾷⽤酒精;葡萄酒;⻩酒;⽶酒;含⽔果酒精饮料;开胃酒;蒸馏饮料;⽩酒;利⼝酒;果酒（含酒精）</t>
  </si>
  <si>
    <t>DANGQU</t>
  </si>
  <si>
    <t>葡萄酒;⽩兰地;⻩酒;⽶酒;烈酒（饮料）;⽩酒;烧酒（烈酒）;梅酒;清酒;饮⽤烈酒</t>
  </si>
  <si>
    <t>杏手匠</t>
  </si>
  <si>
    <t>山西杏花纯粮酿酒业有限公司</t>
  </si>
  <si>
    <t>果酒（含酒精）;⻩酒;葡萄酒;⾷⽤酒精;烧酒;酒精饮料（啤酒除外）;⽩酒;开胃酒;威⼠忌;⽶酒</t>
  </si>
  <si>
    <t>酒镇马家烧坊</t>
  </si>
  <si>
    <t>贵州飞香液酒业有限公司</t>
  </si>
  <si>
    <t>汽酒;⻩酒;烧酒;清酒;⽶酒;烈酒;鸡尾酒;果酒;⽩酒;葡萄酒</t>
  </si>
  <si>
    <t>后龙峰梅山</t>
  </si>
  <si>
    <t>湖南新化可力亚哥黄精生物科技有限责任公司</t>
  </si>
  <si>
    <t>烧酒;利⼝酒;⻩酒;含酒精的⽓泡⽔;酒精饮料（啤酒除外）;以葡萄酒为主的饮料;苹果酒;⽩酒;⽶酒;⾕物制蒸馏酒精饮料</t>
  </si>
  <si>
    <t>暹爽</t>
  </si>
  <si>
    <t>洪真</t>
  </si>
  <si>
    <t>红葡萄酒;甜酒;餐后酒（利⼝酒和烈酒）;含酒精⽔果饮料;⽩酒;果酒（含酒精）;含⽔果酒精饮料;⽔果汽酒;蜂蜜酒;⽶酒</t>
  </si>
  <si>
    <t>汉福坤</t>
  </si>
  <si>
    <t>郭海彬</t>
  </si>
  <si>
    <t>开胃酒;烧酒;⽩酒;烈酒;⾼粱酒;⻩酒;⽩⼲酒（中国⽩酒）;果酒（含酒精）;苦荞酒;⽶酒</t>
  </si>
  <si>
    <t>天赐水都</t>
  </si>
  <si>
    <t>丹江口市景苑园林绿化工程有限公司</t>
  </si>
  <si>
    <t>⽩兰地;果酒（含酒精）;鸡尾酒;伏特加酒;⽩酒;薄荷酒;开胃酒;酒精饮料（啤酒除外）;⽶酒;烧酒</t>
  </si>
  <si>
    <t>橙檬不弃</t>
  </si>
  <si>
    <t>四川古道江湖酒业有限公司</t>
  </si>
  <si>
    <t>烧酒;果酒（含酒精）;⾕物制蒸馏酒精饮料;⻩酒;⽶酒;蒸馏饮料;烈酒（饮料）;酒精饮料（啤酒除外）;葡萄酒;⽩酒</t>
  </si>
  <si>
    <t>东神道</t>
  </si>
  <si>
    <t>薄荷酒;鸡尾酒;果酒（含酒精）;开胃酒;烧酒;酒精饮料（啤酒除外）;⽩兰地;⽶酒;伏特加酒;⽩酒</t>
  </si>
  <si>
    <t>王府仙</t>
  </si>
  <si>
    <t>⽶酒;杨梅酒;⽩酒;⽩兰地;⻩酒;以葡萄酒为主的开胃酒;伏特加酒;含酒精的饮料（啤酒除外）;酒精饮料（啤酒除外）;烧酒</t>
  </si>
  <si>
    <t>飞将李广</t>
  </si>
  <si>
    <t>上海鱼得水品牌管理有限公司</t>
  </si>
  <si>
    <t>烧酒;果酒（含酒精）;葡萄酒;鸡尾酒;⽶酒;⽩酒;含酒精的⽓泡⽔;⻩酒;酒精饮料（啤酒除外）;烈酒（饮料）</t>
  </si>
  <si>
    <t>名德粽望</t>
  </si>
  <si>
    <t>贵州红将酒业有限公司</t>
  </si>
  <si>
    <t>⽼酒（中国蒸馏烈酒）;烧酒（烈酒）;⽩酒;葡萄酒;⽶酒;酒精饮料（啤酒除外）;⾼粱酒;果酒（含酒精）;鸡尾酒;利⼝酒</t>
  </si>
  <si>
    <t>小微友链</t>
  </si>
  <si>
    <t>李猛</t>
  </si>
  <si>
    <t>果酒;⽶酒;葡萄酒;朗姆酒;⻩酒;烧酒;伏特加酒;烈酒;⽩酒;酒精饮料（啤酒除外）</t>
  </si>
  <si>
    <t>LEFEKE秝客</t>
  </si>
  <si>
    <t>济南雪莱电子科技有限公司</t>
  </si>
  <si>
    <t>樱桃酒;葡萄酒;⾷⽤酒精;薄荷酒;酒精饮料原汁;含⽔果酒精饮料;含酒精的充⽓饮料（啤酒除外）;开胃酒;果酒（含酒精）;蜂蜜酒</t>
  </si>
  <si>
    <t>亲仁老手艺</t>
  </si>
  <si>
    <t>贵州盛世仁和酿酒厂</t>
  </si>
  <si>
    <t>烧酒;果酒;⽼酒（中国蒸馏烈酒）;利⼝酒;⽩酒;预先混合的酒精饮料（以啤酒为主的除外）;⾼粱酒;⽶酒;葡萄酒;酒精饮料（啤酒除外）</t>
  </si>
  <si>
    <t>朝天策</t>
  </si>
  <si>
    <t>段奇东</t>
  </si>
  <si>
    <t>⽩酒;鸡尾酒;含⽔果酒精饮料;果酒（含酒精）;葡萄酒;蜂蜜酒;烧酒;⽶酒;清酒（⽇本⽶酒）;酒精饮料（啤酒除外）</t>
  </si>
  <si>
    <t>逐梦天地</t>
  </si>
  <si>
    <t>⽩酒;蜂蜜酒;烧酒;酒精饮料（啤酒除外）;果酒（含酒精）;⽶酒;鸡尾酒;葡萄酒;清酒（⽇本⽶酒）;含⽔果酒精饮料</t>
  </si>
  <si>
    <t>乐者荣耀</t>
  </si>
  <si>
    <t>李雪晴</t>
  </si>
  <si>
    <t>酒精饮料（啤酒除外）;威⼠忌;开胃酒;⽩酒;⻩酒;葡萄酒;⽶酒;伏特加酒;汽酒;烧酒</t>
  </si>
  <si>
    <t>乙大巴</t>
  </si>
  <si>
    <t>乙大巴（德化）网络科技有限公司</t>
  </si>
  <si>
    <t>酒精饮料（啤酒除外）;葡萄酒;烈酒（饮料）;⽩兰地;清酒（⽇本⽶酒）;含⽔果酒精饮料;⽩酒;⾷⽤酒精;鸡尾酒;威⼠忌</t>
  </si>
  <si>
    <t>XUELATU</t>
  </si>
  <si>
    <t>兄弟进出口贸易（深圳）有限公司</t>
  </si>
  <si>
    <t>果酒（含酒精）;酒精饮料（啤酒除外）;⽩酒;甜酒;⽶酒;葡萄酒;含⽔果酒精饮料;红葡萄酒;烧酒;开胃酒</t>
  </si>
  <si>
    <t>京印传承龙皇珍品</t>
  </si>
  <si>
    <t>北京九青蓝商贸有限公司</t>
  </si>
  <si>
    <t>烈酒（饮料）;酒精饮料（啤酒除外）;烧酒;⻩酒;果酒（含酒精）;⽩酒;蒸馏饮料;葡萄酒;⾷⽤酒精;清酒（⽇本⽶酒）</t>
  </si>
  <si>
    <t>典雅川竹青</t>
  </si>
  <si>
    <t>天津市宝利祥和商贸有限公司</t>
  </si>
  <si>
    <t>烧酒（烈酒）;⽢蔗制烈酒;酒精饮料（啤酒除外）;果酒（含酒精）;葡萄酒;⽩酒;⽶酒;⻩酒;鸡尾酒;烈酒（饮料）</t>
  </si>
  <si>
    <t>兴博百</t>
  </si>
  <si>
    <t>滨州市博百商贸有限公司</t>
  </si>
  <si>
    <t>⽩酒;⽶酒;烧酒;⻩酒;果酒;酒精饮料原汁;葡萄酒;蒸馏饮料;烈酒;清酒</t>
  </si>
  <si>
    <t>小鹭故事</t>
  </si>
  <si>
    <t>流动创艺（厦门）酒业有限公司</t>
  </si>
  <si>
    <t>果酒（含酒精）;葡萄酒;汽酒;⻩酒;⽩酒;⽼酒（中国蒸馏烈酒）;烧酒;⻘稞酒;⽶酒;⾼粱酒</t>
  </si>
  <si>
    <t>ORIGFHEA</t>
  </si>
  <si>
    <t>广州巴拿巴生物科技有限公司</t>
  </si>
  <si>
    <t>酒精饮料原汁;⽶酒;葡萄酒;含⽔果酒精饮料;⽩酒;苹果酒;薄荷酒;蒸馏饮料;酒精饮料（啤酒除外）;果酒（含酒精）</t>
  </si>
  <si>
    <t>PRELUDE DE CLOS APALTA</t>
  </si>
  <si>
    <t>博尔纳拉博丝特有限公司</t>
  </si>
  <si>
    <t>衡昌烧坊同兴</t>
  </si>
  <si>
    <t>⽩⼲酒（中国⽩酒）;蒸煮提取物（利⼝酒和烈酒）;清酒;⽩酒;烧酒;由⾕物蒸馏的⽩酒;⾼粱酒;五加⽪酒（中国混合烈酒）;⻩酒;开胃酒</t>
  </si>
  <si>
    <t>杏九匠</t>
  </si>
  <si>
    <t>班里能</t>
  </si>
  <si>
    <t>⽩酒;开胃酒;果酒;鸡尾酒;酒精饮料（啤酒除外）;清酒（⽇本⽶酒）;威⼠忌;葡萄酒;⻩酒;烈酒（饮料）</t>
  </si>
  <si>
    <t>霸都</t>
  </si>
  <si>
    <t>合肥徽品酒业有限公司</t>
  </si>
  <si>
    <t>开胃酒;威⼠忌;⽶酒;果酒（含酒精）;⻩酒;烈酒（饮料）;烈酒;⽩酒;酒精饮料（啤酒除外）;葡萄酒</t>
  </si>
  <si>
    <t>熙牧风</t>
  </si>
  <si>
    <t>王必桥</t>
  </si>
  <si>
    <t>⽩酒;烈酒（饮料）;蒸馏饮料;鸡尾酒;含⽔果酒精饮料;果酒（含酒精）;烧酒;威⼠忌;酒精饮料原汁;清酒</t>
  </si>
  <si>
    <t>沃尔盈</t>
  </si>
  <si>
    <t>畅赢生物科技（深圳）有限公司</t>
  </si>
  <si>
    <t>鸡尾酒;酒精饮料（啤酒除外）;⽶酒;果酒（含酒精）;⽩酒;⾷⽤酒精;已调味的⻨芽酿制的酒精饮料（啤酒除外）;⾕物制蒸馏酒精饮料;酒精饮料原汁;葡萄酒</t>
  </si>
  <si>
    <t>刘留柱</t>
  </si>
  <si>
    <t>葡萄酒;威⼠忌;含⽔果酒精饮料;蒸馏饮料;薄荷酒;⻩酒;酒精饮料（啤酒除外）;⽩酒;开胃酒;果酒（含酒精）</t>
  </si>
  <si>
    <t>长百首宝</t>
  </si>
  <si>
    <t>江西和欣实业股份有限公司</t>
  </si>
  <si>
    <t>烈酒（饮料）;梅酒;⻩酒;⽶酒;开胃酒;果酒（含酒精）;露酒;含⽔果酒精饮料;⽩酒;葡萄酒</t>
  </si>
  <si>
    <t>贵御珍品如意</t>
  </si>
  <si>
    <t>⽩酒;⽶酒;葡萄酒;⻩酒;酒精饮料（啤酒除外）;⽼酒（中国蒸馏烈酒）;果酒（含酒精）;利⼝酒;清酒（⽇本⽶酒）;开胃酒</t>
  </si>
  <si>
    <t>羌缘福</t>
  </si>
  <si>
    <t>四川羌六代福寿堂科技有限公司</t>
  </si>
  <si>
    <t>鸡尾酒;酒精饮料（啤酒除外）;开胃酒;酒精饮料浓缩汁;葡萄酒;⽶酒;利⼝酒;果酒（含酒精）;⽩酒;烧酒</t>
  </si>
  <si>
    <t>轻澈</t>
  </si>
  <si>
    <t>轻澈（深圳）健康管理有限公司</t>
  </si>
  <si>
    <t>酒精饮料原汁;威⼠忌;⽩酒;⽶酒;含⽔果酒精饮料;鸡尾酒;蒸馏饮料;果酒（含酒精）;⾷⽤酒精;葡萄酒</t>
  </si>
  <si>
    <t>清酒;⽶酒;⻩酒;果酒（含酒精）;烧酒;鸡尾酒;酒精饮料（啤酒除外）;⽩酒;茴⾹酒;葡萄酒</t>
  </si>
  <si>
    <t>湘崖</t>
  </si>
  <si>
    <t>湖南湘崖农业有限公司</t>
  </si>
  <si>
    <t>鸡尾酒;葡萄酒;⻘稞酒;⽩兰地;威⼠忌;⽩酒;果酒（含酒精）;酒精饮料（啤酒除外）;⻩酒;⽶酒</t>
  </si>
  <si>
    <t>刘雅韵香居</t>
  </si>
  <si>
    <t>刘强</t>
  </si>
  <si>
    <t>酒精饮料（啤酒除外）;⽩酒;⽶酒;酒精饮料原汁;⾷⽤酒精;葡萄酒;蒸馏饮料;烈酒（饮料）;果酒（含酒精）;烧酒</t>
  </si>
  <si>
    <t>慢宋</t>
  </si>
  <si>
    <t>绍兴慢宋酒庄有限公司</t>
  </si>
  <si>
    <t>清酒（⽇本⽶酒）;⽶酒;⽩酒;⻩酒;露酒;酒精饮料（啤酒除外）;果酒（含酒精）;葡萄酒;含酒精的鸡尾酒混合饮品;汽酒</t>
  </si>
  <si>
    <t>清允</t>
  </si>
  <si>
    <t>桐庐孝门粮油专业合作社</t>
  </si>
  <si>
    <t>蒸馏饮料;樱桃酒;威⼠忌;蜂蜜酒;⽩酒;⾕物制蒸馏酒精饮料;烧酒;果酒（含酒精）;⽩兰地;烈酒（饮料）</t>
  </si>
  <si>
    <t>晋池美</t>
  </si>
  <si>
    <t>以葡萄酒为主的开胃酒;⽩兰地;酒精饮料（啤酒除外）;杨梅酒;烧酒;⽩酒;伏特加酒;⻩酒;⽶酒;含酒精的饮料（啤酒除外）</t>
  </si>
  <si>
    <t>湘一鸣</t>
  </si>
  <si>
    <t>董高飞</t>
  </si>
  <si>
    <t>⽩酒;威⼠忌;蜂蜜酒;鸡尾酒;⽶酒;果酒（含酒精）;葡萄酒;清酒（⽇本⽶酒）;烈酒（饮料）;⻩酒</t>
  </si>
  <si>
    <t>榜纳百川</t>
  </si>
  <si>
    <t>杨皓</t>
  </si>
  <si>
    <t>烧酒;葡萄酒;⾷⽤酒精;果酒（含酒精）;蒸煮提取物（利⼝酒和烈酒）;⽶酒;酒精饮料（啤酒除外）;佐餐酒;酒精饮料浓缩汁;⽩酒</t>
  </si>
  <si>
    <t>辽东大黑山</t>
  </si>
  <si>
    <t>屈美荣</t>
  </si>
  <si>
    <t>葡萄酒;朗姆酒;⽶酒;果酒（含酒精）;樱桃酒;⽩酒;鸡尾酒;伏特加酒;⻘稞酒;⽩兰地</t>
  </si>
  <si>
    <t>剩山画境</t>
  </si>
  <si>
    <t>⽶酒;⽩酒;烧酒（烈酒）;⽩⼲酒（中国⽩酒）;烈酒（饮料）;⻩酒;果酒（含酒精）;酒精饮料（啤酒除外）;⾷⽤酒精;清酒</t>
  </si>
  <si>
    <t>五豚</t>
  </si>
  <si>
    <t>广西蓝云猫电子商务有限公司</t>
  </si>
  <si>
    <t>果酒;⽶酒;⽩酒;烈酒;鸡尾酒;⻩酒;酒精饮料（啤酒除外）;含⽔果酒精饮料;⽇式甜⽶酒;葡萄酒</t>
  </si>
  <si>
    <t>南吴船</t>
  </si>
  <si>
    <t>浙江吴义太企业管理有限公司</t>
  </si>
  <si>
    <t>⽩酒;葡萄酒;⽶酒;果酒（含酒精）;⻩酒;烈酒（饮料）;清酒（⽇本⽶酒）;⻘稞酒;汽酒;烧酒</t>
  </si>
  <si>
    <t>胜利富贵</t>
  </si>
  <si>
    <t>⽩酒;伏特加酒;葡萄酒;汽酒;开胃酒;酒精饮料（啤酒除外）;⻩酒;⽶酒;威⼠忌;烧酒</t>
  </si>
  <si>
    <t>三瓴</t>
  </si>
  <si>
    <t>四川三瓴实业集团有限公司</t>
  </si>
  <si>
    <t>蜂蜜酒;含⽔果酒精饮料;⽩酒;葡萄酒;⽶酒;威⼠忌;⽩兰地;果酒（含酒精）;鸡尾酒;酒精饮料原汁</t>
  </si>
  <si>
    <t>九加酒原</t>
  </si>
  <si>
    <t>智慧醇酿（临沂）食品科技有限公司</t>
  </si>
  <si>
    <t>葡萄酒;⽶酒;⽩兰地;烧酒;⽩酒;鸡尾酒;⻩酒;蒸馏饮料;威⼠忌;果酒（含酒精）</t>
  </si>
  <si>
    <t>瑛尚云</t>
  </si>
  <si>
    <t>徐恒英</t>
  </si>
  <si>
    <t>鸡尾酒;⾕物制蒸馏酒精饮料;⻩酒;⾷⽤酒精;果酒;含⽔果酒精饮料;葡萄酒;蒸馏饮料;薄荷酒;⽩酒</t>
  </si>
  <si>
    <t>金鑫雨薇</t>
  </si>
  <si>
    <t>绍兴千兮文化发展有限公司</t>
  </si>
  <si>
    <t>鸡尾酒;含酒精⽔果饮料;威⼠忌;⻩酒;⽩酒;清酒（⽇本⽶酒）;葡萄酒;⽩兰地;⽶酒;果酒（含酒精）</t>
  </si>
  <si>
    <t>东芳御致</t>
  </si>
  <si>
    <t>卢梅</t>
  </si>
  <si>
    <t>⽩酒;葡萄酒;汽酒;⾷⽤酒精;⽶酒;开胃酒;甜酒;清酒;果酒;⻩酒</t>
  </si>
  <si>
    <t>禾好玖</t>
  </si>
  <si>
    <t>山西杏花清香印象酒业有限公司</t>
  </si>
  <si>
    <t>利⼝酒;⻩酒;清酒;⽼酒（中国蒸馏烈酒）;葡萄酒;⽩酒;果酒（含酒精）;酒精饮料原汁;露酒;烧酒</t>
  </si>
  <si>
    <t>博百兴</t>
  </si>
  <si>
    <t>清酒;果酒;⽩酒;烧酒;酒精饮料原汁;⻩酒;⽶酒;蒸馏饮料;烈酒;葡萄酒</t>
  </si>
  <si>
    <t>⽩酒;⾼粱酒;果酒;鸡尾酒;⽩⼲酒（中国⽩酒）;⽶酒;含酒精的饮料（啤酒除外）;佐餐酒;烈酒;葡萄酒</t>
  </si>
  <si>
    <t>⽩⼲酒（中国⽩酒）;⽩酒;烈酒;鸡尾酒;含酒精的饮料（啤酒除外）;⽶酒;葡萄酒;果酒;佐餐酒;⾼粱酒</t>
  </si>
  <si>
    <t>荷服</t>
  </si>
  <si>
    <t>烧酒;⽩酒;鸡尾酒;烈酒（饮料）;⽶酒;⻩酒;葡萄酒;威⼠忌;果酒（含酒精）;清酒（⽇本⽶酒）</t>
  </si>
  <si>
    <t>昌济平</t>
  </si>
  <si>
    <t>王缓缓</t>
  </si>
  <si>
    <t>果酒（含酒精）;含⽔果酒精饮料;清酒（⽇本⽶酒）;⽶酒;烈酒（饮料）;葡萄酒;预先混合的酒精饮料（以啤酒为主的除外）;⻘稞酒;⻩酒;⽩酒</t>
  </si>
  <si>
    <t>苏油美</t>
  </si>
  <si>
    <t>江苏紫京有限公司洪泽农场</t>
  </si>
  <si>
    <t>烧酒;汽酒;酒精饮料（啤酒除外）;开胃酒;⽩酒;果酒;⻩酒;烈酒;葡萄酒;⽶酒</t>
  </si>
  <si>
    <t>一方闲章</t>
  </si>
  <si>
    <t>山东问孔商贸有限公司</t>
  </si>
  <si>
    <t>鸡尾酒;⽩兰地;⽶酒;果酒（含酒精）;⽩酒;威⼠忌;烧酒;葡萄酒;⻩酒;蒸馏饮料</t>
  </si>
  <si>
    <t>成都裕名万汇企业管理咨询有限公司</t>
  </si>
  <si>
    <t>葡萄酒;烧酒;⽩酒;果酒（含酒精）;⽶酒;鸡尾酒;烈酒（饮料）;威⼠忌;酒精饮料（啤酒除外）;以葡萄酒为主的饮料</t>
  </si>
  <si>
    <t>俏鹤</t>
  </si>
  <si>
    <t>无锡利他贸易有限公司</t>
  </si>
  <si>
    <t>⻩酒;葡萄酒;鸡尾酒;果酒（含酒精）;含⽔果酒精饮料;清酒;⽩酒;威⼠忌;⽶酒;烧酒</t>
  </si>
  <si>
    <t>山东潮力啤酒有限公司</t>
  </si>
  <si>
    <t>开胃酒;蒸馏饮料;餐后酒（利⼝酒和烈酒）;酒精饮料（啤酒除外）;鸡尾酒;果酒;汽酒;甜酒;⽩酒;威⼠忌</t>
  </si>
  <si>
    <t>顶度旅游有限公司</t>
  </si>
  <si>
    <t>⻩酒;酒精饮料（啤酒除外）;开胃酒;⽩兰地;⽩酒;葡萄酒;威⼠忌;蒸煮提取物（利⼝酒和烈酒）;鸡尾酒;含⽔果酒精饮料</t>
  </si>
  <si>
    <t>钝光</t>
  </si>
  <si>
    <t>苏州钝造科技有限公司</t>
  </si>
  <si>
    <t>果酒;杜松⼦酒;⽩兰地;酒精饮料（啤酒除外）;伏特加酒;汽酒;苹果酒;葡萄酒;⽶酒;威⼠忌</t>
  </si>
  <si>
    <t>龙颈</t>
  </si>
  <si>
    <t>四川四味酒业有限公司</t>
  </si>
  <si>
    <t>葡萄酒;烧酒;⻩酒;鸡尾酒;果酒;⻘稞酒;清酒（⽇本⽶酒）;⽶酒;⽩酒;朗姆酒</t>
  </si>
  <si>
    <t>玺朵亼</t>
  </si>
  <si>
    <t>四川红星领地酒庄有限公司</t>
  </si>
  <si>
    <t>果酒;酒精饮料（啤酒除外）;含⽔果酒精饮料;⽩酒;烈酒（饮料）;露酒;蒸煮提取物（利⼝酒和烈酒）;葡萄酒;鸡尾酒;预先混合的酒精饮料（以啤酒为主的除外）</t>
  </si>
  <si>
    <t>泰珍味</t>
  </si>
  <si>
    <t>上海峰茂餐饮管理有限公司</t>
  </si>
  <si>
    <t>红葡萄酒;鸡尾酒;⽶酒;烧酒;⽩酒;⽩兰地;佐餐酒;果酒;甜果酒;混合威⼠忌酒</t>
  </si>
  <si>
    <t>十哩坊</t>
  </si>
  <si>
    <t>四川光良酿酒有限公司</t>
  </si>
  <si>
    <t>开胃酒;烧酒;⻘稞酒;利⼝酒;⽩酒;餐后酒（利⼝酒和烈酒）;烈酒（饮料）;⽶酒;果酒（含酒精）;蜂蜜酒</t>
  </si>
  <si>
    <t>飒马酒业</t>
  </si>
  <si>
    <t>果酒;⻩酒;⽩酒;开胃酒;葡萄酒;鸡尾酒;清酒（⽇本⽶酒）;烈酒（饮料）;酒精饮料（啤酒除外）;威⼠忌</t>
  </si>
  <si>
    <t>久痴</t>
  </si>
  <si>
    <t>王贤衡</t>
  </si>
  <si>
    <t>⻩酒;⽩酒;烧酒;蒸馏饮料;开胃酒;酒精饮料（啤酒除外）;薄荷酒;含⽔果酒精饮料;果酒（含酒精）;葡萄酒</t>
  </si>
  <si>
    <t>雪山序</t>
  </si>
  <si>
    <t>威⼠忌;清酒（⽇本⽶酒）;鸡尾酒;烈酒（饮料）;⻩酒;蜂蜜酒;⽩酒;果酒（含酒精）;葡萄酒;⽶酒</t>
  </si>
  <si>
    <t>晋池愿</t>
  </si>
  <si>
    <t>烧酒;⽩酒;酒精饮料（啤酒除外）;⻩酒;伏特加酒;威⼠忌;葡萄酒;开胃酒;⽶酒;汽酒</t>
  </si>
  <si>
    <t>华榉会</t>
  </si>
  <si>
    <t>杭州华榉会文化传播有限公司</t>
  </si>
  <si>
    <t>威⼠忌;⻩酒;果酒（含酒精）;蒸馏饮料;开胃酒;酒精饮料（啤酒除外）;⽩酒;含⽔果酒精饮料;薄荷酒;葡萄酒</t>
  </si>
  <si>
    <t>班承千秋</t>
  </si>
  <si>
    <t>⽩酒;酒精饮料浓缩汁;佐餐酒;果酒（含酒精）;蒸煮提取物（利⼝酒和烈酒）;⾷⽤酒精;酒精饮料（啤酒除外）;⽶酒;葡萄酒;烧酒</t>
  </si>
  <si>
    <t>如香逢</t>
  </si>
  <si>
    <t>黄浩</t>
  </si>
  <si>
    <t>葡萄酒;⻩酒;开胃酒;酒精饮料（啤酒除外）;果酒（含酒精）;清酒（⽇本⽶酒）;⽩酒;鸡尾酒;威⼠忌;烈酒</t>
  </si>
  <si>
    <t>吉象花雨</t>
  </si>
  <si>
    <t>刘志松350203********4011</t>
  </si>
  <si>
    <t>清酒（⽇本⽶酒）;果酒（含酒精）;烧酒;⻘稞酒;⽩酒;葡萄酒;酒精饮料（啤酒除外）;⽶酒;蒸煮提取物（利⼝酒和烈酒）;蒸馏饮料</t>
  </si>
  <si>
    <t>小秃猴科技有限公司</t>
  </si>
  <si>
    <t>鸡尾酒;果酒（含酒精）;葡萄酒;以葡萄酒为主的饮料;预先混合的酒精饮料（以啤酒为主的除外）;酒精饮料浓缩汁;⽩酒;⽩兰地;含⽔果酒精饮料;开胃酒</t>
  </si>
  <si>
    <t>雪拉图</t>
  </si>
  <si>
    <t>开胃酒;烧酒;⽩酒;红葡萄酒;⽶酒;葡萄酒;酒精饮料（啤酒除外）;含⽔果酒精饮料;甜酒;果酒（含酒精）</t>
  </si>
  <si>
    <t>李广纪</t>
  </si>
  <si>
    <t>烧酒;烈酒（饮料）;酒精饮料（啤酒除外）;⻩酒;含酒精的⽓泡⽔;⽩酒;葡萄酒;果酒（含酒精）;鸡尾酒;⽶酒</t>
  </si>
  <si>
    <t>淮三河</t>
  </si>
  <si>
    <t>淮安玥城通讯科技有限公司</t>
  </si>
  <si>
    <t>⾷⽤酒精;利⼝酒;葡萄酒;开胃酒;酒精饮料（啤酒除外）;⻩酒;果酒（含酒精）;⽶酒;⽩酒;烧酒</t>
  </si>
  <si>
    <t>已调味的⻨芽酿制的酒精饮料（啤酒除外）;果酒（含酒精）;酒精饮料原汁;⽶酒;⾕物制蒸馏酒精饮料;葡萄酒;⽩酒;酒精饮料（啤酒除外）;⾷⽤酒精;鸡尾酒</t>
  </si>
  <si>
    <t>直隶德广斋</t>
  </si>
  <si>
    <t>保定冰晴餐饮管理有限公司</t>
  </si>
  <si>
    <t>含⽔果酒精饮料;⽶酒;烧酒;以葡萄酒为主的饮料;果酒（含酒精）;烈酒（饮料）;⾷⽤酒精;⾕物制蒸馏酒精饮料;酒精饮料（啤酒除外）;⽩酒</t>
  </si>
  <si>
    <t>钝造</t>
  </si>
  <si>
    <t>苹果酒;葡萄酒;伏特加酒;威⼠忌;⽩兰地;酒精饮料（啤酒除外）;果酒;杜松⼦酒;汽酒;⽶酒</t>
  </si>
  <si>
    <t>北京安斯吉尔国际工程技术有限公司</t>
  </si>
  <si>
    <t>葡萄酒;酒精饮料（啤酒除外）;汽酒;果酒（含酒精）;⻩酒;朗姆酒;⽶酒;烧酒;⽩酒;鸡尾酒</t>
  </si>
  <si>
    <t>敬励</t>
  </si>
  <si>
    <t>⽩酒;薄荷酒;蒸馏饮料;葡萄酒;开胃酒;酒精饮料（啤酒除外）;⻩酒;含⽔果酒精饮料;烧酒;果酒（含酒精）</t>
  </si>
  <si>
    <t>赣一鸣</t>
  </si>
  <si>
    <t>严三全</t>
  </si>
  <si>
    <t>威⼠忌;鸡尾酒;⽶酒;蜂蜜酒;⻩酒;⽩酒;烈酒（饮料）;清酒（⽇本⽶酒）;果酒（含酒精）;葡萄酒</t>
  </si>
  <si>
    <t>遇见·丹红水墨</t>
  </si>
  <si>
    <t>贵州茅台（集团）生态农业产业发展有限公司</t>
  </si>
  <si>
    <t>利⼝酒;苹果酒;葡萄酒;⽩兰地;⽩酒;果酒（含酒精）;露酒;⽶酒;威⼠忌;酒精饮料（啤酒除外）</t>
  </si>
  <si>
    <t>白沧山</t>
  </si>
  <si>
    <t>清酒（⽇本⽶酒）;威⼠忌;葡萄酒;鸡尾酒;酒精饮料（啤酒除外）;⻩酒;⽩酒;开胃酒;果酒;烈酒（饮料）</t>
  </si>
  <si>
    <t>皇佳美</t>
  </si>
  <si>
    <t>烧酒;以葡萄酒为主的开胃酒;⻩酒;⽩兰地;⽶酒;伏特加酒;杨梅酒;⽩酒;含酒精的饮料（啤酒除外）;酒精饮料（啤酒除外）</t>
  </si>
  <si>
    <t>霞选益生</t>
  </si>
  <si>
    <t>北京同德伟霖食品有限公司</t>
  </si>
  <si>
    <t>⻩酒;开胃酒;烧酒;⽩兰地;⽩酒;葡萄酒;伏特加酒;含酒精的鸡尾酒混合饮品;⽶酒;果酒（含酒精）</t>
  </si>
  <si>
    <t>壹方闲章</t>
  </si>
  <si>
    <t>鸡尾酒;烧酒;⽩兰地;果酒（含酒精）;威⼠忌;⽶酒;葡萄酒;⻩酒;⽩酒;蒸馏饮料</t>
  </si>
  <si>
    <t>九加酒基</t>
  </si>
  <si>
    <t>葡萄酒;⻩酒;蒸馏饮料;烧酒;威⼠忌;⽩酒;果酒（含酒精）;鸡尾酒;⽩兰地;⽶酒</t>
  </si>
  <si>
    <t>青山谣</t>
  </si>
  <si>
    <t>清酒（⽇本⽶酒）;威⼠忌;果酒（含酒精）;⻩酒;葡萄酒;鸡尾酒;⽩酒;开胃酒;酒精饮料（啤酒除外）;烈酒</t>
  </si>
  <si>
    <t>上海豫园旅游商城（集团）股份有限公司</t>
  </si>
  <si>
    <t>威⼠忌;含⽔果酒精饮料;酒精饮料（啤酒除外）;⽶酒;⽩兰地;果酒（含酒精）;葡萄酒;鸡尾酒;⽩酒;蒸馏饮料</t>
  </si>
  <si>
    <t>紫瑞祥龙</t>
  </si>
  <si>
    <t>家乡酒厂有限公司</t>
  </si>
  <si>
    <t>烧酒;果酒;蜂蜜酒;酒精饮料（啤酒除外）;清酒;⻩酒;⽶酒;⽩酒;⽼酒（中国蒸馏烈酒）;葡萄酒</t>
  </si>
  <si>
    <t>皇台春</t>
  </si>
  <si>
    <t>甘肃皇台酒业股份有限公司</t>
  </si>
  <si>
    <t>⽩酒;⽩⼲酒（中国⽩酒）;由⾕物蒸馏的⽩酒;起泡⽩葡萄酒;⽶酒;葡萄酒;甜酒;果酒;酒精饮料（啤酒除外）;起泡红葡萄酒</t>
  </si>
  <si>
    <t>万贤公</t>
  </si>
  <si>
    <t>山东省东平县鲁泰阳光影视传播有限公司</t>
  </si>
  <si>
    <t>酒精饮料原汁;酒精饮料（啤酒除外）;果酒（含酒精）;威⼠忌;含⽔果酒精饮料;⽩兰地;⾷⽤酒精;⽩酒;⻩酒;烈酒（饮料）</t>
  </si>
  <si>
    <t>丰和巴蜀</t>
  </si>
  <si>
    <t>胡元涛</t>
  </si>
  <si>
    <t>果酒（含酒精）;开胃酒;威⼠忌;鸡尾酒;⽩酒;预先混合的酒精饮料（以啤酒为主的除外）;烧酒;苹果酒;餐后酒（利⼝酒和烈酒）;葡萄酒</t>
  </si>
  <si>
    <t>2024/07/31</t>
  </si>
  <si>
    <t>沚优津选</t>
  </si>
  <si>
    <t>芜湖市湾沚区惠农资产管理有限公司</t>
  </si>
  <si>
    <t>朗姆酒;含酒精的⽓泡⽔;⽩酒;酒精饮料浓缩汁;葡萄酒;⻩酒;果酒（含酒精）;鸡尾酒;⾕物制蒸馏酒精饮料;⽶酒</t>
  </si>
  <si>
    <t>CHALET BORDO</t>
  </si>
  <si>
    <t>克里内尔·赫尔佐格</t>
  </si>
  <si>
    <t>朗姆酒;苦味酒;樱桃酒;杜松⼦酒;⽶酒;含⽔果酒精饮料;威⼠忌;伏特加酒;利⼝酒;葡萄酒</t>
  </si>
  <si>
    <t>果星系</t>
  </si>
  <si>
    <t>祝桂春</t>
  </si>
  <si>
    <t>烧酒;⽩酒;酒精饮料原汁;汽酒;⻩酒;烈酒（饮料）;葡萄酒;果酒（含酒精）;⽩葡萄酒;⽶酒</t>
  </si>
  <si>
    <t>中农优选企业管理（海南）有限公司</t>
  </si>
  <si>
    <t>鸡尾酒;开胃酒;⽶酒;清酒（⽇本⽶酒）;⽩酒;酒精饮料（啤酒除外）;威⼠忌;葡萄酒;果酒（含酒精）;⻩酒</t>
  </si>
  <si>
    <t>山和城</t>
  </si>
  <si>
    <t>杨国君</t>
  </si>
  <si>
    <t>果酒（含酒精）;加烈葡萄酒;烈酒;酒精饮料原汁;⽩兰地;威⼠忌;利⼝酒;⽩酒;清酒（⽇本⽶酒）;葡萄酒</t>
  </si>
  <si>
    <t>汉宫府御酒</t>
  </si>
  <si>
    <t>汉古国际控股集团有限公司</t>
  </si>
  <si>
    <t>酒精饮料（啤酒除外）;汽酒;果酒（含酒精）;葡萄酒;⻩酒;鸡尾酒;威⼠忌;⽶酒;⽩兰地;⽩酒</t>
  </si>
  <si>
    <t>陇神戎发</t>
  </si>
  <si>
    <t>甘肃康宴大健康管理有限公司</t>
  </si>
  <si>
    <t>酒精饮料原汁;鸡尾酒;⾷⽤酒精;⻩酒;⽶酒;果酒;酒精饮料（啤酒除外）;⽩酒;葡萄酒;清酒（⽇本⽶酒）</t>
  </si>
  <si>
    <t>名仕·自由爱</t>
  </si>
  <si>
    <t>淮北名仕商贸有限公司</t>
  </si>
  <si>
    <t>果酒（含酒精）;烈酒（饮料）;薄荷酒;鸡尾酒;汽酒;⽶酒;⻩酒;葡萄酒;含⽔果酒精饮料;清酒（⽇本⽶酒）</t>
  </si>
  <si>
    <t>贵庄壮元朗</t>
  </si>
  <si>
    <t>贵州苗健堂药业有限公司</t>
  </si>
  <si>
    <t>开胃酒;⻘稞酒;⽩酒;⻩酒;⽶酒;餐后酒（利⼝酒和烈酒）;果酒（含酒精）;葡萄酒;烧酒;酒精饮料（啤酒除外）</t>
  </si>
  <si>
    <t>万山夏姐酒坊</t>
  </si>
  <si>
    <t>庐江县夏姐酒坊</t>
  </si>
  <si>
    <t>开胃酒;葡萄酒;樱桃酒;⽶酒;清酒（⽇本⽶酒）;烧酒;果酒（含酒精）;利⼝酒;烈酒（饮料）;⽩酒</t>
  </si>
  <si>
    <t>食分U趣</t>
  </si>
  <si>
    <t>拾肆亿(湖北)数字科技有限公司</t>
  </si>
  <si>
    <t>葡萄酒;⽶酒;清酒（⽇本⽶酒）;⻩酒;烧酒;果酒（含酒精）;酒精饮料（啤酒除外）;鸡尾酒;烈酒（饮料）;⽩酒</t>
  </si>
  <si>
    <t>一品豹</t>
  </si>
  <si>
    <t>美迪拉有限公司</t>
  </si>
  <si>
    <t>⻘稞酒;鸡尾酒;⻩酒;⽩酒;清酒（⽇本⽶酒）;果酒（含酒精）;烈酒（饮料）;⽶酒;葡萄酒;利⼝酒</t>
  </si>
  <si>
    <t>乐星潮</t>
  </si>
  <si>
    <t>汽酒;⽶酒;葡萄酒;⽩酒;果酒（含酒精）;⻩酒;酒精饮料原汁;⽩葡萄酒;烈酒（饮料）;烧酒</t>
  </si>
  <si>
    <t>珠源锦旭</t>
  </si>
  <si>
    <t>曲靖市沾益区锦旭酒业有限公司</t>
  </si>
  <si>
    <t>⾼粱酒;⽶酒;葡萄酒;⽩兰地;果酒;果酒（含酒精）;烧酒;⽩酒;⽩⼲酒（中国⽩酒）;清酒</t>
  </si>
  <si>
    <t>锦燚</t>
  </si>
  <si>
    <t>林丽梅</t>
  </si>
  <si>
    <t>烧酒;果酒（含酒精）;烈酒（饮料）;⽩酒;⽶酒;⻩酒;鸡尾酒;葡萄酒;酒精饮料（啤酒除外）;清酒（⽇本⽶酒）</t>
  </si>
  <si>
    <t>上古凤凰</t>
  </si>
  <si>
    <t>任梅</t>
  </si>
  <si>
    <t>葡萄酒;威⼠忌;⻩酒;果酒（含酒精）;⽩酒;甜酒;梅酒;⾼粱酒;酒精饮料（啤酒除外）;⽶酒</t>
  </si>
  <si>
    <t>米寨沟</t>
  </si>
  <si>
    <t>温韵</t>
  </si>
  <si>
    <t>威⼠忌;烈酒;酒精饮料（啤酒除外）;清酒（⽇本⽶酒）;开胃酒;果酒（含酒精）;鸡尾酒;葡萄酒;⽩酒;⻩酒</t>
  </si>
  <si>
    <t>北京汉唐新天餐饮管理有限公司</t>
  </si>
  <si>
    <t>⽶酒;烧酒;⽩⼲酒（中国⽩酒）;烈酒（饮料）;威⼠忌;⻩酒;果酒（含酒精）;⽩酒;葡萄酒;含⽔果酒精饮料</t>
  </si>
  <si>
    <t>乾福百德堂</t>
  </si>
  <si>
    <t>福州天视信息技术有限公司</t>
  </si>
  <si>
    <t>蒸馏饮料;烈酒（饮料）;鸡尾酒;葡萄酒;⽩酒;果酒（含酒精）;酒精饮料（啤酒除外）;烧酒;威⼠忌;⽶酒</t>
  </si>
  <si>
    <t>聚九华</t>
  </si>
  <si>
    <t>汪丽莉</t>
  </si>
  <si>
    <t>果酒（含酒精）;蜂蜜酒;⽩酒;⻩酒;伏特加酒;葡萄酒;⽩兰地;烧酒;威⼠忌;鸡尾酒</t>
  </si>
  <si>
    <t>魏朕</t>
  </si>
  <si>
    <t>李钊强</t>
  </si>
  <si>
    <t>⽶酒;⽩酒;果酒;葡萄酒;烧酒;清酒;⽩兰地;⾷⽤酒精;威⼠忌;烈酒（饮料）</t>
  </si>
  <si>
    <t>鼎盛隆</t>
  </si>
  <si>
    <t>石丽娜</t>
  </si>
  <si>
    <t>蒸馏饮料;葡萄酒;果酒（含酒精）;⽩兰地;⽶酒;⻩酒;⾷⽤酒精;威⼠忌;酒精饮料（啤酒除外）;⽩酒</t>
  </si>
  <si>
    <t>酒酒后</t>
  </si>
  <si>
    <t>北京国美品牌管理服务有限公司</t>
  </si>
  <si>
    <t>果酒（含酒精）;蒸煮提取物（利⼝酒和烈酒）;葡萄酒;以葡萄酒为主的饮料;含⽔果酒精饮料;烈酒（饮料）;⽶酒;蒸馏饮料;酒精饮料原汁;清酒</t>
  </si>
  <si>
    <t>湖茫李氏</t>
  </si>
  <si>
    <t>贵州吉品堂商贸有限公司</t>
  </si>
  <si>
    <t>果酒;⽩酒;⾼粱酒;⽶酒;含酒精的⽓泡⽔;甜酒;含酒精的饮料（啤酒除外）;烧酒;酒精饮料原汁;含⽔果酒精饮料</t>
  </si>
  <si>
    <t>湘品黔</t>
  </si>
  <si>
    <t>威⼠忌;⾷⽤酒精;蒸馏饮料;葡萄酒;⻩酒;⽩酒;果酒（含酒精）;⽩兰地;⽶酒;酒精饮料（啤酒除外）</t>
  </si>
  <si>
    <t>登杨</t>
  </si>
  <si>
    <t>北流市汇海农业有限公司</t>
  </si>
  <si>
    <t>⾷⽤酒精;⽩酒;⽩⼲酒（中国⽩酒）;果酒;露酒;⾼粱酒;烈酒;烧酒;葡萄酒;⻩酒</t>
  </si>
  <si>
    <t>井章</t>
  </si>
  <si>
    <t>广州市牧奇服饰有限公司</t>
  </si>
  <si>
    <t>果酒（含酒精）;⽩酒;利⼝酒;蜂蜜酒;⽩兰地;威⼠忌;酒精饮料原汁;鸡尾酒;烈酒（饮料）;清酒（⽇本⽶酒）</t>
  </si>
  <si>
    <t>康大夫</t>
  </si>
  <si>
    <t>上海毅成软件科技有限公司</t>
  </si>
  <si>
    <t>果酒（含酒精）;⻩酒;清酒（⽇本⽶酒）;酒精饮料（啤酒除外）;⽶酒;⽩酒;鸡尾酒;葡萄酒;烈酒（饮料）;烧酒</t>
  </si>
  <si>
    <t>阳寿山棋盘石</t>
  </si>
  <si>
    <t>曾伟强</t>
  </si>
  <si>
    <t>开胃酒;果酒;⽩兰地;⽶酒;红葡萄酒;⾷⽤酒精;⻩酒;威⼠忌;⽩酒;酒精饮料（啤酒除外）</t>
  </si>
  <si>
    <t>冠酒夫</t>
  </si>
  <si>
    <t>葡萄酒;烈酒;果酒（含酒精）;开胃酒;⽩酒;⻩酒;鸡尾酒;威⼠忌;酒精饮料（啤酒除外）;清酒（⽇本⽶酒）</t>
  </si>
  <si>
    <t>耀茂酒业</t>
  </si>
  <si>
    <t>何永平</t>
  </si>
  <si>
    <t>蒸馏饮料;⽩酒;果酒（含酒精）;烧酒;⽶酒;威⼠忌;鸡尾酒;葡萄酒;⻩酒;⽩兰地</t>
  </si>
  <si>
    <t>旧夜</t>
  </si>
  <si>
    <t>葡萄酒;⾕物制蒸馏酒精饮料;果酒（含酒精）;烧酒;⽩酒;⽩兰地;含酒精⽔果饮料;⽶酒;威⼠忌;⻩酒</t>
  </si>
  <si>
    <t>蔡固</t>
  </si>
  <si>
    <t>北京瑞宏商贸有限公司</t>
  </si>
  <si>
    <t>⽩酒;⻩酒;⽩兰地;烧酒;以葡萄酒为主的饮料;果酒;烈酒;⽶酒;含酒精的饮料（啤酒除外）;葡萄酒</t>
  </si>
  <si>
    <t>乐啖派</t>
  </si>
  <si>
    <t>方新楷</t>
  </si>
  <si>
    <t>⾷⽤酒精;⽩酒;⽶酒;果酒（含酒精）;葡萄酒;⻩酒</t>
  </si>
  <si>
    <t>微度</t>
  </si>
  <si>
    <t>⽶酒;烧酒;⽩酒;清酒;⽼酒（中国蒸馏烈酒）;⻩酒;⽩⼲酒（中国⽩酒）;露酒;果酒;烧酒（烈酒）</t>
  </si>
  <si>
    <t>幸胡同</t>
  </si>
  <si>
    <t>⽩酒;烧酒;酒精饮料原汁;⻩酒;果酒（含酒精）;⽶酒;烈酒（饮料）;葡萄酒;⽩葡萄酒;汽酒</t>
  </si>
  <si>
    <t>竹上仙</t>
  </si>
  <si>
    <t>李廷章</t>
  </si>
  <si>
    <t>⾼粱酒;⽶酒;鸡尾酒;⻘稞酒;开胃酒;威⼠忌;酒精饮料（啤酒除外）;葡萄酒;⽩酒;⻩酒</t>
  </si>
  <si>
    <t>句缩</t>
  </si>
  <si>
    <t>瑞气永臻品牌管理（漳州）有限公司</t>
  </si>
  <si>
    <t>⽩酒;以葡萄酒为主的饮料;⽶酒;酒精饮料原汁;烧酒;⾕物制蒸馏酒精饮料;含⽔果酒精饮料;果酒（含酒精）;葡萄酒;⻩酒</t>
  </si>
  <si>
    <t>匡星</t>
  </si>
  <si>
    <t>温州匡星科技有限公司</t>
  </si>
  <si>
    <t>蒸馏饮料;酒精饮料原汁;⽶酒;果酒（含酒精）;甜酒;葡萄酒;⽩酒;烈酒（饮料）;烧酒;⻩酒</t>
  </si>
  <si>
    <t>临魁</t>
  </si>
  <si>
    <t>⽩酒;烈酒（饮料）;⽩兰地;威⼠忌;清酒（⽇本⽶酒）;利⼝酒;蜂蜜酒;酒精饮料原汁;鸡尾酒;果酒（含酒精）</t>
  </si>
  <si>
    <t>醉祐黔</t>
  </si>
  <si>
    <t>上海蕊嘉商贸有限公司</t>
  </si>
  <si>
    <t>⻩酒;酒精饮料（啤酒除外）;⾷⽤酒精;蒸馏饮料;鸡尾酒;含⽔果酒精饮料;汽酒;葡萄酒;果酒;⽩酒</t>
  </si>
  <si>
    <t>康宴金城</t>
  </si>
  <si>
    <t>果酒;⽩酒;酒精饮料原汁;酒精饮料（啤酒除外）;⾷⽤酒精;⻩酒;葡萄酒;清酒（⽇本⽶酒）;鸡尾酒;⽶酒</t>
  </si>
  <si>
    <t>简泉</t>
  </si>
  <si>
    <t>葡萄酒;⻩酒;威⼠忌;酒精饮料（啤酒除外）;⾷⽤酒精;⽩酒;果酒（含酒精）;蒸馏饮料;⽩兰地;⽶酒</t>
  </si>
  <si>
    <t>秀才梦</t>
  </si>
  <si>
    <t>⾼粱酒;酒精饮料（啤酒除外）;⻩酒;威⼠忌;⽶酒;葡萄酒;⻘稞酒;开胃酒;鸡尾酒;⽩酒</t>
  </si>
  <si>
    <t>李家名</t>
  </si>
  <si>
    <t>贵州省仁怀市李家村酒业有限公司</t>
  </si>
  <si>
    <t>伏特加酒;威⼠忌;果酒（含酒精）;开胃酒;葡萄酒;⽩酒;樱桃酒;⽶酒;烧酒;⻩酒</t>
  </si>
  <si>
    <t>汉宫府凤凰传奇</t>
  </si>
  <si>
    <t>汽酒;⽩兰地;朗姆酒;伏特加酒;含酒精的⽓泡⽔;蜂蜜酒;预先混合的酒精饮料（以啤酒为主的除外）;⽩酒;威⼠忌;鸡尾酒</t>
  </si>
  <si>
    <t>汉宫府囍酒</t>
  </si>
  <si>
    <t>果酒（含酒精）;⽶酒;汽酒;酒精饮料（啤酒除外）;鸡尾酒;⽩酒;葡萄酒;⽩兰地;威⼠忌;⻩酒</t>
  </si>
  <si>
    <t>熊喜</t>
  </si>
  <si>
    <t>广州熊喜酒业有限公司</t>
  </si>
  <si>
    <t>⻩酒;烧酒;葡萄酒;伏特加酒;鸡尾酒;开胃酒;⽶酒;清酒;⽩酒;⽩兰地</t>
  </si>
  <si>
    <t>酒边故拾</t>
  </si>
  <si>
    <t>刘书强</t>
  </si>
  <si>
    <t>汽酒;果酒（含酒精）;清酒（⽇本⽶酒）;烈酒（饮料）;⽶酒;蒸馏饮料;酒精饮料（啤酒除外）;⽩酒;⾷⽤酒精;葡萄酒</t>
  </si>
  <si>
    <t>小酷同学</t>
  </si>
  <si>
    <t>冯凯</t>
  </si>
  <si>
    <t>清酒;⾷⽤酒精;开胃酒;汽酒;⻩酒;果酒;甜酒;⽩酒;葡萄酒;⽶酒</t>
  </si>
  <si>
    <t>镜中人</t>
  </si>
  <si>
    <t>毛丽</t>
  </si>
  <si>
    <t>烧酒（烈酒）;⽼酒（中国蒸馏烈酒）;蒸馏饮料;⽩酒;⽩⼲酒（中国⽩酒）;蒸馏⽶酒（泡盛酒）;以蒸馏酒为主的开胃酒;由⾕物蒸馏的⽩酒;烈酒（饮料）;酒精饮料（啤酒除外）;烧酒;饮⽤烈酒</t>
  </si>
  <si>
    <t>泗阳满花道酒类经营有限公司</t>
  </si>
  <si>
    <t>葡萄酒;⽩酒;⻩酒;威⼠忌;汽酒;⽶酒;蒸馏饮料;鸡尾酒;开胃酒;甜酒</t>
  </si>
  <si>
    <t>寰匠</t>
  </si>
  <si>
    <t>罗弟相522130********5212</t>
  </si>
  <si>
    <t>酒精饮料（啤酒除外）;⽩酒;葡萄酒;果酒（含酒精）;鸡尾酒;⽢蔗制烈酒;烈酒（饮料）;烧酒;⻩酒;⽶酒</t>
  </si>
  <si>
    <t>永伦洪正</t>
  </si>
  <si>
    <t>关永伦</t>
  </si>
  <si>
    <t>蒸馏饮料;⽩酒;⽩⼲酒（中国⽩酒）;果酒;由⾕物蒸馏的⽩酒;⾕物制蒸馏酒精饮料;梅酒;⾼粱酒;⻩酒;杨梅酒</t>
  </si>
  <si>
    <t>天川上</t>
  </si>
  <si>
    <t>中城投丝路有限公司</t>
  </si>
  <si>
    <t>含⽔果酒精饮料;酒精饮料（啤酒除外）;⽩酒;果酒（含酒精）;葡萄酒;威⼠忌;⻩酒;薄荷酒;开胃酒;蒸馏饮料</t>
  </si>
  <si>
    <t>刘功达</t>
  </si>
  <si>
    <t>刘弦</t>
  </si>
  <si>
    <t>蒸馏饮料;葡萄酒;⾷⽤酒精;⽼酒（中国蒸馏烈酒）;⽩⼲酒（中国⽩酒）;果酒（含酒精）;烧酒;⽶酒;⽩酒;烈酒（饮料）</t>
  </si>
  <si>
    <t>玖九醉梅澜</t>
  </si>
  <si>
    <t>张艺颖</t>
  </si>
  <si>
    <t>葡萄酒;⽶酒;烧酒;鸡尾酒;⽩酒;烈酒（饮料）;⻩酒;威⼠忌;汽酒;果酒（含酒精）</t>
  </si>
  <si>
    <t>盐普</t>
  </si>
  <si>
    <t>盐城宏远运输有限公司</t>
  </si>
  <si>
    <t>酒精饮料（啤酒除外）;烧酒;果酒（含酒精）;含⽔果酒精饮料;鸡尾酒;⽩酒;⽶酒;葡萄酒;⻩酒;清酒</t>
  </si>
  <si>
    <t>仁福</t>
  </si>
  <si>
    <t>贵州中海钓台酒业股份有限公司</t>
  </si>
  <si>
    <t>⾷⽤酒精;已调味的⻨芽酿制的酒精饮料（啤酒除外）;⾕物制蒸馏酒精饮料;⾼粱酒;⽩酒;⽩⼲酒（中国⽩酒）;饮⽤烈酒;含酒精的⽓泡⽔;已调味的蒸馏酒;烈酒（饮料）</t>
  </si>
  <si>
    <t>果小沁</t>
  </si>
  <si>
    <t>谭启泳</t>
  </si>
  <si>
    <t>清酒（⽇本⽶酒）;鸡尾酒;葡萄酒;威⼠忌;开胃酒;⽩酒;烈酒;酒精饮料（啤酒除外）;果酒（含酒精）;⻩酒</t>
  </si>
  <si>
    <t>趋强</t>
  </si>
  <si>
    <t>付仕芬</t>
  </si>
  <si>
    <t>威⼠忌;烈酒;朗姆酒;葡萄酒;⻩酒;果酒;⽩兰地;⽩酒;⻘稞酒;⽶酒</t>
  </si>
  <si>
    <t>舍德拾光</t>
  </si>
  <si>
    <t>乐陵市鸣玺天下商贸有限公司</t>
  </si>
  <si>
    <t>⽶酒;含酒精的饮料（啤酒除外）;清酒（⽇本⽶酒）;⽩酒;葡萄酒;⻘梅酒;果酒（含酒精）;开胃酒;含⽜奶的鸡尾酒;烧酒（烈酒）</t>
  </si>
  <si>
    <t>禄锦川</t>
  </si>
  <si>
    <t>⽩酒;⾷⽤酒精;清酒（⽇本⽶酒）;酒精饮料（啤酒除外）;汽酒;烈酒（饮料）;蒸馏饮料;⽶酒;葡萄酒;果酒（含酒精）</t>
  </si>
  <si>
    <t>粮春风</t>
  </si>
  <si>
    <t>⽶酒;汽酒;⽩酒;⾷⽤酒精;酒精饮料（啤酒除外）;清酒（⽇本⽶酒）;葡萄酒;果酒（含酒精）;烈酒（饮料）;蒸馏饮料</t>
  </si>
  <si>
    <t>优翠园</t>
  </si>
  <si>
    <t>西安悦诗文化传媒有限公司</t>
  </si>
  <si>
    <t>⽩兰地;⻘稞酒;开胃酒;⽶酒;⽩酒;葡萄酒;果酒（含酒精）;酒精饮料（啤酒除外）;⻩酒;鸡尾酒</t>
  </si>
  <si>
    <t>皇子妃</t>
  </si>
  <si>
    <t>谢志春</t>
  </si>
  <si>
    <t>烈酒（饮料）;果酒（含酒精）;烧酒;蒸馏饮料;葡萄酒;酒精饮料浓缩汁;⽶酒;⽩酒;含⽔果酒精饮料;酒精饮料（啤酒除外）</t>
  </si>
  <si>
    <t>李和杜</t>
  </si>
  <si>
    <t>果酒（含酒精）;葡萄酒;伏特加酒;⻩酒;⽩兰地;⽩酒;⽶酒;烧酒;⾷⽤酒精;⾕物制蒸馏酒精饮料</t>
  </si>
  <si>
    <t>中山市美图塑料工业有限公司</t>
  </si>
  <si>
    <t>⽩葡萄酒;含酒精⽔果饮料;烈酒;汽酒;蒸馏饮料;草莓酒;甜酒;起泡⽩葡萄酒;清酒;⻩酒</t>
  </si>
  <si>
    <t>番来顺</t>
  </si>
  <si>
    <t>广州市番来顺餐饮企业管理有限公司</t>
  </si>
  <si>
    <t>利⼝酒;果酒（含酒精）;威⼠忌;烧酒;⽶酒;⻩酒;⽩酒;鸡尾酒;葡萄酒;⻘稞酒</t>
  </si>
  <si>
    <t>最初梅好</t>
  </si>
  <si>
    <t>果酒（含酒精）;鸡尾酒;酒精饮料（啤酒除外）;开胃酒;威⼠忌;⻩酒;⽩酒;烈酒;清酒（⽇本⽶酒）;葡萄酒</t>
  </si>
  <si>
    <t>出海</t>
  </si>
  <si>
    <t>温州云江酒业有限公司</t>
  </si>
  <si>
    <t>果酒（含酒精）;⽶酒;预先混合的酒精饮料（以啤酒为主的除外）;⽢蔗制酒精饮料;⻩酒;葡萄酒;烧酒;⽩酒;酒精饮料（啤酒除外）;⽩兰地</t>
  </si>
  <si>
    <t>于东云</t>
  </si>
  <si>
    <t>除啤酒外的酒精饮料;由⾕物蒸馏的⽩酒;⾼粱酒;⻘稞酒;烈酒;⽇式甜⽶酒;果酒;⽩酒;甜果酒;烧酒（烈酒）</t>
  </si>
  <si>
    <t>莫小呆</t>
  </si>
  <si>
    <t>广州展召信息科技有限公司</t>
  </si>
  <si>
    <t>鸡尾酒;威⼠忌;苹果酒;果酒（含酒精）;清酒;酒精饮料浓缩汁;⾕物制蒸馏酒精饮料;葡萄酒;汽酒;⽩兰地</t>
  </si>
  <si>
    <t>千奇鸟</t>
  </si>
  <si>
    <t>潘劲成</t>
  </si>
  <si>
    <t>⽩葡萄酒;⽶酒;葡萄酒;⻩酒;汽酒;烧酒;⽩酒;烈酒（饮料）;果酒（含酒精）;酒精饮料原汁</t>
  </si>
  <si>
    <t>JK.PANDA</t>
  </si>
  <si>
    <t>河南杰熊供应链管理有限公司</t>
  </si>
  <si>
    <t>葡萄酒;伏特加酒;鸡尾酒;预先混合的酒精饮料（以啤酒为主的除外）;朗姆酒;利⼝酒;⽩酒;⽩兰地;威⼠忌;烈酒（饮料）</t>
  </si>
  <si>
    <t>钓王情</t>
  </si>
  <si>
    <t>威⼠忌;酒精饮料（啤酒除外）;⻘稞酒;葡萄酒;⾼粱酒;开胃酒;鸡尾酒;⽶酒;⻩酒;⽩酒</t>
  </si>
  <si>
    <t>舍德乎</t>
  </si>
  <si>
    <t>果酒（含酒精）;葡萄酒;⽩酒;开胃酒;含酒精的饮料（啤酒除外）;清酒（⽇本⽶酒）;含⽜奶的鸡尾酒;烧酒（烈酒）;⽶酒;⻘梅酒</t>
  </si>
  <si>
    <t>谭家巷</t>
  </si>
  <si>
    <t>湖北楚寨发酵制品有限公司</t>
  </si>
  <si>
    <t>甜果酒;清酒（⽇本⽶酒）;⽶酒;预调甜酒;⻩酒;甜酒;⽼酒（中国蒸馏烈酒）;果酒（含酒精）;葡萄酒;⽩酒</t>
  </si>
  <si>
    <t>津玖茂</t>
  </si>
  <si>
    <t>盐池县和兴科技集团有限公司</t>
  </si>
  <si>
    <t>⽩酒;苹果酒;⽼酒（中国蒸馏烈酒）;含⽔果酒精饮料;葡萄酒;⻘稞酒;⻩酒;酒精饮料（啤酒除外）;果酒（含酒精）;⽶酒</t>
  </si>
  <si>
    <t>SHANG HAO SHUN</t>
  </si>
  <si>
    <t>章延上</t>
  </si>
  <si>
    <t>果酒（含酒精）;酒精饮料（啤酒除外）;清酒;含⽔果酒精饮料;甜酒;葡萄酒;⽩酒;开胃酒;鸡尾酒;烈酒（饮料）</t>
  </si>
  <si>
    <t>飙顽</t>
  </si>
  <si>
    <t>郑贵迎</t>
  </si>
  <si>
    <t>⻩酒;清酒;⽩酒;鸡尾酒;酒精饮料（啤酒除外）;威⼠忌;⽶酒;开胃酒;葡萄酒;果酒（含酒精）</t>
  </si>
  <si>
    <t>观彩霞</t>
  </si>
  <si>
    <t>利川市硒之道设计工作室</t>
  </si>
  <si>
    <t>清酒;⽩酒;果酒;⽩葡萄酒;葡萄酒;⻩酒;甜酒;⻘稞酒;⾼粱酒;⾕物制蒸馏酒精饮料</t>
  </si>
  <si>
    <t>盘协</t>
  </si>
  <si>
    <t>中华盘古文化协会有限公司</t>
  </si>
  <si>
    <t>鸡尾酒;烧酒;葡萄酒;⻘梅酒;烈酒;⻩酒;⽩酒;除啤酒外的酒精饮料;⾼粱酒;⽶酒</t>
  </si>
  <si>
    <t>鹏翔今生缘</t>
  </si>
  <si>
    <t>今生缘(贵州)康养服务有限公司</t>
  </si>
  <si>
    <t>鸡尾酒;⽶酒;⽩酒;利⼝酒;烧酒;⻩酒;蜂蜜酒;果酒;烈酒;葡萄酒</t>
  </si>
  <si>
    <t>杏苑竹</t>
  </si>
  <si>
    <t>韩办办</t>
  </si>
  <si>
    <t>果酒（含酒精）;酒精饮料原汁;酒精饮料（啤酒除外）;⽶酒;烧酒;清酒;⽩酒;葡萄酒;利⼝酒;⾷⽤酒精</t>
  </si>
  <si>
    <t>星运坊</t>
  </si>
  <si>
    <t>聊城市大于号企业管理咨询有限公司</t>
  </si>
  <si>
    <t>鸡尾酒;葡萄酒;烧酒;⻩酒;⽩酒;⾷⽤酒精;含⽔果酒精饮料;⽶酒;蒸馏饮料;果酒（含酒精）</t>
  </si>
  <si>
    <t>养一朵云</t>
  </si>
  <si>
    <t>成都锦希文化传播有限公司</t>
  </si>
  <si>
    <t>薄荷酒;蒸馏饮料;酒精饮料（啤酒除外）;含酒精的⽓泡⽔;酒精饮料原汁;葡萄酒;威⼠忌;果酒（含酒精）;苹果酒;鸡尾酒</t>
  </si>
  <si>
    <t>舍德之乎</t>
  </si>
  <si>
    <t>葡萄酒;⻘梅酒;开胃酒;⽶酒;含酒精的饮料（啤酒除外）;果酒（含酒精）;清酒（⽇本⽶酒）;⽩酒;烧酒（烈酒）;含⽜奶的鸡尾酒</t>
  </si>
  <si>
    <t>井之福</t>
  </si>
  <si>
    <t>河南省井中福酒业股份有限公司</t>
  </si>
  <si>
    <t>清酒（⽇本⽶酒）;甜果酒;葡萄酒;汽酒;果酒;果酒（含酒精）;开胃酒;烧酒;含奶油利⼝酒;⽩酒</t>
  </si>
  <si>
    <t>凯尼熊</t>
  </si>
  <si>
    <t>河南三只羊运营管理集团有限公司</t>
  </si>
  <si>
    <t>⽼酒（中国蒸馏烈酒）;草莓酒;烈酒（饮料）;烧酒;果酒;烧酒（烈酒）;葡萄酒;蒸馏饮料;⽶酒;⽩酒</t>
  </si>
  <si>
    <t>雪犇</t>
  </si>
  <si>
    <t>王雷</t>
  </si>
  <si>
    <t>烈酒（饮料）;清酒（⽇本⽶酒）;烧酒;除啤酒外的酒精饮料;⽔果汽酒;甜果酒;含酒精⽔果饮料;红葡萄酒;⽩酒;酒精饮料原汁</t>
  </si>
  <si>
    <t>云木二十八</t>
  </si>
  <si>
    <t>南京云木二十八贸易有限公司</t>
  </si>
  <si>
    <t>⽶酒;⻩酒;⾼粱酒;烈酒（饮料）;⽩酒;葡萄酒;⽩兰地;果酒（含酒精）;清酒（⽇本⽶酒）;烧酒</t>
  </si>
  <si>
    <t>京言禄</t>
  </si>
  <si>
    <t>⽩酒;⾷⽤酒精;⽶酒;清酒（⽇本⽶酒）;葡萄酒;汽酒;果酒（含酒精）;蒸馏饮料;酒精饮料（啤酒除外）;烈酒（饮料）</t>
  </si>
  <si>
    <t>威⼠忌;⽶酒;开胃酒;酒精饮料（啤酒除外）;鸡尾酒;果酒（含酒精）;⻩酒;⽩酒;葡萄酒;清酒（⽇本⽶酒）</t>
  </si>
  <si>
    <t>檀久缘</t>
  </si>
  <si>
    <t>曲靖提个车汽车销售服务有限公司</t>
  </si>
  <si>
    <t>果酒（含酒精）;⽩酒;烈酒（饮料）;⻩酒;葡萄酒;清酒（⽇本⽶酒）;酒精饮料（啤酒除外）;⽶酒;烧酒;甜酒</t>
  </si>
  <si>
    <t>沁自在</t>
  </si>
  <si>
    <t>深圳市凌智创意包装科技有限公司</t>
  </si>
  <si>
    <t>⻩酒;⽶酒;葡萄酒;烈酒（饮料）;酒精饮料原汁;鸡尾酒;酒精饮料（啤酒除外）;汽酒;⽩酒;果酒（含酒精）</t>
  </si>
  <si>
    <t>曾侯宴</t>
  </si>
  <si>
    <t>湖北曾侯宴酒业有限公司</t>
  </si>
  <si>
    <t>烧酒;烈酒（饮料）;含酒精⽔果饮料;⾷⽤酒精;酒精饮料（啤酒除外）;⻩酒;开胃酒;⽶酒;蒸煮提取物（利⼝酒和烈酒）;果酒（含酒精）</t>
  </si>
  <si>
    <t>CQAG</t>
  </si>
  <si>
    <t>威⼠忌;葡萄酒;酒精饮料（啤酒除外）;开胃酒;⻩酒;清酒（⽇本⽶酒）;⽩酒;鸡尾酒;⽶酒;果酒（含酒精）</t>
  </si>
  <si>
    <t>泡宇宙</t>
  </si>
  <si>
    <t>⽩葡萄酒;烈酒（饮料）;葡萄酒;酒精饮料原汁;果酒（含酒精）;⽶酒;烧酒;⻩酒;⽩酒;汽酒</t>
  </si>
  <si>
    <t>威⼠忌;⻩酒;鸡尾酒;果酒（含酒精）;⽩酒;清酒（⽇本⽶酒）;葡萄酒;开胃酒;酒精饮料（啤酒除外）;⽶酒</t>
  </si>
  <si>
    <t>葡萄酒;⻩酒;⽩酒;威⼠忌;⽶酒;酒精饮料（啤酒除外）;清酒（⽇本⽶酒）;开胃酒;果酒（含酒精）;鸡尾酒</t>
  </si>
  <si>
    <t>旧洲河</t>
  </si>
  <si>
    <t>⽼酒（中国蒸馏烈酒）;预调甜酒;果酒（含酒精）;⽶酒;葡萄酒;清酒（⽇本⽶酒）;⻩酒;甜果酒;甜酒;⽩酒</t>
  </si>
  <si>
    <t>匠锦欢</t>
  </si>
  <si>
    <t>⽩酒;清酒（⽇本⽶酒）;葡萄酒;⽶酒;烈酒（饮料）;蒸馏饮料;酒精饮料（啤酒除外）;汽酒;果酒（含酒精）;⾷⽤酒精</t>
  </si>
  <si>
    <t>再观天</t>
  </si>
  <si>
    <t>彭诗学</t>
  </si>
  <si>
    <t>烧酒;葡萄酒;⽩兰地;⾕物制蒸馏酒精饮料;含酒精⽔果饮料;⽶酒;⻩酒;威⼠忌;⽩酒;果酒（含酒精）</t>
  </si>
  <si>
    <t>缘二龙演</t>
  </si>
  <si>
    <t>刘凤丹</t>
  </si>
  <si>
    <t>⽩酒;露酒;汽酒;果酒;⽩⼲酒（中国⽩酒）;⽶酒;⽼酒（中国蒸馏烈酒）;⾼粱酒;烧酒;酒精饮料（啤酒除外）</t>
  </si>
  <si>
    <t>酒吧后</t>
  </si>
  <si>
    <t>酒精饮料原汁;烈酒（饮料）;⽶酒;蒸馏饮料;以葡萄酒为主的饮料;果酒（含酒精）;清酒;葡萄酒;含⽔果酒精饮料;蒸煮提取物（利⼝酒和烈酒）</t>
  </si>
  <si>
    <t>得奕出黔</t>
  </si>
  <si>
    <t>湖南欧宅门窗有限公司</t>
  </si>
  <si>
    <t>果酒（含酒精）;⽶酒;含⽔果酒精饮料;清酒;预先混合的酒精饮料（以啤酒为主的除外）;酒精饮料（啤酒除外）;⻩酒;烧酒;⽩酒;葡萄酒</t>
  </si>
  <si>
    <t>2024/08/01</t>
  </si>
  <si>
    <t>寻酿奕黔</t>
  </si>
  <si>
    <t>葡萄酒;预先混合的酒精饮料（以啤酒为主的除外）;果酒（含酒精）;清酒;⽶酒;含⽔果酒精饮料;⽩酒;⻩酒;烧酒;酒精饮料（啤酒除外）</t>
  </si>
  <si>
    <t>苏果谣</t>
  </si>
  <si>
    <t>何召</t>
  </si>
  <si>
    <t>开胃酒;果酒（含酒精）;清酒（⽇本⽶酒）;⽩酒;烈酒;威⼠忌;葡萄酒;鸡尾酒;⻩酒;酒精饮料（啤酒除外）</t>
  </si>
  <si>
    <t>关门洲</t>
  </si>
  <si>
    <t>李德权</t>
  </si>
  <si>
    <t>⻩酒;⻘梅酒;葡萄酒;以葡萄酒为主的开胃酒;杨梅酒;⽶酒;烧酒;汽酒;⽩酒;蜂蜜酒</t>
  </si>
  <si>
    <t>双要</t>
  </si>
  <si>
    <t>⻩酒;葡萄酒;⽩酒;酒精饮料（啤酒除外）;鸡尾酒;⾼粱酒;果酒（含酒精）;伏特加酒;烈酒（饮料）;⽶酒</t>
  </si>
  <si>
    <t>唐上仙</t>
  </si>
  <si>
    <t>张继伟</t>
  </si>
  <si>
    <t>⻩酒;⾼粱酒;鸡尾酒;⽩酒;⻘稞酒;葡萄酒;开胃酒;威⼠忌;⽶酒;酒精饮料（啤酒除外）</t>
  </si>
  <si>
    <t>恭酬</t>
  </si>
  <si>
    <t>清酒（⽇本⽶酒）;⽶酒;蒸馏饮料;⽩酒;汽酒;烈酒（饮料）;⾷⽤酒精;酒精饮料（啤酒除外）;葡萄酒;果酒（含酒精）</t>
  </si>
  <si>
    <t>指晒</t>
  </si>
  <si>
    <t>李林</t>
  </si>
  <si>
    <t>⽩兰地;⻩酒;酒精饮料（啤酒除外）;烧酒;苹果酒;⽩酒;⾕物制蒸馏酒精饮料;⽶酒;葡萄酒;威⼠忌</t>
  </si>
  <si>
    <t>梁禧台</t>
  </si>
  <si>
    <t>王小红</t>
  </si>
  <si>
    <t>烧酒（烈酒）;⾷⽤酒精;⽩酒;葡萄酒;酒精饮料（啤酒除外）;蒸煮提取物（利⼝酒和烈酒）;⽶酒;果酒（含酒精）;酒精饮料浓缩汁;烧酒</t>
  </si>
  <si>
    <t>故乡东北</t>
  </si>
  <si>
    <t>⻩酒;蒸馏饮料;酒精饮料（啤酒除外）;烈酒;⽶酒;⽩酒;鸡尾酒;葡萄酒;烧酒;果酒（含酒精）</t>
  </si>
  <si>
    <t>宛北靓农</t>
  </si>
  <si>
    <t>王营</t>
  </si>
  <si>
    <t>烧酒;果酒;⽶酒;酒精饮料（啤酒除外）;⽩酒;蒸馏饮料;汽酒;葡萄酒;鸡尾酒;开胃酒</t>
  </si>
  <si>
    <t>万能福</t>
  </si>
  <si>
    <t>贵州国宾酒业有限公司</t>
  </si>
  <si>
    <t>⽶酒;⽩酒;⽩⼲酒（中国⽩酒）;已调味的蒸馏酒;由⾕物蒸馏的⽩酒;果酒;酒精饮料（啤酒除外）;⾼粱酒;⽼酒（中国蒸馏烈酒）;烧酒（烈酒）</t>
  </si>
  <si>
    <t>仁昌顺</t>
  </si>
  <si>
    <t>王顺昌</t>
  </si>
  <si>
    <t>⽶酒;酒精饮料（啤酒除外）;烧酒;⻩酒;烈酒（饮料）;⾕物制蒸馏酒精饮料;甜酒;葡萄酒;果酒（含酒精）;⽩酒</t>
  </si>
  <si>
    <t>方钰台</t>
  </si>
  <si>
    <t>张策</t>
  </si>
  <si>
    <t>⽶酒;⽩酒;威⼠忌;酒精饮料（啤酒除外）;⻘稞酒;葡萄酒;开胃酒;⾼粱酒;鸡尾酒;⻩酒</t>
  </si>
  <si>
    <t>君竹美</t>
  </si>
  <si>
    <t>⽩酒;⾷⽤酒精;葡萄酒;烈酒（饮料）;酒精饮料（啤酒除外）;⽶酒;果酒（含酒精）;清酒（⽇本⽶酒）;蒸馏饮料;汽酒</t>
  </si>
  <si>
    <t>上海丰典电子商务有限公司</t>
  </si>
  <si>
    <t>酒精饮料（啤酒除外）;烈酒（饮料）;⽩酒;预先混合的酒精饮料（以啤酒为主的除外）;⾕物制蒸馏酒精饮料;葡萄酒;⽶酒;⾷⽤酒精;⻩酒;清酒（⽇本⽶酒）</t>
  </si>
  <si>
    <t>石埠坑</t>
  </si>
  <si>
    <t>永嘉县楠溪矿泉水有限公司</t>
  </si>
  <si>
    <t>葡萄酒;⽩⼲酒（中国⽩酒）;烈酒;⽼酒（中国蒸馏烈酒）;杨梅酒;果酒（含酒精）;⽶酒;⻩酒;⽩酒;⻘梅酒</t>
  </si>
  <si>
    <t>犀牛壮壮</t>
  </si>
  <si>
    <t>河南省大赢药业有限公司</t>
  </si>
  <si>
    <t>红葡萄酒;⽩葡萄酒;混合威⼠忌酒;杨梅酒;⾼粱酒;⽩酒;苦荞酒;⽩兰地;⻩酒;鸡尾酒</t>
  </si>
  <si>
    <t>衡昌臻选</t>
  </si>
  <si>
    <t>⽩⼲酒（中国⽩酒）;五加⽪酒（中国混合烈酒）;由⾕物蒸馏的⽩酒;蒸煮提取物（利⼝酒和烈酒）;清酒;烧酒;⾼粱酒;⽩酒;开胃酒;⻩酒</t>
  </si>
  <si>
    <t>稻清溪</t>
  </si>
  <si>
    <t>⻩酒;酒精饮料（啤酒除外）;鸡尾酒;⾼粱酒;威⼠忌;⽩酒;葡萄酒;⻘稞酒;开胃酒;⽶酒</t>
  </si>
  <si>
    <t>君蕴美</t>
  </si>
  <si>
    <t>烈酒（饮料）;⽩酒;酒精饮料（啤酒除外）;⽶酒;⾷⽤酒精;蒸馏饮料;汽酒;果酒（含酒精）;清酒（⽇本⽶酒）;葡萄酒</t>
  </si>
  <si>
    <t>乾酬</t>
  </si>
  <si>
    <t>葡萄酒;⽶酒;汽酒;⾷⽤酒精;烈酒（饮料）;果酒（含酒精）;⽩酒;清酒（⽇本⽶酒）;蒸馏饮料;酒精饮料（啤酒除外）</t>
  </si>
  <si>
    <t>苏莱酒叶</t>
  </si>
  <si>
    <t>江苏苏莱商业管理有限公司</t>
  </si>
  <si>
    <t>含⽔果酒精饮料;酒精饮料原汁;⽩酒;⻩酒;⽶酒;烈酒（饮料）;葡萄酒;酒精饮料（啤酒除外）;烧酒;果酒</t>
  </si>
  <si>
    <t>星城荟</t>
  </si>
  <si>
    <t>百德酒业（广东）有限公司</t>
  </si>
  <si>
    <t>酒精饮料原汁;酒精饮料（啤酒除外）;⾷⽤酒精;⽩酒;果酒（含酒精）;烈酒（饮料）;⽩兰地;葡萄酒;烧酒;⽶酒</t>
  </si>
  <si>
    <t>北京能源集团有限责任公司</t>
  </si>
  <si>
    <t>⻩酒;果酒（含酒精）;⽶酒;清酒（⽇本⽶酒）;⽩酒;葡萄酒;⾷⽤酒精;含酒精⽔果饮料;威⼠忌;⽩兰地</t>
  </si>
  <si>
    <t>星月潭</t>
  </si>
  <si>
    <t>曾小勤（510524********0565）</t>
  </si>
  <si>
    <t>⽩兰地;除啤酒外的酒精饮料;⽩酒;烧酒;鸡尾酒;葡萄酒;⽶酒;⻘稞酒;果酒（含酒精）;⻩酒</t>
  </si>
  <si>
    <t>阅湖龙湾小镇</t>
  </si>
  <si>
    <t>济宁市尼山电子商务有限公司</t>
  </si>
  <si>
    <t>烈酒（饮料）;⻩酒;葡萄酒;酒精饮料（啤酒除外）;利⼝酒;⽩酒;开胃酒;蒸煮提取物（利⼝酒和烈酒）;苹果酒;果酒（含酒精）</t>
  </si>
  <si>
    <t>五存</t>
  </si>
  <si>
    <t>江西五存酒业有限公司</t>
  </si>
  <si>
    <t>⽶酒;⾼粱酒;含酒精的饮料（啤酒除外）;果酒;酒精饮料原汁;利⼝酒;⽩酒;烧酒;烈酒;开胃酒</t>
  </si>
  <si>
    <t>飞江河</t>
  </si>
  <si>
    <t>⻩酒;葡萄酒;威⼠忌;⻘稞酒;⽶酒;鸡尾酒;⽩酒;开胃酒;酒精饮料（啤酒除外）;⾼粱酒</t>
  </si>
  <si>
    <t>蔺陶</t>
  </si>
  <si>
    <t>科彼啤酒（泉州）有限公司</t>
  </si>
  <si>
    <t>梅酒;苹果酒;⽶酒;⻘稞酒;烈酒;蜂蜜酒;烧酒;烈酒（饮料）;⾼粱酒;⽩酒</t>
  </si>
  <si>
    <t>尖井</t>
  </si>
  <si>
    <t>⻩酒;酒精饮料（啤酒除外）;葡萄酒;伏特加酒;⽩酒;鸡尾酒;⽶酒;果酒（含酒精）;烈酒（饮料）;⾼粱酒</t>
  </si>
  <si>
    <t>华承源</t>
  </si>
  <si>
    <t>贵州三宝供应链管理有限责任公司</t>
  </si>
  <si>
    <t>果酒;葡萄酒;酒精饮料（啤酒除外）;烧酒;⾼粱酒;⻩酒;烈酒;⽩酒;⽶酒;⽼酒（中国蒸馏烈酒）</t>
  </si>
  <si>
    <t>小弄堂醉玉轩</t>
  </si>
  <si>
    <t>泰州弄堂餐饮管理有限公司</t>
  </si>
  <si>
    <t>鸡尾酒;清酒（⽇本⽶酒）;烧酒;⻩酒;酒精饮料（啤酒除外）;果酒;开胃酒;葡萄酒;⽩酒;酒精饮料原汁</t>
  </si>
  <si>
    <t>葡萄酒;烧酒;⽩酒;⽩⼲酒（中国⽩酒）;酸酒（低等葡萄酒）;⽶酒;果酒（含酒精）;烈酒（饮料）;⽩兰地;⾼粱酒</t>
  </si>
  <si>
    <t>醇都</t>
  </si>
  <si>
    <t>泰州醇都商贸有限公司</t>
  </si>
  <si>
    <t>⾷⽤酒精;⽩⼲酒（中国⽩酒）;⽩酒;朗姆酒;葡萄酒;利⼝酒;⾕物制蒸馏酒精饮料;烧酒;柑⾹酒;苦味酒</t>
  </si>
  <si>
    <t>稷之家</t>
  </si>
  <si>
    <t>稷康华福科技发展有限公司</t>
  </si>
  <si>
    <t>⻩酒;露酒;清酒;果酒（含酒精）;⽩⼲酒（中国⽩酒）;⽶酒;⾼粱酒;葡萄酒;威⼠忌;⽩酒</t>
  </si>
  <si>
    <t>雪山峡</t>
  </si>
  <si>
    <t>朱贵来</t>
  </si>
  <si>
    <t>开胃酒;⾼粱酒;⻩酒;鸡尾酒;⽶酒;威⼠忌;酒精饮料（啤酒除外）;葡萄酒;⻘稞酒;⽩酒</t>
  </si>
  <si>
    <t>彬酿名</t>
  </si>
  <si>
    <t>贵州珍彬酒业有限公司</t>
  </si>
  <si>
    <t>开胃酒;⽩酒;酒精饮料（啤酒除外）;⾼粱酒;⾷⽤酒精;利⼝酒;烈酒;果酒;烧酒;威⼠忌</t>
  </si>
  <si>
    <t>云宽酒家</t>
  </si>
  <si>
    <t>泸州国之荣耀商贸有限公司</t>
  </si>
  <si>
    <t>蜂蜜酒;蒸馏饮料;含⽔果酒精饮料;烈酒（饮料）;果酒（含酒精）;葡萄酒;⾷⽤酒精;烧酒;⽶酒;酒精饮料（啤酒除外）</t>
  </si>
  <si>
    <t>蔺通</t>
  </si>
  <si>
    <t>苹果酒;⽩酒;⽶酒;梅酒;烈酒;烈酒（饮料）;烧酒;⻘稞酒;⾼粱酒;蜂蜜酒</t>
  </si>
  <si>
    <t>酒精饮料（啤酒除外）;⾕物制蒸馏酒精饮料;开胃酒;蒸馏饮料;果酒;含⽔果酒精饮料;苹果酒;预先混合的酒精饮料（以啤酒为主的除外）;葡萄酒;杜松⼦酒</t>
  </si>
  <si>
    <t>啫大厨</t>
  </si>
  <si>
    <t>湛江市品胜餐饮企业管理有限公司</t>
  </si>
  <si>
    <t>蒸馏饮料;⾷⽤酒精;烧酒;烈酒（饮料）;含⽔果酒精饮料;酒精饮料原汁;果酒（含酒精）;葡萄酒;⽩兰地;⽩酒</t>
  </si>
  <si>
    <t>蔺辉</t>
  </si>
  <si>
    <t>蜂蜜酒;烈酒（饮料）;⻘稞酒;苹果酒;烈酒;⽩酒;梅酒;⾼粱酒;烧酒;⽶酒</t>
  </si>
  <si>
    <t>贵狮父</t>
  </si>
  <si>
    <t>朱东杰</t>
  </si>
  <si>
    <t>酒精饮料（啤酒除外）;葡萄酒;果酒（含酒精）;烈酒（饮料）;⻩酒;开胃酒;威⼠忌;鸡尾酒;⽩酒;清酒（⽇本⽶酒）</t>
  </si>
  <si>
    <t>凤朝凤</t>
  </si>
  <si>
    <t>鸡尾酒;⽩酒;烈酒（饮料）;开胃酒;葡萄酒;清酒（⽇本⽶酒）;威⼠忌;⻩酒;酒精饮料（啤酒除外）;果酒（含酒精）</t>
  </si>
  <si>
    <t>夏醺</t>
  </si>
  <si>
    <t>⾼粱酒;烈酒;⽩酒;⽶酒;梅酒;甜酒;酸酒（低等葡萄酒）;清酒;果酒（含酒精）;草莓酒</t>
  </si>
  <si>
    <t>蔺南</t>
  </si>
  <si>
    <t>蜂蜜酒;苹果酒;梅酒;⽶酒;⾼粱酒;烈酒（饮料）;烧酒;⻘稞酒;⽩酒;烈酒</t>
  </si>
  <si>
    <t>君兰蕴</t>
  </si>
  <si>
    <t>果酒（含酒精）;汽酒;⾷⽤酒精;蒸馏饮料;⽩酒;清酒（⽇本⽶酒）;酒精饮料（啤酒除外）;⽶酒;葡萄酒;烈酒（饮料）</t>
  </si>
  <si>
    <t>来话仙</t>
  </si>
  <si>
    <t>福建名聚档案管理有限公司</t>
  </si>
  <si>
    <t>⽶酒;果酒;⻩酒;以葡萄酒为主的饮料;⾷⽤酒精;开胃酒;梨酒;⾼粱酒;⽼酒（中国蒸馏烈酒）;⽩酒</t>
  </si>
  <si>
    <t>典韵黔怀</t>
  </si>
  <si>
    <t>贵州省仁怀市金宏酒业有限公司</t>
  </si>
  <si>
    <t>蜂蜜酒;⾼粱酒;杨梅酒;⻩酒;鸡尾酒;伏特加酒;⽶酒;苹果酒;威⼠忌;⽩酒</t>
  </si>
  <si>
    <t>BURZART 布兰佳</t>
  </si>
  <si>
    <t>酒精饮料（啤酒除外）;清酒（⽇本⽶酒）;⽩酒;葡萄酒;蒸馏饮料;⾷⽤酒精;⽶酒;汽酒;烈酒（饮料）;果酒（含酒精）</t>
  </si>
  <si>
    <t>阿摩美久</t>
  </si>
  <si>
    <t>肖桂芳</t>
  </si>
  <si>
    <t>⽇本梅⼦酒;⽩酒;含酒精的⽓泡⽔;果酒（含酒精）;酒精饮料（啤酒除外）;葡萄酒;朗姆酒;烧酒;⽶酒;清酒（⽇本⽶酒）</t>
  </si>
  <si>
    <t>龙凤马</t>
  </si>
  <si>
    <t>贵州养生掌柜酒业有限公司</t>
  </si>
  <si>
    <t>⽩兰地;酒精饮料浓缩汁;烈酒（饮料）;清酒（⽇本⽶酒）;⾷⽤酒精;果酒（含酒精）;酒精饮料（啤酒除外）;⽩酒;葡萄酒;威⼠忌</t>
  </si>
  <si>
    <t>石牌生活</t>
  </si>
  <si>
    <t>李炎俊（深圳）品牌策划有限公司</t>
  </si>
  <si>
    <t>葡萄酒;含⽔果酒精饮料;果酒（含酒精）;鸡尾酒;⻩酒;⽶酒;威⼠忌;⽩酒;酒精饮料（啤酒除外）;烈酒（饮料）</t>
  </si>
  <si>
    <t>林翁醉</t>
  </si>
  <si>
    <t>林升秋</t>
  </si>
  <si>
    <t>樱桃酒;蒸馏饮料;⻩酒;苹果酒;⽩酒;葡萄酒;酒精饮料原汁;蜂蜜酒;烧酒;⽶酒</t>
  </si>
  <si>
    <t>瑾若</t>
  </si>
  <si>
    <t>湖南灵越商贸有限公司</t>
  </si>
  <si>
    <t>⽩兰地;⻘稞酒;⻩酒;果酒（含酒精）;葡萄酒;威⼠忌;⽶酒;⽼酒（中国蒸馏烈酒）;梅酒;含酒精⽔果饮料</t>
  </si>
  <si>
    <t>氿源久</t>
  </si>
  <si>
    <t>贵州氿源久实业有限公司</t>
  </si>
  <si>
    <t>烧酒;开胃酒;葡萄酒;威⼠忌;果酒（含酒精）;苦味酒;预先混合的酒精饮料（以啤酒为主的除外）;烈酒（饮料）;⽩酒;⽶酒</t>
  </si>
  <si>
    <t>烈满樽</t>
  </si>
  <si>
    <t>丁琨</t>
  </si>
  <si>
    <t>酒精饮料（啤酒除外）;⽩酒;烧酒;葡萄酒;烧酒（烈酒）;酒精饮料浓缩汁;蒸煮提取物（利⼝酒和烈酒）;⾷⽤酒精;果酒（含酒精）;⽶酒</t>
  </si>
  <si>
    <t>君匠元</t>
  </si>
  <si>
    <t>滁州市舒越商贸有限公司</t>
  </si>
  <si>
    <t>蒸馏饮料;酒精饮料原汁;薄荷酒;⾷⽤酒精;鸡尾酒;葡萄酒;⽩酒;果酒（含酒精）;烧酒;烈酒</t>
  </si>
  <si>
    <t>筑要</t>
  </si>
  <si>
    <t>酒精饮料（啤酒除外）;鸡尾酒;⽶酒;伏特加酒;烈酒（饮料）;⾼粱酒;葡萄酒;⻩酒;果酒（含酒精）;⽩酒</t>
  </si>
  <si>
    <t>吉美清源</t>
  </si>
  <si>
    <t>湖南吉美生物科技发展有限公司</t>
  </si>
  <si>
    <t>开胃酒;葡萄酒;⽩酒;⻘稞酒;烧酒;果酒（含酒精）;鸡尾酒;烈酒;苹果酒;⻩酒</t>
  </si>
  <si>
    <t>顺安和</t>
  </si>
  <si>
    <t>兰溪市鸿昶农产品有限公司</t>
  </si>
  <si>
    <t>含⽔果酒精饮料;杨梅酒;烧酒;开胃酒;葡萄酒;⽶酒;⻩酒;果酒;⽩兰地;⽩酒</t>
  </si>
  <si>
    <t>UCAN</t>
  </si>
  <si>
    <t>深圳市智为时代科技有限公司</t>
  </si>
  <si>
    <t>果酒（含酒精）;⾼粱酒;甜酒;⻩酒;⻘稞酒;⽶酒;天然汽酒;⽩酒;已调味的蒸馏酒;清酒（⽇本⽶酒）</t>
  </si>
  <si>
    <t>黔栋梁</t>
  </si>
  <si>
    <t>⻩酒;⽩⼲酒（中国⽩酒）;葡萄酒;⽶酒;含酒精的⽓泡⽔;汽酒;⽩酒;果酒;酒精饮料（啤酒除外）;烧酒</t>
  </si>
  <si>
    <t>凤朝吟</t>
  </si>
  <si>
    <t>清酒（⽇本⽶酒）;鸡尾酒;烈酒（饮料）;开胃酒;威⼠忌;葡萄酒;⽩酒;果酒（含酒精）;⻩酒;酒精饮料（啤酒除外）</t>
  </si>
  <si>
    <t>迎杰</t>
  </si>
  <si>
    <t>王迎杰</t>
  </si>
  <si>
    <t>烈酒（饮料）;⾕物制蒸馏酒精饮料;烧酒;果酒（含酒精）;酒精饮料（啤酒除外）;⽩酒;⻩酒;⽩兰地;葡萄酒;含⽔果酒精饮料</t>
  </si>
  <si>
    <t>梓沅仲芯</t>
  </si>
  <si>
    <t>贵州省梓沅仲芯贸易有限公司</t>
  </si>
  <si>
    <t>朝鲜族⽶酒;红葡萄酒;⻩酒;葡萄酒;果酒（含酒精）;除啤酒外的酒精饮料;⾼粱酒;朝鲜烧酒;薄荷酒;⽩酒</t>
  </si>
  <si>
    <t>跑道精灵</t>
  </si>
  <si>
    <t>鸡尾酒;⽩酒;果酒;葡萄酒;⾼粱酒;⽶酒;梨酒;苹果酒;⻩酒;烈酒</t>
  </si>
  <si>
    <t>瑞丰</t>
  </si>
  <si>
    <t>贵州瑞丰酒业有限公司</t>
  </si>
  <si>
    <t>烈酒（饮料）;酒精饮料（啤酒除外）;清酒;烧酒;⽶酒;葡萄酒;利⼝酒;⽩酒;蒸煮提取物（利⼝酒和烈酒）;果酒（含酒精）</t>
  </si>
  <si>
    <t>宣景</t>
  </si>
  <si>
    <t>⻩酒;鸡尾酒;⾼粱酒;⽩酒;烈酒（饮料）;⽶酒;葡萄酒;伏特加酒;果酒（含酒精）;酒精饮料（啤酒除外）</t>
  </si>
  <si>
    <t>无今</t>
  </si>
  <si>
    <t>云南弼成商贸有限公司</t>
  </si>
  <si>
    <t>含酒精⽔果饮料;酒精饮料（啤酒除外）;⾕物制蒸馏酒精饮料;⽩酒;预先混合的酒精饮料（以啤酒为主的除外）;⽩兰地;烈酒（饮料）;威⼠忌;鸡尾酒;果酒（含酒精）</t>
  </si>
  <si>
    <t>唐丞相</t>
  </si>
  <si>
    <t>烈酒（饮料）;⽩⼲酒（中国⽩酒）;果酒（含酒精）;⾼粱酒;鸡尾酒;蒸煮提取物（利⼝酒和烈酒）;葡萄酒;⽶酒;⽩酒;⻩酒</t>
  </si>
  <si>
    <t>荣羊先生</t>
  </si>
  <si>
    <t>内蒙古荣羊鲜生网络科技有限公司</t>
  </si>
  <si>
    <t>蜂蜜酒;⽶酒;汽酒;⽼酒（中国蒸馏烈酒）;烧酒;鸡尾酒;葡萄酒;⽩酒;果酒;清酒</t>
  </si>
  <si>
    <t>三从酒</t>
  </si>
  <si>
    <t>袁仕川</t>
  </si>
  <si>
    <t>开胃酒;鸡尾酒;以葡萄酒为主的饮料;威⼠忌;⽩酒;⾕物制蒸馏酒精饮料;果酒（含酒精）;利⼝酒;烈酒（饮料）;酒精饮料（啤酒除外）</t>
  </si>
  <si>
    <t>阅湖圣源小镇</t>
  </si>
  <si>
    <t>烈酒（饮料）;开胃酒;葡萄酒;苹果酒;⻩酒;⽩酒;蒸煮提取物（利⼝酒和烈酒）;果酒（含酒精）;酒精饮料（啤酒除外）;利⼝酒</t>
  </si>
  <si>
    <t>金中哥</t>
  </si>
  <si>
    <t>中哥（海南）黄金珠宝有限公司</t>
  </si>
  <si>
    <t>蒸馏饮料;烈酒（饮料）;烧酒;⻩酒;⽩酒;果酒（含酒精）;鸡尾酒;葡萄酒;酒精饮料（啤酒除外）;开胃酒</t>
  </si>
  <si>
    <t>农食侠</t>
  </si>
  <si>
    <t>付巧</t>
  </si>
  <si>
    <t>烧酒（烈酒）;⾷⽤酒精;蒸煮提取物（利⼝酒和烈酒）;葡萄酒;酒精饮料浓缩汁;烧酒;果酒（含酒精）;酒精饮料（啤酒除外）;⽩酒;⽶酒</t>
  </si>
  <si>
    <t>凤吟志</t>
  </si>
  <si>
    <t>开胃酒;烈酒（饮料）;威⼠忌;⽩酒;葡萄酒;⻩酒;清酒（⽇本⽶酒）;酒精饮料（啤酒除外）;鸡尾酒;果酒（含酒精）</t>
  </si>
  <si>
    <t>甄嬉越（厦门）商贸有限公司</t>
  </si>
  <si>
    <t>⾷⽤酒精;⽶酒;烧酒;朗姆酒;果酒（含酒精）;葡萄酒;酒精饮料原汁;⻩酒;⽩酒;威⼠忌</t>
  </si>
  <si>
    <t>稻仙子</t>
  </si>
  <si>
    <t>张青铋</t>
  </si>
  <si>
    <t>⾼粱酒;酒精饮料（啤酒除外）;⽩酒;葡萄酒;⻘稞酒;威⼠忌;⻩酒;鸡尾酒;⽶酒;开胃酒</t>
  </si>
  <si>
    <t>梦得意</t>
  </si>
  <si>
    <t>开胃酒;酒精饮料（啤酒除外）;威⼠忌;⽩酒;⾼粱酒;葡萄酒;⻘稞酒;⻩酒;鸡尾酒;⽶酒</t>
  </si>
  <si>
    <t>池中月</t>
  </si>
  <si>
    <t>⽶酒;⻘稞酒;⽩酒;⻩酒;鸡尾酒;酒精饮料（啤酒除外）;葡萄酒;⾼粱酒;威⼠忌;开胃酒</t>
  </si>
  <si>
    <t>凤上仙</t>
  </si>
  <si>
    <t>⾼粱酒;酒精饮料（啤酒除外）;鸡尾酒;⽶酒;⻘稞酒;⽩酒;开胃酒;威⼠忌;葡萄酒;⻩酒</t>
  </si>
  <si>
    <t>梦中意</t>
  </si>
  <si>
    <t>⽩酒;鸡尾酒;葡萄酒;开胃酒;⻘稞酒;威⼠忌;⽶酒;⻩酒;酒精饮料（啤酒除外）;⾼粱酒</t>
  </si>
  <si>
    <t>黔仑山</t>
  </si>
  <si>
    <t>⽩酒;酒精饮料（啤酒除外）;葡萄酒;⻘稞酒;⻩酒;⾼粱酒;威⼠忌;鸡尾酒;⽶酒;开胃酒</t>
  </si>
  <si>
    <t>阳驿铺</t>
  </si>
  <si>
    <t>李玉栋</t>
  </si>
  <si>
    <t>⽩酒;烈酒（饮料）;果酒;酒精饮料（啤酒除外）;含⽔果酒精饮料;葡萄酒;梨酒;⽶酒;⻩酒;酒精饮料原汁</t>
  </si>
  <si>
    <t>响隐</t>
  </si>
  <si>
    <t>浙江香云控股集团有限公司</t>
  </si>
  <si>
    <t>威⼠忌;烧酒;葡萄酒;薄荷酒;酒精饮料原汁;果酒（含酒精）;酸酒（低等葡萄酒）;汽酒;⽩酒;⻩酒</t>
  </si>
  <si>
    <t>YUANITIAL</t>
  </si>
  <si>
    <t>苏州有味清欢酒业有限公司</t>
  </si>
  <si>
    <t>果酒（含酒精）;清酒（⽇本⽶酒）;⽶酒;⾕物制蒸馏酒精饮料;⻩酒;清酒;酒精饮料（啤酒除外）;烧酒;佐餐酒;⾷⽤酒精</t>
  </si>
  <si>
    <t>LDVEP</t>
  </si>
  <si>
    <t>义乌市梅珍电子商务商行</t>
  </si>
  <si>
    <t>杨梅酒;鸡尾酒;⽶酒;烧酒;葡萄酒;⽩酒;甜酒;果酒（含酒精）;⻩酒;梨酒</t>
  </si>
  <si>
    <t>古潭池</t>
  </si>
  <si>
    <t>⻩酒;葡萄酒;⽩酒;酒精饮料（啤酒除外）;⽶酒;开胃酒;⾼粱酒;威⼠忌;鸡尾酒;⻘稞酒</t>
  </si>
  <si>
    <t>普寸年</t>
  </si>
  <si>
    <t>胡营军</t>
  </si>
  <si>
    <t>朗姆酒;烧酒;⽩酒;烈酒（饮料）;⻩酒;清酒（⽇本⽶酒）;葡萄酒;果酒（含酒精）;鸡尾酒;⽶酒</t>
  </si>
  <si>
    <t>2024/08/02</t>
  </si>
  <si>
    <t>谢老泰</t>
  </si>
  <si>
    <t>赵永超</t>
  </si>
  <si>
    <t>⽶酒;以葡萄酒为主的饮料;酒精饮料原汁;蜂蜜酒;含⽔果酒精饮料;餐后酒（利⼝酒和烈酒）;梨酒;⻩酒;⽩酒;果酒（含酒精）</t>
  </si>
  <si>
    <t>沁若香山</t>
  </si>
  <si>
    <t>宛秦姐</t>
  </si>
  <si>
    <t>谢国艳</t>
  </si>
  <si>
    <t>薄荷酒;汽酒;露酒;甜酒;葡萄酒;清酒;果酒;⽩酒;烧酒;⽶酒</t>
  </si>
  <si>
    <t>蕴滇</t>
  </si>
  <si>
    <t>黄雪香</t>
  </si>
  <si>
    <t>果酒（含酒精）;⽩酒;酒精饮料（啤酒除外）;烈酒;⻩酒;开胃酒;鸡尾酒;葡萄酒;清酒（⽇本⽶酒）;威⼠忌</t>
  </si>
  <si>
    <t>桃醉时刻</t>
  </si>
  <si>
    <t>黄家俊</t>
  </si>
  <si>
    <t>开胃酒;威⼠忌;酒精饮料（啤酒除外）;烈酒;果酒（含酒精）;鸡尾酒;葡萄酒;⽩酒;清酒（⽇本⽶酒）;⻩酒</t>
  </si>
  <si>
    <t>探临</t>
  </si>
  <si>
    <t>临沂昌皓商业管理有限公司</t>
  </si>
  <si>
    <t>⽶酒;由⾕物蒸馏的⽩酒;酒精饮料（啤酒除外）;葡萄酒;⽩酒;烈酒;鸡尾酒;威⼠忌;⻩酒;⾼粱酒</t>
  </si>
  <si>
    <t>2024/08/03</t>
  </si>
  <si>
    <t>秦少侠</t>
  </si>
  <si>
    <t>王轩</t>
  </si>
  <si>
    <t>餐后酒（利⼝酒和烈酒）;⽶酒;酒精饮料（啤酒除外）;⽩酒;⻩酒;烧酒;果酒（含酒精）;葡萄酒;酒精饮料原汁;烈酒（饮料）</t>
  </si>
  <si>
    <t>2024/08/05</t>
  </si>
  <si>
    <t>终琅将</t>
  </si>
  <si>
    <t>沈国华</t>
  </si>
  <si>
    <t>酒精饮料（啤酒除外）;⽩酒;⾼粱酒;鸡尾酒;⽶酒;以蒸馏酒为主的开胃酒;烧酒;葡萄酒;⻩酒;杨梅酒</t>
  </si>
  <si>
    <t>庄隆合</t>
  </si>
  <si>
    <t>深圳飞来福科技有限公司</t>
  </si>
  <si>
    <t>果酒;茴⾹酒;开胃酒;鸡尾酒;烈酒（饮料）;蒸馏饮料;葡萄酒;酒精饮料（啤酒除外）;⽶酒;含⽔果酒精饮料</t>
  </si>
  <si>
    <t>民少侠</t>
  </si>
  <si>
    <t>烈酒（饮料）;⽩酒;酒精饮料原汁;⽶酒;葡萄酒;餐后酒（利⼝酒和烈酒）;酒精饮料（啤酒除外）;烧酒;果酒（含酒精）;⻩酒</t>
  </si>
  <si>
    <t>柔乡湾</t>
  </si>
  <si>
    <t>葡萄酒;酒精饮料（啤酒除外）;烧酒;鸡尾酒;以蒸馏酒为主的开胃酒;⽶酒;⾼粱酒;⻩酒;杨梅酒;⽩酒</t>
  </si>
  <si>
    <t>序今欢</t>
  </si>
  <si>
    <t>⽶酒;以蒸馏酒为主的开胃酒;杨梅酒;葡萄酒;⽩酒;⾼粱酒;烧酒;鸡尾酒;酒精饮料（啤酒除外）;⻩酒</t>
  </si>
  <si>
    <t>全皇</t>
  </si>
  <si>
    <t>鸡尾酒;⻩酒;葡萄酒;⽩酒;以蒸馏酒为主的开胃酒;酒精饮料（啤酒除外）;⽶酒;杨梅酒;⾼粱酒;烧酒</t>
  </si>
  <si>
    <t>温州曹村港农业开发有限公司</t>
  </si>
  <si>
    <t>烧酒;⽶酒;葡萄酒;果酒（含酒精）;酒精饮料（啤酒除外）;蒸馏饮料;⾷⽤酒精;⻩酒;含⽔果酒精饮料;⽩酒</t>
  </si>
  <si>
    <t>2024/08/07</t>
  </si>
  <si>
    <t>方智勇</t>
  </si>
  <si>
    <t>云阳县智美生态农业开发有限公司</t>
  </si>
  <si>
    <t>开胃酒;蒸馏饮料;酒精饮料（啤酒除外）;果酒（含酒精）;⻩酒;烈性⼲酒;含⽔果酒精饮料;⽩⼲酒（中国⽩酒）;⾼粱酒;葡萄酒</t>
  </si>
  <si>
    <t>2024/08/08</t>
  </si>
  <si>
    <t>西安湄南生物科技股份有限公司</t>
  </si>
  <si>
    <t>威⼠忌;⾷⽤酒精;⽩酒;烈酒（饮料）;伏特加酒;果酒（含酒精）;葡萄酒;⽩兰地;酒精饮料（啤酒除外）;⻩酒</t>
  </si>
  <si>
    <t>蜀中润元</t>
  </si>
  <si>
    <t>蜀中润元（洋县）冷链物流有限公司</t>
  </si>
  <si>
    <t>葡萄酒;鸡尾酒;烧酒;⽶酒;含⽔果酒精饮料;⾕物制蒸馏酒精饮料;⻩酒;威⼠忌;酒精饮料（啤酒除外）;果酒（含酒精）</t>
  </si>
  <si>
    <t>2024/08/09</t>
  </si>
  <si>
    <t>撷思园</t>
  </si>
  <si>
    <t>陕西蔷薇农业科技有限公司</t>
  </si>
  <si>
    <t>梨酒;酒精饮料浓缩汁;苹果酒;果酒（含酒精）;⾕物制蒸馏酒精饮料;含⽔果酒精饮料;预先混合的酒精饮料（以啤酒为主的除外）;汽酒;⽩酒;酒精饮料（啤酒除外）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</si>
</sst>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/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4" fillId="0" borderId="1" xfId="1" applyFill="1" applyBorder="1" applyAlignment="1"/>
    <xf numFmtId="0" fontId="3" fillId="0" borderId="1" xfId="2" applyFont="1" applyFill="1" applyBorder="1" applyAlignment="1">
      <alignment horizontal="right"/>
    </xf>
    <xf numFmtId="0" fontId="3" fillId="0" borderId="1" xfId="2" applyFont="1" applyFill="1" applyBorder="1" applyAlignment="1"/>
  </cellXfs>
  <cellStyles count="3">
    <cellStyle name="ハイパーリンク" xfId="1" builtinId="8"/>
    <cellStyle name="標準" xfId="0" builtinId="0"/>
    <cellStyle name="標準_1906th" xfId="2" xr:uid="{25A6BF52-08EF-44CE-B510-70AD9459FA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2376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10">
        <v>1</v>
      </c>
      <c r="B2" s="11" t="s">
        <v>9</v>
      </c>
      <c r="C2" s="11" t="s">
        <v>179</v>
      </c>
      <c r="D2" s="11" t="s">
        <v>180</v>
      </c>
      <c r="E2" s="9" t="str">
        <f>+HYPERLINK("http://trademark.i-assist.jp/data/china/image_1908th/57343082.pdf", "57343082")</f>
        <v>57343082</v>
      </c>
      <c r="F2" s="11" t="s">
        <v>181</v>
      </c>
      <c r="G2" s="11" t="s">
        <v>182</v>
      </c>
      <c r="H2" s="11" t="s">
        <v>183</v>
      </c>
      <c r="I2" s="11" t="s">
        <v>184</v>
      </c>
    </row>
    <row r="3" spans="1:9" x14ac:dyDescent="0.15">
      <c r="A3" s="10">
        <v>2</v>
      </c>
      <c r="B3" s="11" t="s">
        <v>9</v>
      </c>
      <c r="C3" s="11" t="s">
        <v>179</v>
      </c>
      <c r="D3" s="11" t="s">
        <v>180</v>
      </c>
      <c r="E3" s="9" t="str">
        <f>+HYPERLINK("http://trademark.i-assist.jp/data/china/image_1908th/61730906.pdf", "61730906")</f>
        <v>61730906</v>
      </c>
      <c r="F3" s="11" t="s">
        <v>185</v>
      </c>
      <c r="G3" s="11" t="s">
        <v>186</v>
      </c>
      <c r="H3" s="11" t="s">
        <v>187</v>
      </c>
      <c r="I3" s="11" t="s">
        <v>188</v>
      </c>
    </row>
    <row r="4" spans="1:9" x14ac:dyDescent="0.15">
      <c r="A4" s="10">
        <v>3</v>
      </c>
      <c r="B4" s="11" t="s">
        <v>9</v>
      </c>
      <c r="C4" s="11" t="s">
        <v>179</v>
      </c>
      <c r="D4" s="11" t="s">
        <v>180</v>
      </c>
      <c r="E4" s="9" t="str">
        <f>+HYPERLINK("http://trademark.i-assist.jp/data/china/image_1908th/63263513.pdf", "63263513")</f>
        <v>63263513</v>
      </c>
      <c r="F4" s="11" t="s">
        <v>189</v>
      </c>
      <c r="G4" s="11" t="s">
        <v>190</v>
      </c>
      <c r="H4" s="11" t="s">
        <v>191</v>
      </c>
      <c r="I4" s="11" t="s">
        <v>192</v>
      </c>
    </row>
    <row r="5" spans="1:9" x14ac:dyDescent="0.15">
      <c r="A5" s="10">
        <v>4</v>
      </c>
      <c r="B5" s="11" t="s">
        <v>9</v>
      </c>
      <c r="C5" s="11" t="s">
        <v>179</v>
      </c>
      <c r="D5" s="11" t="s">
        <v>180</v>
      </c>
      <c r="E5" s="9" t="str">
        <f>+HYPERLINK("http://trademark.i-assist.jp/data/china/image_1908th/63331735.pdf", "63331735")</f>
        <v>63331735</v>
      </c>
      <c r="F5" s="11" t="s">
        <v>193</v>
      </c>
      <c r="G5" s="11" t="s">
        <v>194</v>
      </c>
      <c r="H5" s="11" t="s">
        <v>195</v>
      </c>
      <c r="I5" s="11" t="s">
        <v>196</v>
      </c>
    </row>
    <row r="6" spans="1:9" x14ac:dyDescent="0.15">
      <c r="A6" s="10">
        <v>5</v>
      </c>
      <c r="B6" s="11" t="s">
        <v>9</v>
      </c>
      <c r="C6" s="11" t="s">
        <v>179</v>
      </c>
      <c r="D6" s="11" t="s">
        <v>180</v>
      </c>
      <c r="E6" s="9" t="str">
        <f>+HYPERLINK("http://trademark.i-assist.jp/data/china/image_1908th/64769592.pdf", "64769592")</f>
        <v>64769592</v>
      </c>
      <c r="F6" s="11" t="s">
        <v>197</v>
      </c>
      <c r="G6" s="11" t="s">
        <v>198</v>
      </c>
      <c r="H6" s="11" t="s">
        <v>199</v>
      </c>
      <c r="I6" s="11" t="s">
        <v>200</v>
      </c>
    </row>
    <row r="7" spans="1:9" x14ac:dyDescent="0.15">
      <c r="A7" s="10">
        <v>6</v>
      </c>
      <c r="B7" s="11" t="s">
        <v>9</v>
      </c>
      <c r="C7" s="11" t="s">
        <v>179</v>
      </c>
      <c r="D7" s="11" t="s">
        <v>180</v>
      </c>
      <c r="E7" s="9" t="str">
        <f>+HYPERLINK("http://trademark.i-assist.jp/data/china/image_1908th/68553045.pdf", "68553045")</f>
        <v>68553045</v>
      </c>
      <c r="F7" s="11" t="s">
        <v>201</v>
      </c>
      <c r="G7" s="11" t="s">
        <v>202</v>
      </c>
      <c r="H7" s="11" t="s">
        <v>203</v>
      </c>
      <c r="I7" s="11" t="s">
        <v>204</v>
      </c>
    </row>
    <row r="8" spans="1:9" x14ac:dyDescent="0.15">
      <c r="A8" s="10">
        <v>7</v>
      </c>
      <c r="B8" s="11" t="s">
        <v>9</v>
      </c>
      <c r="C8" s="11" t="s">
        <v>179</v>
      </c>
      <c r="D8" s="11" t="s">
        <v>180</v>
      </c>
      <c r="E8" s="9" t="str">
        <f>+HYPERLINK("http://trademark.i-assist.jp/data/china/image_1908th/69274172.pdf", "69274172")</f>
        <v>69274172</v>
      </c>
      <c r="F8" s="11" t="s">
        <v>205</v>
      </c>
      <c r="G8" s="11" t="s">
        <v>206</v>
      </c>
      <c r="H8" s="11" t="s">
        <v>207</v>
      </c>
      <c r="I8" s="11" t="s">
        <v>208</v>
      </c>
    </row>
    <row r="9" spans="1:9" x14ac:dyDescent="0.15">
      <c r="A9" s="10">
        <v>8</v>
      </c>
      <c r="B9" s="11" t="s">
        <v>9</v>
      </c>
      <c r="C9" s="11" t="s">
        <v>179</v>
      </c>
      <c r="D9" s="11" t="s">
        <v>180</v>
      </c>
      <c r="E9" s="9" t="str">
        <f>+HYPERLINK("http://trademark.i-assist.jp/data/china/image_1908th/69693338.pdf", "69693338")</f>
        <v>69693338</v>
      </c>
      <c r="F9" s="11" t="s">
        <v>209</v>
      </c>
      <c r="G9" s="11" t="s">
        <v>210</v>
      </c>
      <c r="H9" s="11" t="s">
        <v>211</v>
      </c>
      <c r="I9" s="11" t="s">
        <v>212</v>
      </c>
    </row>
    <row r="10" spans="1:9" x14ac:dyDescent="0.15">
      <c r="A10" s="10">
        <v>9</v>
      </c>
      <c r="B10" s="11" t="s">
        <v>9</v>
      </c>
      <c r="C10" s="11" t="s">
        <v>179</v>
      </c>
      <c r="D10" s="11" t="s">
        <v>180</v>
      </c>
      <c r="E10" s="9" t="str">
        <f>+HYPERLINK("http://trademark.i-assist.jp/data/china/image_1908th/69711340.pdf", "69711340")</f>
        <v>69711340</v>
      </c>
      <c r="F10" s="11" t="s">
        <v>213</v>
      </c>
      <c r="G10" s="11" t="s">
        <v>214</v>
      </c>
      <c r="H10" s="11" t="s">
        <v>215</v>
      </c>
      <c r="I10" s="11" t="s">
        <v>212</v>
      </c>
    </row>
    <row r="11" spans="1:9" x14ac:dyDescent="0.15">
      <c r="A11" s="10">
        <v>10</v>
      </c>
      <c r="B11" s="11" t="s">
        <v>9</v>
      </c>
      <c r="C11" s="11" t="s">
        <v>179</v>
      </c>
      <c r="D11" s="11" t="s">
        <v>180</v>
      </c>
      <c r="E11" s="9" t="str">
        <f>+HYPERLINK("http://trademark.i-assist.jp/data/china/image_1908th/69715721.pdf", "69715721")</f>
        <v>69715721</v>
      </c>
      <c r="F11" s="11" t="s">
        <v>216</v>
      </c>
      <c r="G11" s="11" t="s">
        <v>210</v>
      </c>
      <c r="H11" s="11" t="s">
        <v>217</v>
      </c>
      <c r="I11" s="11" t="s">
        <v>212</v>
      </c>
    </row>
    <row r="12" spans="1:9" x14ac:dyDescent="0.15">
      <c r="A12" s="10">
        <v>11</v>
      </c>
      <c r="B12" s="11" t="s">
        <v>9</v>
      </c>
      <c r="C12" s="11" t="s">
        <v>179</v>
      </c>
      <c r="D12" s="11" t="s">
        <v>180</v>
      </c>
      <c r="E12" s="9" t="str">
        <f>+HYPERLINK("http://trademark.i-assist.jp/data/china/image_1908th/69931867.pdf", "69931867")</f>
        <v>69931867</v>
      </c>
      <c r="F12" s="11" t="s">
        <v>218</v>
      </c>
      <c r="G12" s="11" t="s">
        <v>219</v>
      </c>
      <c r="H12" s="11" t="s">
        <v>220</v>
      </c>
      <c r="I12" s="11" t="s">
        <v>221</v>
      </c>
    </row>
    <row r="13" spans="1:9" x14ac:dyDescent="0.15">
      <c r="A13" s="10">
        <v>12</v>
      </c>
      <c r="B13" s="11" t="s">
        <v>9</v>
      </c>
      <c r="C13" s="11" t="s">
        <v>179</v>
      </c>
      <c r="D13" s="11" t="s">
        <v>180</v>
      </c>
      <c r="E13" s="9" t="str">
        <f>+HYPERLINK("http://trademark.i-assist.jp/data/china/image_1908th/69948173.pdf", "69948173")</f>
        <v>69948173</v>
      </c>
      <c r="F13" s="11" t="s">
        <v>218</v>
      </c>
      <c r="G13" s="11" t="s">
        <v>219</v>
      </c>
      <c r="H13" s="11" t="s">
        <v>220</v>
      </c>
      <c r="I13" s="11" t="s">
        <v>221</v>
      </c>
    </row>
    <row r="14" spans="1:9" x14ac:dyDescent="0.15">
      <c r="A14" s="10">
        <v>13</v>
      </c>
      <c r="B14" s="11" t="s">
        <v>9</v>
      </c>
      <c r="C14" s="11" t="s">
        <v>179</v>
      </c>
      <c r="D14" s="11" t="s">
        <v>180</v>
      </c>
      <c r="E14" s="9" t="str">
        <f>+HYPERLINK("http://trademark.i-assist.jp/data/china/image_1908th/70019575.pdf", "70019575")</f>
        <v>70019575</v>
      </c>
      <c r="F14" s="11" t="s">
        <v>222</v>
      </c>
      <c r="G14" s="11" t="s">
        <v>223</v>
      </c>
      <c r="H14" s="11" t="s">
        <v>224</v>
      </c>
      <c r="I14" s="11" t="s">
        <v>225</v>
      </c>
    </row>
    <row r="15" spans="1:9" x14ac:dyDescent="0.15">
      <c r="A15" s="10">
        <v>14</v>
      </c>
      <c r="B15" s="11" t="s">
        <v>9</v>
      </c>
      <c r="C15" s="11" t="s">
        <v>179</v>
      </c>
      <c r="D15" s="11" t="s">
        <v>180</v>
      </c>
      <c r="E15" s="9" t="str">
        <f>+HYPERLINK("http://trademark.i-assist.jp/data/china/image_1908th/70019589.pdf", "70019589")</f>
        <v>70019589</v>
      </c>
      <c r="F15" s="11" t="s">
        <v>226</v>
      </c>
      <c r="G15" s="11" t="s">
        <v>223</v>
      </c>
      <c r="H15" s="11" t="s">
        <v>224</v>
      </c>
      <c r="I15" s="11" t="s">
        <v>225</v>
      </c>
    </row>
    <row r="16" spans="1:9" x14ac:dyDescent="0.15">
      <c r="A16" s="10">
        <v>15</v>
      </c>
      <c r="B16" s="11" t="s">
        <v>9</v>
      </c>
      <c r="C16" s="11" t="s">
        <v>179</v>
      </c>
      <c r="D16" s="11" t="s">
        <v>180</v>
      </c>
      <c r="E16" s="9" t="str">
        <f>+HYPERLINK("http://trademark.i-assist.jp/data/china/image_1908th/71523090.pdf", "71523090")</f>
        <v>71523090</v>
      </c>
      <c r="F16" s="11" t="s">
        <v>227</v>
      </c>
      <c r="G16" s="11" t="s">
        <v>228</v>
      </c>
      <c r="H16" s="11" t="s">
        <v>229</v>
      </c>
      <c r="I16" s="11" t="s">
        <v>230</v>
      </c>
    </row>
    <row r="17" spans="1:9" x14ac:dyDescent="0.15">
      <c r="A17" s="10">
        <v>16</v>
      </c>
      <c r="B17" s="11" t="s">
        <v>9</v>
      </c>
      <c r="C17" s="11" t="s">
        <v>179</v>
      </c>
      <c r="D17" s="11" t="s">
        <v>180</v>
      </c>
      <c r="E17" s="9" t="str">
        <f>+HYPERLINK("http://trademark.i-assist.jp/data/china/image_1908th/71546927.pdf", "71546927")</f>
        <v>71546927</v>
      </c>
      <c r="F17" s="11" t="s">
        <v>231</v>
      </c>
      <c r="G17" s="11" t="s">
        <v>232</v>
      </c>
      <c r="H17" s="11" t="s">
        <v>233</v>
      </c>
      <c r="I17" s="11" t="s">
        <v>234</v>
      </c>
    </row>
    <row r="18" spans="1:9" x14ac:dyDescent="0.15">
      <c r="A18" s="10">
        <v>17</v>
      </c>
      <c r="B18" s="11" t="s">
        <v>9</v>
      </c>
      <c r="C18" s="11" t="s">
        <v>179</v>
      </c>
      <c r="D18" s="11" t="s">
        <v>180</v>
      </c>
      <c r="E18" s="9" t="str">
        <f>+HYPERLINK("http://trademark.i-assist.jp/data/china/image_1908th/72319490.pdf", "72319490")</f>
        <v>72319490</v>
      </c>
      <c r="F18" s="11" t="s">
        <v>235</v>
      </c>
      <c r="G18" s="11" t="s">
        <v>236</v>
      </c>
      <c r="H18" s="11" t="s">
        <v>237</v>
      </c>
      <c r="I18" s="11" t="s">
        <v>238</v>
      </c>
    </row>
    <row r="19" spans="1:9" x14ac:dyDescent="0.15">
      <c r="A19" s="10">
        <v>18</v>
      </c>
      <c r="B19" s="11" t="s">
        <v>9</v>
      </c>
      <c r="C19" s="11" t="s">
        <v>179</v>
      </c>
      <c r="D19" s="11" t="s">
        <v>180</v>
      </c>
      <c r="E19" s="9" t="str">
        <f>+HYPERLINK("http://trademark.i-assist.jp/data/china/image_1908th/72501056.pdf", "72501056")</f>
        <v>72501056</v>
      </c>
      <c r="F19" s="11" t="s">
        <v>239</v>
      </c>
      <c r="G19" s="11" t="s">
        <v>240</v>
      </c>
      <c r="H19" s="11" t="s">
        <v>241</v>
      </c>
      <c r="I19" s="11" t="s">
        <v>242</v>
      </c>
    </row>
    <row r="20" spans="1:9" x14ac:dyDescent="0.15">
      <c r="A20" s="10">
        <v>19</v>
      </c>
      <c r="B20" s="11" t="s">
        <v>9</v>
      </c>
      <c r="C20" s="11" t="s">
        <v>179</v>
      </c>
      <c r="D20" s="11" t="s">
        <v>180</v>
      </c>
      <c r="E20" s="9" t="str">
        <f>+HYPERLINK("http://trademark.i-assist.jp/data/china/image_1908th/72760686.pdf", "72760686")</f>
        <v>72760686</v>
      </c>
      <c r="F20" s="11" t="s">
        <v>243</v>
      </c>
      <c r="G20" s="11" t="s">
        <v>244</v>
      </c>
      <c r="H20" s="11" t="s">
        <v>245</v>
      </c>
      <c r="I20" s="11" t="s">
        <v>246</v>
      </c>
    </row>
    <row r="21" spans="1:9" x14ac:dyDescent="0.15">
      <c r="A21" s="10">
        <v>20</v>
      </c>
      <c r="B21" s="11" t="s">
        <v>9</v>
      </c>
      <c r="C21" s="11" t="s">
        <v>179</v>
      </c>
      <c r="D21" s="11" t="s">
        <v>180</v>
      </c>
      <c r="E21" s="9" t="str">
        <f>+HYPERLINK("http://trademark.i-assist.jp/data/china/image_1908th/72841129.pdf", "72841129")</f>
        <v>72841129</v>
      </c>
      <c r="F21" s="11" t="s">
        <v>247</v>
      </c>
      <c r="G21" s="11" t="s">
        <v>248</v>
      </c>
      <c r="H21" s="11" t="s">
        <v>249</v>
      </c>
      <c r="I21" s="11" t="s">
        <v>250</v>
      </c>
    </row>
    <row r="22" spans="1:9" x14ac:dyDescent="0.15">
      <c r="A22" s="10">
        <v>21</v>
      </c>
      <c r="B22" s="11" t="s">
        <v>9</v>
      </c>
      <c r="C22" s="11" t="s">
        <v>179</v>
      </c>
      <c r="D22" s="11" t="s">
        <v>180</v>
      </c>
      <c r="E22" s="9" t="str">
        <f>+HYPERLINK("http://trademark.i-assist.jp/data/china/image_1908th/73109298.pdf", "73109298")</f>
        <v>73109298</v>
      </c>
      <c r="F22" s="11" t="s">
        <v>10</v>
      </c>
      <c r="G22" s="11" t="s">
        <v>251</v>
      </c>
      <c r="H22" s="11" t="s">
        <v>252</v>
      </c>
      <c r="I22" s="11" t="s">
        <v>82</v>
      </c>
    </row>
    <row r="23" spans="1:9" x14ac:dyDescent="0.15">
      <c r="A23" s="10">
        <v>22</v>
      </c>
      <c r="B23" s="11" t="s">
        <v>9</v>
      </c>
      <c r="C23" s="11" t="s">
        <v>179</v>
      </c>
      <c r="D23" s="11" t="s">
        <v>180</v>
      </c>
      <c r="E23" s="9" t="str">
        <f>+HYPERLINK("http://trademark.i-assist.jp/data/china/image_1908th/73112027.pdf", "73112027")</f>
        <v>73112027</v>
      </c>
      <c r="F23" s="11" t="s">
        <v>10</v>
      </c>
      <c r="G23" s="11" t="s">
        <v>251</v>
      </c>
      <c r="H23" s="11" t="s">
        <v>253</v>
      </c>
      <c r="I23" s="11" t="s">
        <v>82</v>
      </c>
    </row>
    <row r="24" spans="1:9" x14ac:dyDescent="0.15">
      <c r="A24" s="10">
        <v>23</v>
      </c>
      <c r="B24" s="11" t="s">
        <v>9</v>
      </c>
      <c r="C24" s="11" t="s">
        <v>179</v>
      </c>
      <c r="D24" s="11" t="s">
        <v>180</v>
      </c>
      <c r="E24" s="9" t="str">
        <f>+HYPERLINK("http://trademark.i-assist.jp/data/china/image_1908th/73135992.pdf", "73135992")</f>
        <v>73135992</v>
      </c>
      <c r="F24" s="11" t="s">
        <v>254</v>
      </c>
      <c r="G24" s="11" t="s">
        <v>255</v>
      </c>
      <c r="H24" s="11" t="s">
        <v>256</v>
      </c>
      <c r="I24" s="11" t="s">
        <v>257</v>
      </c>
    </row>
    <row r="25" spans="1:9" x14ac:dyDescent="0.15">
      <c r="A25" s="10">
        <v>24</v>
      </c>
      <c r="B25" s="11" t="s">
        <v>9</v>
      </c>
      <c r="C25" s="11" t="s">
        <v>179</v>
      </c>
      <c r="D25" s="11" t="s">
        <v>180</v>
      </c>
      <c r="E25" s="9" t="str">
        <f>+HYPERLINK("http://trademark.i-assist.jp/data/china/image_1908th/73144795.pdf", "73144795")</f>
        <v>73144795</v>
      </c>
      <c r="F25" s="11" t="s">
        <v>258</v>
      </c>
      <c r="G25" s="11" t="s">
        <v>259</v>
      </c>
      <c r="H25" s="11" t="s">
        <v>260</v>
      </c>
      <c r="I25" s="11" t="s">
        <v>257</v>
      </c>
    </row>
    <row r="26" spans="1:9" x14ac:dyDescent="0.15">
      <c r="A26" s="10">
        <v>25</v>
      </c>
      <c r="B26" s="11" t="s">
        <v>9</v>
      </c>
      <c r="C26" s="11" t="s">
        <v>179</v>
      </c>
      <c r="D26" s="11" t="s">
        <v>180</v>
      </c>
      <c r="E26" s="9" t="str">
        <f>+HYPERLINK("http://trademark.i-assist.jp/data/china/image_1908th/73231639.pdf", "73231639")</f>
        <v>73231639</v>
      </c>
      <c r="F26" s="11" t="s">
        <v>261</v>
      </c>
      <c r="G26" s="11" t="s">
        <v>262</v>
      </c>
      <c r="H26" s="11" t="s">
        <v>263</v>
      </c>
      <c r="I26" s="11" t="s">
        <v>264</v>
      </c>
    </row>
    <row r="27" spans="1:9" x14ac:dyDescent="0.15">
      <c r="A27" s="10">
        <v>26</v>
      </c>
      <c r="B27" s="11" t="s">
        <v>9</v>
      </c>
      <c r="C27" s="11" t="s">
        <v>179</v>
      </c>
      <c r="D27" s="11" t="s">
        <v>180</v>
      </c>
      <c r="E27" s="9" t="str">
        <f>+HYPERLINK("http://trademark.i-assist.jp/data/china/image_1908th/73350121.pdf", "73350121")</f>
        <v>73350121</v>
      </c>
      <c r="F27" s="11" t="s">
        <v>265</v>
      </c>
      <c r="G27" s="11" t="s">
        <v>266</v>
      </c>
      <c r="H27" s="11" t="s">
        <v>267</v>
      </c>
      <c r="I27" s="11" t="s">
        <v>268</v>
      </c>
    </row>
    <row r="28" spans="1:9" x14ac:dyDescent="0.15">
      <c r="A28" s="10">
        <v>27</v>
      </c>
      <c r="B28" s="11" t="s">
        <v>9</v>
      </c>
      <c r="C28" s="11" t="s">
        <v>179</v>
      </c>
      <c r="D28" s="11" t="s">
        <v>180</v>
      </c>
      <c r="E28" s="9" t="str">
        <f>+HYPERLINK("http://trademark.i-assist.jp/data/china/image_1908th/73886463.pdf", "73886463")</f>
        <v>73886463</v>
      </c>
      <c r="F28" s="11" t="s">
        <v>269</v>
      </c>
      <c r="G28" s="11" t="s">
        <v>270</v>
      </c>
      <c r="H28" s="11" t="s">
        <v>271</v>
      </c>
      <c r="I28" s="11" t="s">
        <v>272</v>
      </c>
    </row>
    <row r="29" spans="1:9" x14ac:dyDescent="0.15">
      <c r="A29" s="10">
        <v>28</v>
      </c>
      <c r="B29" s="11" t="s">
        <v>9</v>
      </c>
      <c r="C29" s="11" t="s">
        <v>179</v>
      </c>
      <c r="D29" s="11" t="s">
        <v>180</v>
      </c>
      <c r="E29" s="9" t="str">
        <f>+HYPERLINK("http://trademark.i-assist.jp/data/china/image_1908th/73972879.pdf", "73972879")</f>
        <v>73972879</v>
      </c>
      <c r="F29" s="11" t="s">
        <v>273</v>
      </c>
      <c r="G29" s="11" t="s">
        <v>274</v>
      </c>
      <c r="H29" s="11" t="s">
        <v>275</v>
      </c>
      <c r="I29" s="11" t="s">
        <v>276</v>
      </c>
    </row>
    <row r="30" spans="1:9" x14ac:dyDescent="0.15">
      <c r="A30" s="10">
        <v>29</v>
      </c>
      <c r="B30" s="11" t="s">
        <v>9</v>
      </c>
      <c r="C30" s="11" t="s">
        <v>179</v>
      </c>
      <c r="D30" s="11" t="s">
        <v>180</v>
      </c>
      <c r="E30" s="9" t="str">
        <f>+HYPERLINK("http://trademark.i-assist.jp/data/china/image_1908th/74052789.pdf", "74052789")</f>
        <v>74052789</v>
      </c>
      <c r="F30" s="11" t="s">
        <v>277</v>
      </c>
      <c r="G30" s="11" t="s">
        <v>278</v>
      </c>
      <c r="H30" s="11" t="s">
        <v>13</v>
      </c>
      <c r="I30" s="11" t="s">
        <v>279</v>
      </c>
    </row>
    <row r="31" spans="1:9" x14ac:dyDescent="0.15">
      <c r="A31" s="10">
        <v>30</v>
      </c>
      <c r="B31" s="11" t="s">
        <v>9</v>
      </c>
      <c r="C31" s="11" t="s">
        <v>179</v>
      </c>
      <c r="D31" s="11" t="s">
        <v>180</v>
      </c>
      <c r="E31" s="9" t="str">
        <f>+HYPERLINK("http://trademark.i-assist.jp/data/china/image_1908th/74155914.pdf", "74155914")</f>
        <v>74155914</v>
      </c>
      <c r="F31" s="11" t="s">
        <v>280</v>
      </c>
      <c r="G31" s="11" t="s">
        <v>281</v>
      </c>
      <c r="H31" s="11" t="s">
        <v>282</v>
      </c>
      <c r="I31" s="11" t="s">
        <v>283</v>
      </c>
    </row>
    <row r="32" spans="1:9" x14ac:dyDescent="0.15">
      <c r="A32" s="10">
        <v>31</v>
      </c>
      <c r="B32" s="11" t="s">
        <v>9</v>
      </c>
      <c r="C32" s="11" t="s">
        <v>179</v>
      </c>
      <c r="D32" s="11" t="s">
        <v>180</v>
      </c>
      <c r="E32" s="9" t="str">
        <f>+HYPERLINK("http://trademark.i-assist.jp/data/china/image_1908th/74222336.pdf", "74222336")</f>
        <v>74222336</v>
      </c>
      <c r="F32" s="11" t="s">
        <v>284</v>
      </c>
      <c r="G32" s="11" t="s">
        <v>285</v>
      </c>
      <c r="H32" s="11" t="s">
        <v>286</v>
      </c>
      <c r="I32" s="11" t="s">
        <v>83</v>
      </c>
    </row>
    <row r="33" spans="1:9" x14ac:dyDescent="0.15">
      <c r="A33" s="10">
        <v>32</v>
      </c>
      <c r="B33" s="11" t="s">
        <v>9</v>
      </c>
      <c r="C33" s="11" t="s">
        <v>179</v>
      </c>
      <c r="D33" s="11" t="s">
        <v>180</v>
      </c>
      <c r="E33" s="9" t="str">
        <f>+HYPERLINK("http://trademark.i-assist.jp/data/china/image_1908th/74272432.pdf", "74272432")</f>
        <v>74272432</v>
      </c>
      <c r="F33" s="11" t="s">
        <v>287</v>
      </c>
      <c r="G33" s="11" t="s">
        <v>288</v>
      </c>
      <c r="H33" s="11" t="s">
        <v>289</v>
      </c>
      <c r="I33" s="11" t="s">
        <v>290</v>
      </c>
    </row>
    <row r="34" spans="1:9" x14ac:dyDescent="0.15">
      <c r="A34" s="10">
        <v>33</v>
      </c>
      <c r="B34" s="11" t="s">
        <v>9</v>
      </c>
      <c r="C34" s="11" t="s">
        <v>179</v>
      </c>
      <c r="D34" s="11" t="s">
        <v>180</v>
      </c>
      <c r="E34" s="9" t="str">
        <f>+HYPERLINK("http://trademark.i-assist.jp/data/china/image_1908th/74276620.pdf", "74276620")</f>
        <v>74276620</v>
      </c>
      <c r="F34" s="11" t="s">
        <v>291</v>
      </c>
      <c r="G34" s="11" t="s">
        <v>292</v>
      </c>
      <c r="H34" s="11" t="s">
        <v>293</v>
      </c>
      <c r="I34" s="11" t="s">
        <v>290</v>
      </c>
    </row>
    <row r="35" spans="1:9" x14ac:dyDescent="0.15">
      <c r="A35" s="10">
        <v>34</v>
      </c>
      <c r="B35" s="11" t="s">
        <v>9</v>
      </c>
      <c r="C35" s="11" t="s">
        <v>179</v>
      </c>
      <c r="D35" s="11" t="s">
        <v>180</v>
      </c>
      <c r="E35" s="9" t="str">
        <f>+HYPERLINK("http://trademark.i-assist.jp/data/china/image_1908th/74346007.pdf", "74346007")</f>
        <v>74346007</v>
      </c>
      <c r="F35" s="11" t="s">
        <v>294</v>
      </c>
      <c r="G35" s="11" t="s">
        <v>295</v>
      </c>
      <c r="H35" s="11" t="s">
        <v>296</v>
      </c>
      <c r="I35" s="11" t="s">
        <v>24</v>
      </c>
    </row>
    <row r="36" spans="1:9" x14ac:dyDescent="0.15">
      <c r="A36" s="10">
        <v>35</v>
      </c>
      <c r="B36" s="11" t="s">
        <v>9</v>
      </c>
      <c r="C36" s="11" t="s">
        <v>179</v>
      </c>
      <c r="D36" s="11" t="s">
        <v>180</v>
      </c>
      <c r="E36" s="9" t="str">
        <f>+HYPERLINK("http://trademark.i-assist.jp/data/china/image_1908th/74362659.pdf", "74362659")</f>
        <v>74362659</v>
      </c>
      <c r="F36" s="11" t="s">
        <v>297</v>
      </c>
      <c r="G36" s="11" t="s">
        <v>298</v>
      </c>
      <c r="H36" s="11" t="s">
        <v>299</v>
      </c>
      <c r="I36" s="11" t="s">
        <v>300</v>
      </c>
    </row>
    <row r="37" spans="1:9" x14ac:dyDescent="0.15">
      <c r="A37" s="10">
        <v>36</v>
      </c>
      <c r="B37" s="11" t="s">
        <v>9</v>
      </c>
      <c r="C37" s="11" t="s">
        <v>179</v>
      </c>
      <c r="D37" s="11" t="s">
        <v>180</v>
      </c>
      <c r="E37" s="9" t="str">
        <f>+HYPERLINK("http://trademark.i-assist.jp/data/china/image_1908th/74428781.pdf", "74428781")</f>
        <v>74428781</v>
      </c>
      <c r="F37" s="11" t="s">
        <v>301</v>
      </c>
      <c r="G37" s="11" t="s">
        <v>302</v>
      </c>
      <c r="H37" s="11" t="s">
        <v>303</v>
      </c>
      <c r="I37" s="11" t="s">
        <v>304</v>
      </c>
    </row>
    <row r="38" spans="1:9" x14ac:dyDescent="0.15">
      <c r="A38" s="10">
        <v>37</v>
      </c>
      <c r="B38" s="11" t="s">
        <v>9</v>
      </c>
      <c r="C38" s="11" t="s">
        <v>179</v>
      </c>
      <c r="D38" s="11" t="s">
        <v>180</v>
      </c>
      <c r="E38" s="9" t="str">
        <f>+HYPERLINK("http://trademark.i-assist.jp/data/china/image_1908th/74543372.pdf", "74543372")</f>
        <v>74543372</v>
      </c>
      <c r="F38" s="11" t="s">
        <v>305</v>
      </c>
      <c r="G38" s="11" t="s">
        <v>306</v>
      </c>
      <c r="H38" s="11" t="s">
        <v>307</v>
      </c>
      <c r="I38" s="11" t="s">
        <v>308</v>
      </c>
    </row>
    <row r="39" spans="1:9" x14ac:dyDescent="0.15">
      <c r="A39" s="10">
        <v>38</v>
      </c>
      <c r="B39" s="11" t="s">
        <v>9</v>
      </c>
      <c r="C39" s="11" t="s">
        <v>179</v>
      </c>
      <c r="D39" s="11" t="s">
        <v>180</v>
      </c>
      <c r="E39" s="9" t="str">
        <f>+HYPERLINK("http://trademark.i-assist.jp/data/china/image_1908th/75038137.pdf", "75038137")</f>
        <v>75038137</v>
      </c>
      <c r="F39" s="11" t="s">
        <v>309</v>
      </c>
      <c r="G39" s="11" t="s">
        <v>310</v>
      </c>
      <c r="H39" s="11" t="s">
        <v>311</v>
      </c>
      <c r="I39" s="11" t="s">
        <v>312</v>
      </c>
    </row>
    <row r="40" spans="1:9" x14ac:dyDescent="0.15">
      <c r="A40" s="10">
        <v>39</v>
      </c>
      <c r="B40" s="11" t="s">
        <v>9</v>
      </c>
      <c r="C40" s="11" t="s">
        <v>179</v>
      </c>
      <c r="D40" s="11" t="s">
        <v>180</v>
      </c>
      <c r="E40" s="9" t="str">
        <f>+HYPERLINK("http://trademark.i-assist.jp/data/china/image_1908th/75193781.pdf", "75193781")</f>
        <v>75193781</v>
      </c>
      <c r="F40" s="11" t="s">
        <v>313</v>
      </c>
      <c r="G40" s="11" t="s">
        <v>314</v>
      </c>
      <c r="H40" s="11" t="s">
        <v>315</v>
      </c>
      <c r="I40" s="11" t="s">
        <v>316</v>
      </c>
    </row>
    <row r="41" spans="1:9" x14ac:dyDescent="0.15">
      <c r="A41" s="10">
        <v>40</v>
      </c>
      <c r="B41" s="11" t="s">
        <v>9</v>
      </c>
      <c r="C41" s="11" t="s">
        <v>179</v>
      </c>
      <c r="D41" s="11" t="s">
        <v>180</v>
      </c>
      <c r="E41" s="9" t="str">
        <f>+HYPERLINK("http://trademark.i-assist.jp/data/china/image_1908th/75314871.pdf", "75314871")</f>
        <v>75314871</v>
      </c>
      <c r="F41" s="11" t="s">
        <v>317</v>
      </c>
      <c r="G41" s="11" t="s">
        <v>318</v>
      </c>
      <c r="H41" s="11" t="s">
        <v>319</v>
      </c>
      <c r="I41" s="11" t="s">
        <v>52</v>
      </c>
    </row>
    <row r="42" spans="1:9" x14ac:dyDescent="0.15">
      <c r="A42" s="10">
        <v>41</v>
      </c>
      <c r="B42" s="11" t="s">
        <v>9</v>
      </c>
      <c r="C42" s="11" t="s">
        <v>179</v>
      </c>
      <c r="D42" s="11" t="s">
        <v>180</v>
      </c>
      <c r="E42" s="9" t="str">
        <f>+HYPERLINK("http://trademark.i-assist.jp/data/china/image_1908th/75348957.pdf", "75348957")</f>
        <v>75348957</v>
      </c>
      <c r="F42" s="11" t="s">
        <v>320</v>
      </c>
      <c r="G42" s="11" t="s">
        <v>321</v>
      </c>
      <c r="H42" s="11" t="s">
        <v>322</v>
      </c>
      <c r="I42" s="11" t="s">
        <v>53</v>
      </c>
    </row>
    <row r="43" spans="1:9" x14ac:dyDescent="0.15">
      <c r="A43" s="10">
        <v>42</v>
      </c>
      <c r="B43" s="11" t="s">
        <v>9</v>
      </c>
      <c r="C43" s="11" t="s">
        <v>179</v>
      </c>
      <c r="D43" s="11" t="s">
        <v>180</v>
      </c>
      <c r="E43" s="9" t="str">
        <f>+HYPERLINK("http://trademark.i-assist.jp/data/china/image_1908th/75386858.pdf", "75386858")</f>
        <v>75386858</v>
      </c>
      <c r="F43" s="11" t="s">
        <v>323</v>
      </c>
      <c r="G43" s="11" t="s">
        <v>324</v>
      </c>
      <c r="H43" s="11" t="s">
        <v>325</v>
      </c>
      <c r="I43" s="11" t="s">
        <v>326</v>
      </c>
    </row>
    <row r="44" spans="1:9" x14ac:dyDescent="0.15">
      <c r="A44" s="10">
        <v>43</v>
      </c>
      <c r="B44" s="11" t="s">
        <v>9</v>
      </c>
      <c r="C44" s="11" t="s">
        <v>179</v>
      </c>
      <c r="D44" s="11" t="s">
        <v>180</v>
      </c>
      <c r="E44" s="9" t="str">
        <f>+HYPERLINK("http://trademark.i-assist.jp/data/china/image_1908th/75504051.pdf", "75504051")</f>
        <v>75504051</v>
      </c>
      <c r="F44" s="11" t="s">
        <v>327</v>
      </c>
      <c r="G44" s="11" t="s">
        <v>328</v>
      </c>
      <c r="H44" s="11" t="s">
        <v>329</v>
      </c>
      <c r="I44" s="11" t="s">
        <v>330</v>
      </c>
    </row>
    <row r="45" spans="1:9" x14ac:dyDescent="0.15">
      <c r="A45" s="10">
        <v>44</v>
      </c>
      <c r="B45" s="11" t="s">
        <v>9</v>
      </c>
      <c r="C45" s="11" t="s">
        <v>179</v>
      </c>
      <c r="D45" s="11" t="s">
        <v>180</v>
      </c>
      <c r="E45" s="9" t="str">
        <f>+HYPERLINK("http://trademark.i-assist.jp/data/china/image_1908th/75539101.pdf", "75539101")</f>
        <v>75539101</v>
      </c>
      <c r="F45" s="11" t="s">
        <v>331</v>
      </c>
      <c r="G45" s="11" t="s">
        <v>332</v>
      </c>
      <c r="H45" s="11" t="s">
        <v>333</v>
      </c>
      <c r="I45" s="11" t="s">
        <v>334</v>
      </c>
    </row>
    <row r="46" spans="1:9" x14ac:dyDescent="0.15">
      <c r="A46" s="10">
        <v>45</v>
      </c>
      <c r="B46" s="11" t="s">
        <v>9</v>
      </c>
      <c r="C46" s="11" t="s">
        <v>179</v>
      </c>
      <c r="D46" s="11" t="s">
        <v>180</v>
      </c>
      <c r="E46" s="9" t="str">
        <f>+HYPERLINK("http://trademark.i-assist.jp/data/china/image_1908th/75569996.pdf", "75569996")</f>
        <v>75569996</v>
      </c>
      <c r="F46" s="11" t="s">
        <v>335</v>
      </c>
      <c r="G46" s="11" t="s">
        <v>336</v>
      </c>
      <c r="H46" s="11" t="s">
        <v>337</v>
      </c>
      <c r="I46" s="11" t="s">
        <v>338</v>
      </c>
    </row>
    <row r="47" spans="1:9" x14ac:dyDescent="0.15">
      <c r="A47" s="10">
        <v>46</v>
      </c>
      <c r="B47" s="11" t="s">
        <v>9</v>
      </c>
      <c r="C47" s="11" t="s">
        <v>179</v>
      </c>
      <c r="D47" s="11" t="s">
        <v>180</v>
      </c>
      <c r="E47" s="9" t="str">
        <f>+HYPERLINK("http://trademark.i-assist.jp/data/china/image_1908th/75676483.pdf", "75676483")</f>
        <v>75676483</v>
      </c>
      <c r="F47" s="11" t="s">
        <v>339</v>
      </c>
      <c r="G47" s="11" t="s">
        <v>340</v>
      </c>
      <c r="H47" s="11" t="s">
        <v>341</v>
      </c>
      <c r="I47" s="11" t="s">
        <v>342</v>
      </c>
    </row>
    <row r="48" spans="1:9" x14ac:dyDescent="0.15">
      <c r="A48" s="10">
        <v>47</v>
      </c>
      <c r="B48" s="11" t="s">
        <v>9</v>
      </c>
      <c r="C48" s="11" t="s">
        <v>179</v>
      </c>
      <c r="D48" s="11" t="s">
        <v>180</v>
      </c>
      <c r="E48" s="9" t="str">
        <f>+HYPERLINK("http://trademark.i-assist.jp/data/china/image_1908th/75718201.pdf", "75718201")</f>
        <v>75718201</v>
      </c>
      <c r="F48" s="11" t="s">
        <v>343</v>
      </c>
      <c r="G48" s="11" t="s">
        <v>344</v>
      </c>
      <c r="H48" s="11" t="s">
        <v>345</v>
      </c>
      <c r="I48" s="11" t="s">
        <v>85</v>
      </c>
    </row>
    <row r="49" spans="1:9" x14ac:dyDescent="0.15">
      <c r="A49" s="10">
        <v>48</v>
      </c>
      <c r="B49" s="11" t="s">
        <v>9</v>
      </c>
      <c r="C49" s="11" t="s">
        <v>179</v>
      </c>
      <c r="D49" s="11" t="s">
        <v>180</v>
      </c>
      <c r="E49" s="9" t="str">
        <f>+HYPERLINK("http://trademark.i-assist.jp/data/china/image_1908th/75843851.pdf", "75843851")</f>
        <v>75843851</v>
      </c>
      <c r="F49" s="11" t="s">
        <v>346</v>
      </c>
      <c r="G49" s="11" t="s">
        <v>347</v>
      </c>
      <c r="H49" s="11" t="s">
        <v>348</v>
      </c>
      <c r="I49" s="11" t="s">
        <v>86</v>
      </c>
    </row>
    <row r="50" spans="1:9" x14ac:dyDescent="0.15">
      <c r="A50" s="10">
        <v>49</v>
      </c>
      <c r="B50" s="11" t="s">
        <v>9</v>
      </c>
      <c r="C50" s="11" t="s">
        <v>179</v>
      </c>
      <c r="D50" s="11" t="s">
        <v>180</v>
      </c>
      <c r="E50" s="9" t="str">
        <f>+HYPERLINK("http://trademark.i-assist.jp/data/china/image_1908th/75942933.pdf", "75942933")</f>
        <v>75942933</v>
      </c>
      <c r="F50" s="11" t="s">
        <v>349</v>
      </c>
      <c r="G50" s="11" t="s">
        <v>350</v>
      </c>
      <c r="H50" s="11" t="s">
        <v>351</v>
      </c>
      <c r="I50" s="11" t="s">
        <v>352</v>
      </c>
    </row>
    <row r="51" spans="1:9" x14ac:dyDescent="0.15">
      <c r="A51" s="10">
        <v>50</v>
      </c>
      <c r="B51" s="11" t="s">
        <v>9</v>
      </c>
      <c r="C51" s="11" t="s">
        <v>179</v>
      </c>
      <c r="D51" s="11" t="s">
        <v>180</v>
      </c>
      <c r="E51" s="9" t="str">
        <f>+HYPERLINK("http://trademark.i-assist.jp/data/china/image_1908th/75992075.pdf", "75992075")</f>
        <v>75992075</v>
      </c>
      <c r="F51" s="11" t="s">
        <v>353</v>
      </c>
      <c r="G51" s="11" t="s">
        <v>354</v>
      </c>
      <c r="H51" s="11" t="s">
        <v>355</v>
      </c>
      <c r="I51" s="11" t="s">
        <v>356</v>
      </c>
    </row>
    <row r="52" spans="1:9" x14ac:dyDescent="0.15">
      <c r="A52" s="10">
        <v>51</v>
      </c>
      <c r="B52" s="11" t="s">
        <v>9</v>
      </c>
      <c r="C52" s="11" t="s">
        <v>179</v>
      </c>
      <c r="D52" s="11" t="s">
        <v>180</v>
      </c>
      <c r="E52" s="9" t="str">
        <f>+HYPERLINK("http://trademark.i-assist.jp/data/china/image_1908th/76073339.pdf", "76073339")</f>
        <v>76073339</v>
      </c>
      <c r="F52" s="11" t="s">
        <v>357</v>
      </c>
      <c r="G52" s="11" t="s">
        <v>358</v>
      </c>
      <c r="H52" s="11" t="s">
        <v>359</v>
      </c>
      <c r="I52" s="11" t="s">
        <v>87</v>
      </c>
    </row>
    <row r="53" spans="1:9" x14ac:dyDescent="0.15">
      <c r="A53" s="10">
        <v>52</v>
      </c>
      <c r="B53" s="11" t="s">
        <v>9</v>
      </c>
      <c r="C53" s="11" t="s">
        <v>179</v>
      </c>
      <c r="D53" s="11" t="s">
        <v>180</v>
      </c>
      <c r="E53" s="9" t="str">
        <f>+HYPERLINK("http://trademark.i-assist.jp/data/china/image_1908th/76167333.pdf", "76167333")</f>
        <v>76167333</v>
      </c>
      <c r="F53" s="11" t="s">
        <v>360</v>
      </c>
      <c r="G53" s="11" t="s">
        <v>361</v>
      </c>
      <c r="H53" s="11" t="s">
        <v>362</v>
      </c>
      <c r="I53" s="11" t="s">
        <v>363</v>
      </c>
    </row>
    <row r="54" spans="1:9" x14ac:dyDescent="0.15">
      <c r="A54" s="10">
        <v>53</v>
      </c>
      <c r="B54" s="11" t="s">
        <v>9</v>
      </c>
      <c r="C54" s="11" t="s">
        <v>179</v>
      </c>
      <c r="D54" s="11" t="s">
        <v>180</v>
      </c>
      <c r="E54" s="9" t="str">
        <f>+HYPERLINK("http://trademark.i-assist.jp/data/china/image_1908th/76217492.pdf", "76217492")</f>
        <v>76217492</v>
      </c>
      <c r="F54" s="11" t="s">
        <v>364</v>
      </c>
      <c r="G54" s="11" t="s">
        <v>365</v>
      </c>
      <c r="H54" s="11" t="s">
        <v>366</v>
      </c>
      <c r="I54" s="11" t="s">
        <v>367</v>
      </c>
    </row>
    <row r="55" spans="1:9" x14ac:dyDescent="0.15">
      <c r="A55" s="10">
        <v>54</v>
      </c>
      <c r="B55" s="11" t="s">
        <v>9</v>
      </c>
      <c r="C55" s="11" t="s">
        <v>179</v>
      </c>
      <c r="D55" s="11" t="s">
        <v>180</v>
      </c>
      <c r="E55" s="9" t="str">
        <f>+HYPERLINK("http://trademark.i-assist.jp/data/china/image_1908th/76459399.pdf", "76459399")</f>
        <v>76459399</v>
      </c>
      <c r="F55" s="11" t="s">
        <v>368</v>
      </c>
      <c r="G55" s="11" t="s">
        <v>369</v>
      </c>
      <c r="H55" s="11" t="s">
        <v>370</v>
      </c>
      <c r="I55" s="11" t="s">
        <v>371</v>
      </c>
    </row>
    <row r="56" spans="1:9" x14ac:dyDescent="0.15">
      <c r="A56" s="10">
        <v>55</v>
      </c>
      <c r="B56" s="11" t="s">
        <v>9</v>
      </c>
      <c r="C56" s="11" t="s">
        <v>179</v>
      </c>
      <c r="D56" s="11" t="s">
        <v>180</v>
      </c>
      <c r="E56" s="9" t="str">
        <f>+HYPERLINK("http://trademark.i-assist.jp/data/china/image_1908th/76621069.pdf", "76621069")</f>
        <v>76621069</v>
      </c>
      <c r="F56" s="11" t="s">
        <v>372</v>
      </c>
      <c r="G56" s="11" t="s">
        <v>373</v>
      </c>
      <c r="H56" s="11" t="s">
        <v>374</v>
      </c>
      <c r="I56" s="11" t="s">
        <v>375</v>
      </c>
    </row>
    <row r="57" spans="1:9" x14ac:dyDescent="0.15">
      <c r="A57" s="10">
        <v>56</v>
      </c>
      <c r="B57" s="11" t="s">
        <v>9</v>
      </c>
      <c r="C57" s="11" t="s">
        <v>179</v>
      </c>
      <c r="D57" s="11" t="s">
        <v>180</v>
      </c>
      <c r="E57" s="9" t="str">
        <f>+HYPERLINK("http://trademark.i-assist.jp/data/china/image_1908th/76685991.pdf", "76685991")</f>
        <v>76685991</v>
      </c>
      <c r="F57" s="11" t="s">
        <v>376</v>
      </c>
      <c r="G57" s="11" t="s">
        <v>377</v>
      </c>
      <c r="H57" s="11" t="s">
        <v>378</v>
      </c>
      <c r="I57" s="11" t="s">
        <v>379</v>
      </c>
    </row>
    <row r="58" spans="1:9" x14ac:dyDescent="0.15">
      <c r="A58" s="10">
        <v>57</v>
      </c>
      <c r="B58" s="11" t="s">
        <v>9</v>
      </c>
      <c r="C58" s="11" t="s">
        <v>179</v>
      </c>
      <c r="D58" s="11" t="s">
        <v>180</v>
      </c>
      <c r="E58" s="9" t="str">
        <f>+HYPERLINK("http://trademark.i-assist.jp/data/china/image_1908th/76705072.pdf", "76705072")</f>
        <v>76705072</v>
      </c>
      <c r="F58" s="11" t="s">
        <v>380</v>
      </c>
      <c r="G58" s="11" t="s">
        <v>381</v>
      </c>
      <c r="H58" s="11" t="s">
        <v>382</v>
      </c>
      <c r="I58" s="11" t="s">
        <v>383</v>
      </c>
    </row>
    <row r="59" spans="1:9" x14ac:dyDescent="0.15">
      <c r="A59" s="10">
        <v>58</v>
      </c>
      <c r="B59" s="11" t="s">
        <v>9</v>
      </c>
      <c r="C59" s="11" t="s">
        <v>179</v>
      </c>
      <c r="D59" s="11" t="s">
        <v>180</v>
      </c>
      <c r="E59" s="9" t="str">
        <f>+HYPERLINK("http://trademark.i-assist.jp/data/china/image_1908th/76888197.pdf", "76888197")</f>
        <v>76888197</v>
      </c>
      <c r="F59" s="11" t="s">
        <v>384</v>
      </c>
      <c r="G59" s="11" t="s">
        <v>385</v>
      </c>
      <c r="H59" s="11" t="s">
        <v>386</v>
      </c>
      <c r="I59" s="11" t="s">
        <v>387</v>
      </c>
    </row>
    <row r="60" spans="1:9" x14ac:dyDescent="0.15">
      <c r="A60" s="10">
        <v>59</v>
      </c>
      <c r="B60" s="11" t="s">
        <v>9</v>
      </c>
      <c r="C60" s="11" t="s">
        <v>179</v>
      </c>
      <c r="D60" s="11" t="s">
        <v>180</v>
      </c>
      <c r="E60" s="9" t="str">
        <f>+HYPERLINK("http://trademark.i-assist.jp/data/china/image_1908th/77065515.pdf", "77065515")</f>
        <v>77065515</v>
      </c>
      <c r="F60" s="11" t="s">
        <v>388</v>
      </c>
      <c r="G60" s="11" t="s">
        <v>389</v>
      </c>
      <c r="H60" s="11" t="s">
        <v>390</v>
      </c>
      <c r="I60" s="11" t="s">
        <v>391</v>
      </c>
    </row>
    <row r="61" spans="1:9" x14ac:dyDescent="0.15">
      <c r="A61" s="10">
        <v>60</v>
      </c>
      <c r="B61" s="11" t="s">
        <v>9</v>
      </c>
      <c r="C61" s="11" t="s">
        <v>179</v>
      </c>
      <c r="D61" s="11" t="s">
        <v>180</v>
      </c>
      <c r="E61" s="9" t="str">
        <f>+HYPERLINK("http://trademark.i-assist.jp/data/china/image_1908th/77176913.pdf", "77176913")</f>
        <v>77176913</v>
      </c>
      <c r="F61" s="11" t="s">
        <v>392</v>
      </c>
      <c r="G61" s="11" t="s">
        <v>393</v>
      </c>
      <c r="H61" s="11" t="s">
        <v>394</v>
      </c>
      <c r="I61" s="11" t="s">
        <v>395</v>
      </c>
    </row>
    <row r="62" spans="1:9" x14ac:dyDescent="0.15">
      <c r="A62" s="10">
        <v>61</v>
      </c>
      <c r="B62" s="11" t="s">
        <v>9</v>
      </c>
      <c r="C62" s="11" t="s">
        <v>179</v>
      </c>
      <c r="D62" s="11" t="s">
        <v>180</v>
      </c>
      <c r="E62" s="9" t="str">
        <f>+HYPERLINK("http://trademark.i-assist.jp/data/china/image_1908th/77182215.pdf", "77182215")</f>
        <v>77182215</v>
      </c>
      <c r="F62" s="11" t="s">
        <v>396</v>
      </c>
      <c r="G62" s="11" t="s">
        <v>393</v>
      </c>
      <c r="H62" s="11" t="s">
        <v>397</v>
      </c>
      <c r="I62" s="11" t="s">
        <v>395</v>
      </c>
    </row>
    <row r="63" spans="1:9" x14ac:dyDescent="0.15">
      <c r="A63" s="10">
        <v>62</v>
      </c>
      <c r="B63" s="11" t="s">
        <v>9</v>
      </c>
      <c r="C63" s="11" t="s">
        <v>179</v>
      </c>
      <c r="D63" s="11" t="s">
        <v>180</v>
      </c>
      <c r="E63" s="9" t="str">
        <f>+HYPERLINK("http://trademark.i-assist.jp/data/china/image_1908th/77233643.pdf", "77233643")</f>
        <v>77233643</v>
      </c>
      <c r="F63" s="11" t="s">
        <v>10</v>
      </c>
      <c r="G63" s="11" t="s">
        <v>398</v>
      </c>
      <c r="H63" s="11" t="s">
        <v>399</v>
      </c>
      <c r="I63" s="11" t="s">
        <v>400</v>
      </c>
    </row>
    <row r="64" spans="1:9" x14ac:dyDescent="0.15">
      <c r="A64" s="10">
        <v>63</v>
      </c>
      <c r="B64" s="11" t="s">
        <v>9</v>
      </c>
      <c r="C64" s="11" t="s">
        <v>179</v>
      </c>
      <c r="D64" s="11" t="s">
        <v>180</v>
      </c>
      <c r="E64" s="9" t="str">
        <f>+HYPERLINK("http://trademark.i-assist.jp/data/china/image_1908th/77244936.pdf", "77244936")</f>
        <v>77244936</v>
      </c>
      <c r="F64" s="11" t="s">
        <v>401</v>
      </c>
      <c r="G64" s="11" t="s">
        <v>402</v>
      </c>
      <c r="H64" s="11" t="s">
        <v>403</v>
      </c>
      <c r="I64" s="11" t="s">
        <v>404</v>
      </c>
    </row>
    <row r="65" spans="1:9" x14ac:dyDescent="0.15">
      <c r="A65" s="10">
        <v>64</v>
      </c>
      <c r="B65" s="11" t="s">
        <v>9</v>
      </c>
      <c r="C65" s="11" t="s">
        <v>179</v>
      </c>
      <c r="D65" s="11" t="s">
        <v>180</v>
      </c>
      <c r="E65" s="9" t="str">
        <f>+HYPERLINK("http://trademark.i-assist.jp/data/china/image_1908th/77593013.pdf", "77593013")</f>
        <v>77593013</v>
      </c>
      <c r="F65" s="11" t="s">
        <v>405</v>
      </c>
      <c r="G65" s="11" t="s">
        <v>406</v>
      </c>
      <c r="H65" s="11" t="s">
        <v>407</v>
      </c>
      <c r="I65" s="11" t="s">
        <v>408</v>
      </c>
    </row>
    <row r="66" spans="1:9" x14ac:dyDescent="0.15">
      <c r="A66" s="10">
        <v>65</v>
      </c>
      <c r="B66" s="11" t="s">
        <v>9</v>
      </c>
      <c r="C66" s="11" t="s">
        <v>179</v>
      </c>
      <c r="D66" s="11" t="s">
        <v>180</v>
      </c>
      <c r="E66" s="9" t="str">
        <f>+HYPERLINK("http://trademark.i-assist.jp/data/china/image_1908th/77847500.pdf", "77847500")</f>
        <v>77847500</v>
      </c>
      <c r="F66" s="11" t="s">
        <v>409</v>
      </c>
      <c r="G66" s="11" t="s">
        <v>410</v>
      </c>
      <c r="H66" s="11" t="s">
        <v>411</v>
      </c>
      <c r="I66" s="11" t="s">
        <v>88</v>
      </c>
    </row>
    <row r="67" spans="1:9" x14ac:dyDescent="0.15">
      <c r="A67" s="10">
        <v>66</v>
      </c>
      <c r="B67" s="11" t="s">
        <v>9</v>
      </c>
      <c r="C67" s="11" t="s">
        <v>179</v>
      </c>
      <c r="D67" s="11" t="s">
        <v>180</v>
      </c>
      <c r="E67" s="9" t="str">
        <f>+HYPERLINK("http://trademark.i-assist.jp/data/china/image_1908th/77876980.pdf", "77876980")</f>
        <v>77876980</v>
      </c>
      <c r="F67" s="11" t="s">
        <v>412</v>
      </c>
      <c r="G67" s="11" t="s">
        <v>413</v>
      </c>
      <c r="H67" s="11" t="s">
        <v>414</v>
      </c>
      <c r="I67" s="11" t="s">
        <v>415</v>
      </c>
    </row>
    <row r="68" spans="1:9" x14ac:dyDescent="0.15">
      <c r="A68" s="10">
        <v>67</v>
      </c>
      <c r="B68" s="11" t="s">
        <v>9</v>
      </c>
      <c r="C68" s="11" t="s">
        <v>179</v>
      </c>
      <c r="D68" s="11" t="s">
        <v>180</v>
      </c>
      <c r="E68" s="9" t="str">
        <f>+HYPERLINK("http://trademark.i-assist.jp/data/china/image_1908th/77969614.pdf", "77969614")</f>
        <v>77969614</v>
      </c>
      <c r="F68" s="11" t="s">
        <v>416</v>
      </c>
      <c r="G68" s="11" t="s">
        <v>417</v>
      </c>
      <c r="H68" s="11" t="s">
        <v>418</v>
      </c>
      <c r="I68" s="11" t="s">
        <v>419</v>
      </c>
    </row>
    <row r="69" spans="1:9" x14ac:dyDescent="0.15">
      <c r="A69" s="10">
        <v>68</v>
      </c>
      <c r="B69" s="11" t="s">
        <v>9</v>
      </c>
      <c r="C69" s="11" t="s">
        <v>179</v>
      </c>
      <c r="D69" s="11" t="s">
        <v>180</v>
      </c>
      <c r="E69" s="9" t="str">
        <f>+HYPERLINK("http://trademark.i-assist.jp/data/china/image_1908th/78015886.pdf", "78015886")</f>
        <v>78015886</v>
      </c>
      <c r="F69" s="11" t="s">
        <v>10</v>
      </c>
      <c r="G69" s="11" t="s">
        <v>420</v>
      </c>
      <c r="H69" s="11" t="s">
        <v>421</v>
      </c>
      <c r="I69" s="11" t="s">
        <v>14</v>
      </c>
    </row>
    <row r="70" spans="1:9" x14ac:dyDescent="0.15">
      <c r="A70" s="10">
        <v>69</v>
      </c>
      <c r="B70" s="11" t="s">
        <v>9</v>
      </c>
      <c r="C70" s="11" t="s">
        <v>179</v>
      </c>
      <c r="D70" s="11" t="s">
        <v>180</v>
      </c>
      <c r="E70" s="9" t="str">
        <f>+HYPERLINK("http://trademark.i-assist.jp/data/china/image_1908th/78041752.pdf", "78041752")</f>
        <v>78041752</v>
      </c>
      <c r="F70" s="11" t="s">
        <v>422</v>
      </c>
      <c r="G70" s="11" t="s">
        <v>423</v>
      </c>
      <c r="H70" s="11" t="s">
        <v>424</v>
      </c>
      <c r="I70" s="11" t="s">
        <v>425</v>
      </c>
    </row>
    <row r="71" spans="1:9" x14ac:dyDescent="0.15">
      <c r="A71" s="10">
        <v>70</v>
      </c>
      <c r="B71" s="11" t="s">
        <v>9</v>
      </c>
      <c r="C71" s="11" t="s">
        <v>179</v>
      </c>
      <c r="D71" s="11" t="s">
        <v>180</v>
      </c>
      <c r="E71" s="9" t="str">
        <f>+HYPERLINK("http://trademark.i-assist.jp/data/china/image_1908th/78122734.pdf", "78122734")</f>
        <v>78122734</v>
      </c>
      <c r="F71" s="11" t="s">
        <v>10</v>
      </c>
      <c r="G71" s="11" t="s">
        <v>426</v>
      </c>
      <c r="H71" s="11" t="s">
        <v>427</v>
      </c>
      <c r="I71" s="11" t="s">
        <v>89</v>
      </c>
    </row>
    <row r="72" spans="1:9" x14ac:dyDescent="0.15">
      <c r="A72" s="10">
        <v>71</v>
      </c>
      <c r="B72" s="11" t="s">
        <v>9</v>
      </c>
      <c r="C72" s="11" t="s">
        <v>179</v>
      </c>
      <c r="D72" s="11" t="s">
        <v>180</v>
      </c>
      <c r="E72" s="9" t="str">
        <f>+HYPERLINK("http://trademark.i-assist.jp/data/china/image_1908th/78189032.pdf", "78189032")</f>
        <v>78189032</v>
      </c>
      <c r="F72" s="11" t="s">
        <v>10</v>
      </c>
      <c r="G72" s="11" t="s">
        <v>428</v>
      </c>
      <c r="H72" s="11" t="s">
        <v>429</v>
      </c>
      <c r="I72" s="11" t="s">
        <v>54</v>
      </c>
    </row>
    <row r="73" spans="1:9" x14ac:dyDescent="0.15">
      <c r="A73" s="10">
        <v>72</v>
      </c>
      <c r="B73" s="11" t="s">
        <v>9</v>
      </c>
      <c r="C73" s="11" t="s">
        <v>179</v>
      </c>
      <c r="D73" s="11" t="s">
        <v>180</v>
      </c>
      <c r="E73" s="9" t="str">
        <f>+HYPERLINK("http://trademark.i-assist.jp/data/china/image_1908th/78211386.pdf", "78211386")</f>
        <v>78211386</v>
      </c>
      <c r="F73" s="11" t="s">
        <v>430</v>
      </c>
      <c r="G73" s="11" t="s">
        <v>431</v>
      </c>
      <c r="H73" s="11" t="s">
        <v>432</v>
      </c>
      <c r="I73" s="11" t="s">
        <v>54</v>
      </c>
    </row>
    <row r="74" spans="1:9" x14ac:dyDescent="0.15">
      <c r="A74" s="10">
        <v>73</v>
      </c>
      <c r="B74" s="11" t="s">
        <v>9</v>
      </c>
      <c r="C74" s="11" t="s">
        <v>179</v>
      </c>
      <c r="D74" s="11" t="s">
        <v>180</v>
      </c>
      <c r="E74" s="9" t="str">
        <f>+HYPERLINK("http://trademark.i-assist.jp/data/china/image_1908th/78286081.pdf", "78286081")</f>
        <v>78286081</v>
      </c>
      <c r="F74" s="11" t="s">
        <v>433</v>
      </c>
      <c r="G74" s="11" t="s">
        <v>434</v>
      </c>
      <c r="H74" s="11" t="s">
        <v>435</v>
      </c>
      <c r="I74" s="11" t="s">
        <v>90</v>
      </c>
    </row>
    <row r="75" spans="1:9" x14ac:dyDescent="0.15">
      <c r="A75" s="10">
        <v>74</v>
      </c>
      <c r="B75" s="11" t="s">
        <v>9</v>
      </c>
      <c r="C75" s="11" t="s">
        <v>179</v>
      </c>
      <c r="D75" s="11" t="s">
        <v>180</v>
      </c>
      <c r="E75" s="9" t="str">
        <f>+HYPERLINK("http://trademark.i-assist.jp/data/china/image_1908th/78299305.pdf", "78299305")</f>
        <v>78299305</v>
      </c>
      <c r="F75" s="11" t="s">
        <v>436</v>
      </c>
      <c r="G75" s="11" t="s">
        <v>437</v>
      </c>
      <c r="H75" s="11" t="s">
        <v>438</v>
      </c>
      <c r="I75" s="11" t="s">
        <v>90</v>
      </c>
    </row>
    <row r="76" spans="1:9" x14ac:dyDescent="0.15">
      <c r="A76" s="10">
        <v>75</v>
      </c>
      <c r="B76" s="11" t="s">
        <v>9</v>
      </c>
      <c r="C76" s="11" t="s">
        <v>179</v>
      </c>
      <c r="D76" s="11" t="s">
        <v>180</v>
      </c>
      <c r="E76" s="9" t="str">
        <f>+HYPERLINK("http://trademark.i-assist.jp/data/china/image_1908th/78329486.pdf", "78329486")</f>
        <v>78329486</v>
      </c>
      <c r="F76" s="11" t="s">
        <v>439</v>
      </c>
      <c r="G76" s="11" t="s">
        <v>440</v>
      </c>
      <c r="H76" s="11" t="s">
        <v>441</v>
      </c>
      <c r="I76" s="11" t="s">
        <v>15</v>
      </c>
    </row>
    <row r="77" spans="1:9" x14ac:dyDescent="0.15">
      <c r="A77" s="10">
        <v>76</v>
      </c>
      <c r="B77" s="11" t="s">
        <v>9</v>
      </c>
      <c r="C77" s="11" t="s">
        <v>179</v>
      </c>
      <c r="D77" s="11" t="s">
        <v>180</v>
      </c>
      <c r="E77" s="9" t="str">
        <f>+HYPERLINK("http://trademark.i-assist.jp/data/china/image_1908th/78332483.pdf", "78332483")</f>
        <v>78332483</v>
      </c>
      <c r="F77" s="11" t="s">
        <v>442</v>
      </c>
      <c r="G77" s="11" t="s">
        <v>443</v>
      </c>
      <c r="H77" s="11" t="s">
        <v>444</v>
      </c>
      <c r="I77" s="11" t="s">
        <v>15</v>
      </c>
    </row>
    <row r="78" spans="1:9" x14ac:dyDescent="0.15">
      <c r="A78" s="10">
        <v>77</v>
      </c>
      <c r="B78" s="11" t="s">
        <v>9</v>
      </c>
      <c r="C78" s="11" t="s">
        <v>179</v>
      </c>
      <c r="D78" s="11" t="s">
        <v>180</v>
      </c>
      <c r="E78" s="9" t="str">
        <f>+HYPERLINK("http://trademark.i-assist.jp/data/china/image_1908th/78343688.pdf", "78343688")</f>
        <v>78343688</v>
      </c>
      <c r="F78" s="11" t="s">
        <v>445</v>
      </c>
      <c r="G78" s="11" t="s">
        <v>446</v>
      </c>
      <c r="H78" s="11" t="s">
        <v>447</v>
      </c>
      <c r="I78" s="11" t="s">
        <v>15</v>
      </c>
    </row>
    <row r="79" spans="1:9" x14ac:dyDescent="0.15">
      <c r="A79" s="10">
        <v>78</v>
      </c>
      <c r="B79" s="11" t="s">
        <v>9</v>
      </c>
      <c r="C79" s="11" t="s">
        <v>179</v>
      </c>
      <c r="D79" s="11" t="s">
        <v>180</v>
      </c>
      <c r="E79" s="9" t="str">
        <f>+HYPERLINK("http://trademark.i-assist.jp/data/china/image_1908th/78354966.pdf", "78354966")</f>
        <v>78354966</v>
      </c>
      <c r="F79" s="11" t="s">
        <v>448</v>
      </c>
      <c r="G79" s="11" t="s">
        <v>449</v>
      </c>
      <c r="H79" s="11" t="s">
        <v>450</v>
      </c>
      <c r="I79" s="11" t="s">
        <v>451</v>
      </c>
    </row>
    <row r="80" spans="1:9" x14ac:dyDescent="0.15">
      <c r="A80" s="10">
        <v>79</v>
      </c>
      <c r="B80" s="11" t="s">
        <v>9</v>
      </c>
      <c r="C80" s="11" t="s">
        <v>179</v>
      </c>
      <c r="D80" s="11" t="s">
        <v>180</v>
      </c>
      <c r="E80" s="9" t="str">
        <f>+HYPERLINK("http://trademark.i-assist.jp/data/china/image_1908th/78366752.pdf", "78366752")</f>
        <v>78366752</v>
      </c>
      <c r="F80" s="11" t="s">
        <v>452</v>
      </c>
      <c r="G80" s="11" t="s">
        <v>453</v>
      </c>
      <c r="H80" s="11" t="s">
        <v>454</v>
      </c>
      <c r="I80" s="11" t="s">
        <v>451</v>
      </c>
    </row>
    <row r="81" spans="1:9" x14ac:dyDescent="0.15">
      <c r="A81" s="10">
        <v>80</v>
      </c>
      <c r="B81" s="11" t="s">
        <v>9</v>
      </c>
      <c r="C81" s="11" t="s">
        <v>179</v>
      </c>
      <c r="D81" s="11" t="s">
        <v>180</v>
      </c>
      <c r="E81" s="9" t="str">
        <f>+HYPERLINK("http://trademark.i-assist.jp/data/china/image_1908th/78399740.pdf", "78399740")</f>
        <v>78399740</v>
      </c>
      <c r="F81" s="11" t="s">
        <v>455</v>
      </c>
      <c r="G81" s="11" t="s">
        <v>456</v>
      </c>
      <c r="H81" s="11" t="s">
        <v>457</v>
      </c>
      <c r="I81" s="11" t="s">
        <v>451</v>
      </c>
    </row>
    <row r="82" spans="1:9" x14ac:dyDescent="0.15">
      <c r="A82" s="10">
        <v>81</v>
      </c>
      <c r="B82" s="11" t="s">
        <v>9</v>
      </c>
      <c r="C82" s="11" t="s">
        <v>179</v>
      </c>
      <c r="D82" s="11" t="s">
        <v>180</v>
      </c>
      <c r="E82" s="9" t="str">
        <f>+HYPERLINK("http://trademark.i-assist.jp/data/china/image_1908th/78410818.pdf", "78410818")</f>
        <v>78410818</v>
      </c>
      <c r="F82" s="11" t="s">
        <v>458</v>
      </c>
      <c r="G82" s="11" t="s">
        <v>459</v>
      </c>
      <c r="H82" s="11" t="s">
        <v>460</v>
      </c>
      <c r="I82" s="11" t="s">
        <v>451</v>
      </c>
    </row>
    <row r="83" spans="1:9" x14ac:dyDescent="0.15">
      <c r="A83" s="10">
        <v>82</v>
      </c>
      <c r="B83" s="11" t="s">
        <v>9</v>
      </c>
      <c r="C83" s="11" t="s">
        <v>179</v>
      </c>
      <c r="D83" s="11" t="s">
        <v>180</v>
      </c>
      <c r="E83" s="9" t="str">
        <f>+HYPERLINK("http://trademark.i-assist.jp/data/china/image_1908th/78418905.pdf", "78418905")</f>
        <v>78418905</v>
      </c>
      <c r="F83" s="11" t="s">
        <v>461</v>
      </c>
      <c r="G83" s="11" t="s">
        <v>462</v>
      </c>
      <c r="H83" s="11" t="s">
        <v>463</v>
      </c>
      <c r="I83" s="11" t="s">
        <v>17</v>
      </c>
    </row>
    <row r="84" spans="1:9" x14ac:dyDescent="0.15">
      <c r="A84" s="10">
        <v>83</v>
      </c>
      <c r="B84" s="11" t="s">
        <v>9</v>
      </c>
      <c r="C84" s="11" t="s">
        <v>179</v>
      </c>
      <c r="D84" s="11" t="s">
        <v>180</v>
      </c>
      <c r="E84" s="9" t="str">
        <f>+HYPERLINK("http://trademark.i-assist.jp/data/china/image_1908th/78433382.pdf", "78433382")</f>
        <v>78433382</v>
      </c>
      <c r="F84" s="11" t="s">
        <v>464</v>
      </c>
      <c r="G84" s="11" t="s">
        <v>465</v>
      </c>
      <c r="H84" s="11" t="s">
        <v>466</v>
      </c>
      <c r="I84" s="11" t="s">
        <v>17</v>
      </c>
    </row>
    <row r="85" spans="1:9" x14ac:dyDescent="0.15">
      <c r="A85" s="10">
        <v>84</v>
      </c>
      <c r="B85" s="11" t="s">
        <v>9</v>
      </c>
      <c r="C85" s="11" t="s">
        <v>179</v>
      </c>
      <c r="D85" s="11" t="s">
        <v>180</v>
      </c>
      <c r="E85" s="9" t="str">
        <f>+HYPERLINK("http://trademark.i-assist.jp/data/china/image_1908th/78464735.pdf", "78464735")</f>
        <v>78464735</v>
      </c>
      <c r="F85" s="11" t="s">
        <v>10</v>
      </c>
      <c r="G85" s="11" t="s">
        <v>467</v>
      </c>
      <c r="H85" s="11" t="s">
        <v>468</v>
      </c>
      <c r="I85" s="11" t="s">
        <v>18</v>
      </c>
    </row>
    <row r="86" spans="1:9" x14ac:dyDescent="0.15">
      <c r="A86" s="10">
        <v>85</v>
      </c>
      <c r="B86" s="11" t="s">
        <v>9</v>
      </c>
      <c r="C86" s="11" t="s">
        <v>179</v>
      </c>
      <c r="D86" s="11" t="s">
        <v>180</v>
      </c>
      <c r="E86" s="9" t="str">
        <f>+HYPERLINK("http://trademark.i-assist.jp/data/china/image_1908th/78465349.pdf", "78465349")</f>
        <v>78465349</v>
      </c>
      <c r="F86" s="11" t="s">
        <v>469</v>
      </c>
      <c r="G86" s="11" t="s">
        <v>470</v>
      </c>
      <c r="H86" s="11" t="s">
        <v>471</v>
      </c>
      <c r="I86" s="11" t="s">
        <v>18</v>
      </c>
    </row>
    <row r="87" spans="1:9" x14ac:dyDescent="0.15">
      <c r="A87" s="10">
        <v>86</v>
      </c>
      <c r="B87" s="11" t="s">
        <v>9</v>
      </c>
      <c r="C87" s="11" t="s">
        <v>179</v>
      </c>
      <c r="D87" s="11" t="s">
        <v>180</v>
      </c>
      <c r="E87" s="9" t="str">
        <f>+HYPERLINK("http://trademark.i-assist.jp/data/china/image_1908th/78466801.pdf", "78466801")</f>
        <v>78466801</v>
      </c>
      <c r="F87" s="11" t="s">
        <v>472</v>
      </c>
      <c r="G87" s="11" t="s">
        <v>473</v>
      </c>
      <c r="H87" s="11" t="s">
        <v>474</v>
      </c>
      <c r="I87" s="11" t="s">
        <v>18</v>
      </c>
    </row>
    <row r="88" spans="1:9" x14ac:dyDescent="0.15">
      <c r="A88" s="10">
        <v>87</v>
      </c>
      <c r="B88" s="11" t="s">
        <v>9</v>
      </c>
      <c r="C88" s="11" t="s">
        <v>179</v>
      </c>
      <c r="D88" s="11" t="s">
        <v>180</v>
      </c>
      <c r="E88" s="9" t="str">
        <f>+HYPERLINK("http://trademark.i-assist.jp/data/china/image_1908th/78467411.pdf", "78467411")</f>
        <v>78467411</v>
      </c>
      <c r="F88" s="11" t="s">
        <v>475</v>
      </c>
      <c r="G88" s="11" t="s">
        <v>476</v>
      </c>
      <c r="H88" s="11" t="s">
        <v>477</v>
      </c>
      <c r="I88" s="11" t="s">
        <v>18</v>
      </c>
    </row>
    <row r="89" spans="1:9" x14ac:dyDescent="0.15">
      <c r="A89" s="10">
        <v>88</v>
      </c>
      <c r="B89" s="11" t="s">
        <v>9</v>
      </c>
      <c r="C89" s="11" t="s">
        <v>179</v>
      </c>
      <c r="D89" s="11" t="s">
        <v>180</v>
      </c>
      <c r="E89" s="9" t="str">
        <f>+HYPERLINK("http://trademark.i-assist.jp/data/china/image_1908th/78479850.pdf", "78479850")</f>
        <v>78479850</v>
      </c>
      <c r="F89" s="11" t="s">
        <v>478</v>
      </c>
      <c r="G89" s="11" t="s">
        <v>479</v>
      </c>
      <c r="H89" s="11" t="s">
        <v>480</v>
      </c>
      <c r="I89" s="11" t="s">
        <v>18</v>
      </c>
    </row>
    <row r="90" spans="1:9" x14ac:dyDescent="0.15">
      <c r="A90" s="10">
        <v>89</v>
      </c>
      <c r="B90" s="11" t="s">
        <v>9</v>
      </c>
      <c r="C90" s="11" t="s">
        <v>179</v>
      </c>
      <c r="D90" s="11" t="s">
        <v>180</v>
      </c>
      <c r="E90" s="9" t="str">
        <f>+HYPERLINK("http://trademark.i-assist.jp/data/china/image_1908th/78503737.pdf", "78503737")</f>
        <v>78503737</v>
      </c>
      <c r="F90" s="11" t="s">
        <v>481</v>
      </c>
      <c r="G90" s="11" t="s">
        <v>482</v>
      </c>
      <c r="H90" s="11" t="s">
        <v>483</v>
      </c>
      <c r="I90" s="11" t="s">
        <v>19</v>
      </c>
    </row>
    <row r="91" spans="1:9" x14ac:dyDescent="0.15">
      <c r="A91" s="10">
        <v>90</v>
      </c>
      <c r="B91" s="11" t="s">
        <v>9</v>
      </c>
      <c r="C91" s="11" t="s">
        <v>179</v>
      </c>
      <c r="D91" s="11" t="s">
        <v>180</v>
      </c>
      <c r="E91" s="9" t="str">
        <f>+HYPERLINK("http://trademark.i-assist.jp/data/china/image_1908th/78504625.pdf", "78504625")</f>
        <v>78504625</v>
      </c>
      <c r="F91" s="11" t="s">
        <v>10</v>
      </c>
      <c r="G91" s="11" t="s">
        <v>484</v>
      </c>
      <c r="H91" s="11" t="s">
        <v>485</v>
      </c>
      <c r="I91" s="11" t="s">
        <v>19</v>
      </c>
    </row>
    <row r="92" spans="1:9" x14ac:dyDescent="0.15">
      <c r="A92" s="10">
        <v>91</v>
      </c>
      <c r="B92" s="11" t="s">
        <v>9</v>
      </c>
      <c r="C92" s="11" t="s">
        <v>179</v>
      </c>
      <c r="D92" s="11" t="s">
        <v>180</v>
      </c>
      <c r="E92" s="9" t="str">
        <f>+HYPERLINK("http://trademark.i-assist.jp/data/china/image_1908th/78529526.pdf", "78529526")</f>
        <v>78529526</v>
      </c>
      <c r="F92" s="11" t="s">
        <v>486</v>
      </c>
      <c r="G92" s="11" t="s">
        <v>487</v>
      </c>
      <c r="H92" s="11" t="s">
        <v>488</v>
      </c>
      <c r="I92" s="11" t="s">
        <v>20</v>
      </c>
    </row>
    <row r="93" spans="1:9" x14ac:dyDescent="0.15">
      <c r="A93" s="10">
        <v>92</v>
      </c>
      <c r="B93" s="11" t="s">
        <v>9</v>
      </c>
      <c r="C93" s="11" t="s">
        <v>179</v>
      </c>
      <c r="D93" s="11" t="s">
        <v>180</v>
      </c>
      <c r="E93" s="9" t="str">
        <f>+HYPERLINK("http://trademark.i-assist.jp/data/china/image_1908th/78537946.pdf", "78537946")</f>
        <v>78537946</v>
      </c>
      <c r="F93" s="11" t="s">
        <v>489</v>
      </c>
      <c r="G93" s="11" t="s">
        <v>490</v>
      </c>
      <c r="H93" s="11" t="s">
        <v>491</v>
      </c>
      <c r="I93" s="11" t="s">
        <v>492</v>
      </c>
    </row>
    <row r="94" spans="1:9" x14ac:dyDescent="0.15">
      <c r="A94" s="10">
        <v>93</v>
      </c>
      <c r="B94" s="11" t="s">
        <v>9</v>
      </c>
      <c r="C94" s="11" t="s">
        <v>179</v>
      </c>
      <c r="D94" s="11" t="s">
        <v>180</v>
      </c>
      <c r="E94" s="9" t="str">
        <f>+HYPERLINK("http://trademark.i-assist.jp/data/china/image_1908th/78563134.pdf", "78563134")</f>
        <v>78563134</v>
      </c>
      <c r="F94" s="11" t="s">
        <v>493</v>
      </c>
      <c r="G94" s="11" t="s">
        <v>494</v>
      </c>
      <c r="H94" s="11" t="s">
        <v>495</v>
      </c>
      <c r="I94" s="11" t="s">
        <v>496</v>
      </c>
    </row>
    <row r="95" spans="1:9" x14ac:dyDescent="0.15">
      <c r="A95" s="10">
        <v>94</v>
      </c>
      <c r="B95" s="11" t="s">
        <v>9</v>
      </c>
      <c r="C95" s="11" t="s">
        <v>179</v>
      </c>
      <c r="D95" s="11" t="s">
        <v>180</v>
      </c>
      <c r="E95" s="9" t="str">
        <f>+HYPERLINK("http://trademark.i-assist.jp/data/china/image_1908th/78608826.pdf", "78608826")</f>
        <v>78608826</v>
      </c>
      <c r="F95" s="11" t="s">
        <v>497</v>
      </c>
      <c r="G95" s="11" t="s">
        <v>498</v>
      </c>
      <c r="H95" s="11" t="s">
        <v>499</v>
      </c>
      <c r="I95" s="11" t="s">
        <v>22</v>
      </c>
    </row>
    <row r="96" spans="1:9" x14ac:dyDescent="0.15">
      <c r="A96" s="10">
        <v>95</v>
      </c>
      <c r="B96" s="11" t="s">
        <v>9</v>
      </c>
      <c r="C96" s="11" t="s">
        <v>179</v>
      </c>
      <c r="D96" s="11" t="s">
        <v>180</v>
      </c>
      <c r="E96" s="9" t="str">
        <f>+HYPERLINK("http://trademark.i-assist.jp/data/china/image_1908th/78645444.pdf", "78645444")</f>
        <v>78645444</v>
      </c>
      <c r="F96" s="11" t="s">
        <v>500</v>
      </c>
      <c r="G96" s="11" t="s">
        <v>501</v>
      </c>
      <c r="H96" s="11" t="s">
        <v>502</v>
      </c>
      <c r="I96" s="11" t="s">
        <v>26</v>
      </c>
    </row>
    <row r="97" spans="1:9" x14ac:dyDescent="0.15">
      <c r="A97" s="10">
        <v>96</v>
      </c>
      <c r="B97" s="11" t="s">
        <v>9</v>
      </c>
      <c r="C97" s="11" t="s">
        <v>179</v>
      </c>
      <c r="D97" s="11" t="s">
        <v>180</v>
      </c>
      <c r="E97" s="9" t="str">
        <f>+HYPERLINK("http://trademark.i-assist.jp/data/china/image_1908th/78646418.pdf", "78646418")</f>
        <v>78646418</v>
      </c>
      <c r="F97" s="11" t="s">
        <v>503</v>
      </c>
      <c r="G97" s="11" t="s">
        <v>150</v>
      </c>
      <c r="H97" s="11" t="s">
        <v>504</v>
      </c>
      <c r="I97" s="11" t="s">
        <v>26</v>
      </c>
    </row>
    <row r="98" spans="1:9" x14ac:dyDescent="0.15">
      <c r="A98" s="10">
        <v>97</v>
      </c>
      <c r="B98" s="11" t="s">
        <v>9</v>
      </c>
      <c r="C98" s="11" t="s">
        <v>179</v>
      </c>
      <c r="D98" s="11" t="s">
        <v>180</v>
      </c>
      <c r="E98" s="9" t="str">
        <f>+HYPERLINK("http://trademark.i-assist.jp/data/china/image_1908th/78647437A.pdf", "78647437A")</f>
        <v>78647437A</v>
      </c>
      <c r="F98" s="11" t="s">
        <v>505</v>
      </c>
      <c r="G98" s="11" t="s">
        <v>506</v>
      </c>
      <c r="H98" s="11" t="s">
        <v>507</v>
      </c>
      <c r="I98" s="11" t="s">
        <v>26</v>
      </c>
    </row>
    <row r="99" spans="1:9" x14ac:dyDescent="0.15">
      <c r="A99" s="10">
        <v>98</v>
      </c>
      <c r="B99" s="11" t="s">
        <v>9</v>
      </c>
      <c r="C99" s="11" t="s">
        <v>179</v>
      </c>
      <c r="D99" s="11" t="s">
        <v>180</v>
      </c>
      <c r="E99" s="9" t="str">
        <f>+HYPERLINK("http://trademark.i-assist.jp/data/china/image_1908th/78650584.pdf", "78650584")</f>
        <v>78650584</v>
      </c>
      <c r="F99" s="11" t="s">
        <v>508</v>
      </c>
      <c r="G99" s="11" t="s">
        <v>509</v>
      </c>
      <c r="H99" s="11" t="s">
        <v>510</v>
      </c>
      <c r="I99" s="11" t="s">
        <v>27</v>
      </c>
    </row>
    <row r="100" spans="1:9" x14ac:dyDescent="0.15">
      <c r="A100" s="10">
        <v>99</v>
      </c>
      <c r="B100" s="11" t="s">
        <v>9</v>
      </c>
      <c r="C100" s="11" t="s">
        <v>179</v>
      </c>
      <c r="D100" s="11" t="s">
        <v>180</v>
      </c>
      <c r="E100" s="9" t="str">
        <f>+HYPERLINK("http://trademark.i-assist.jp/data/china/image_1908th/78662340.pdf", "78662340")</f>
        <v>78662340</v>
      </c>
      <c r="F100" s="11" t="s">
        <v>511</v>
      </c>
      <c r="G100" s="11" t="s">
        <v>512</v>
      </c>
      <c r="H100" s="11" t="s">
        <v>513</v>
      </c>
      <c r="I100" s="11" t="s">
        <v>27</v>
      </c>
    </row>
    <row r="101" spans="1:9" x14ac:dyDescent="0.15">
      <c r="A101" s="10">
        <v>100</v>
      </c>
      <c r="B101" s="11" t="s">
        <v>9</v>
      </c>
      <c r="C101" s="11" t="s">
        <v>179</v>
      </c>
      <c r="D101" s="11" t="s">
        <v>180</v>
      </c>
      <c r="E101" s="9" t="str">
        <f>+HYPERLINK("http://trademark.i-assist.jp/data/china/image_1908th/78668445.pdf", "78668445")</f>
        <v>78668445</v>
      </c>
      <c r="F101" s="11" t="s">
        <v>514</v>
      </c>
      <c r="G101" s="11" t="s">
        <v>515</v>
      </c>
      <c r="H101" s="11" t="s">
        <v>516</v>
      </c>
      <c r="I101" s="11" t="s">
        <v>27</v>
      </c>
    </row>
    <row r="102" spans="1:9" x14ac:dyDescent="0.15">
      <c r="A102" s="10">
        <v>101</v>
      </c>
      <c r="B102" s="11" t="s">
        <v>9</v>
      </c>
      <c r="C102" s="11" t="s">
        <v>179</v>
      </c>
      <c r="D102" s="11" t="s">
        <v>180</v>
      </c>
      <c r="E102" s="9" t="str">
        <f>+HYPERLINK("http://trademark.i-assist.jp/data/china/image_1908th/78696746.pdf", "78696746")</f>
        <v>78696746</v>
      </c>
      <c r="F102" s="11" t="s">
        <v>517</v>
      </c>
      <c r="G102" s="11" t="s">
        <v>518</v>
      </c>
      <c r="H102" s="11" t="s">
        <v>519</v>
      </c>
      <c r="I102" s="11" t="s">
        <v>92</v>
      </c>
    </row>
    <row r="103" spans="1:9" x14ac:dyDescent="0.15">
      <c r="A103" s="10">
        <v>102</v>
      </c>
      <c r="B103" s="11" t="s">
        <v>9</v>
      </c>
      <c r="C103" s="11" t="s">
        <v>179</v>
      </c>
      <c r="D103" s="11" t="s">
        <v>180</v>
      </c>
      <c r="E103" s="9" t="str">
        <f>+HYPERLINK("http://trademark.i-assist.jp/data/china/image_1908th/78701354.pdf", "78701354")</f>
        <v>78701354</v>
      </c>
      <c r="F103" s="11" t="s">
        <v>520</v>
      </c>
      <c r="G103" s="11" t="s">
        <v>521</v>
      </c>
      <c r="H103" s="11" t="s">
        <v>522</v>
      </c>
      <c r="I103" s="11" t="s">
        <v>92</v>
      </c>
    </row>
    <row r="104" spans="1:9" x14ac:dyDescent="0.15">
      <c r="A104" s="10">
        <v>103</v>
      </c>
      <c r="B104" s="11" t="s">
        <v>9</v>
      </c>
      <c r="C104" s="11" t="s">
        <v>179</v>
      </c>
      <c r="D104" s="11" t="s">
        <v>180</v>
      </c>
      <c r="E104" s="9" t="str">
        <f>+HYPERLINK("http://trademark.i-assist.jp/data/china/image_1908th/78715960.pdf", "78715960")</f>
        <v>78715960</v>
      </c>
      <c r="F104" s="11" t="s">
        <v>523</v>
      </c>
      <c r="G104" s="11" t="s">
        <v>524</v>
      </c>
      <c r="H104" s="11" t="s">
        <v>525</v>
      </c>
      <c r="I104" s="11" t="s">
        <v>92</v>
      </c>
    </row>
    <row r="105" spans="1:9" x14ac:dyDescent="0.15">
      <c r="A105" s="10">
        <v>104</v>
      </c>
      <c r="B105" s="11" t="s">
        <v>9</v>
      </c>
      <c r="C105" s="11" t="s">
        <v>179</v>
      </c>
      <c r="D105" s="11" t="s">
        <v>180</v>
      </c>
      <c r="E105" s="9" t="str">
        <f>+HYPERLINK("http://trademark.i-assist.jp/data/china/image_1908th/78717218.pdf", "78717218")</f>
        <v>78717218</v>
      </c>
      <c r="F105" s="11" t="s">
        <v>526</v>
      </c>
      <c r="G105" s="11" t="s">
        <v>527</v>
      </c>
      <c r="H105" s="11" t="s">
        <v>528</v>
      </c>
      <c r="I105" s="11" t="s">
        <v>529</v>
      </c>
    </row>
    <row r="106" spans="1:9" x14ac:dyDescent="0.15">
      <c r="A106" s="10">
        <v>105</v>
      </c>
      <c r="B106" s="11" t="s">
        <v>9</v>
      </c>
      <c r="C106" s="11" t="s">
        <v>179</v>
      </c>
      <c r="D106" s="11" t="s">
        <v>180</v>
      </c>
      <c r="E106" s="9" t="str">
        <f>+HYPERLINK("http://trademark.i-assist.jp/data/china/image_1908th/78741714.pdf", "78741714")</f>
        <v>78741714</v>
      </c>
      <c r="F106" s="11" t="s">
        <v>530</v>
      </c>
      <c r="G106" s="11" t="s">
        <v>531</v>
      </c>
      <c r="H106" s="11" t="s">
        <v>532</v>
      </c>
      <c r="I106" s="11" t="s">
        <v>529</v>
      </c>
    </row>
    <row r="107" spans="1:9" x14ac:dyDescent="0.15">
      <c r="A107" s="10">
        <v>106</v>
      </c>
      <c r="B107" s="11" t="s">
        <v>9</v>
      </c>
      <c r="C107" s="11" t="s">
        <v>179</v>
      </c>
      <c r="D107" s="11" t="s">
        <v>180</v>
      </c>
      <c r="E107" s="9" t="str">
        <f>+HYPERLINK("http://trademark.i-assist.jp/data/china/image_1908th/78746624.pdf", "78746624")</f>
        <v>78746624</v>
      </c>
      <c r="F107" s="11" t="s">
        <v>533</v>
      </c>
      <c r="G107" s="11" t="s">
        <v>534</v>
      </c>
      <c r="H107" s="11" t="s">
        <v>535</v>
      </c>
      <c r="I107" s="11" t="s">
        <v>28</v>
      </c>
    </row>
    <row r="108" spans="1:9" x14ac:dyDescent="0.15">
      <c r="A108" s="10">
        <v>107</v>
      </c>
      <c r="B108" s="11" t="s">
        <v>9</v>
      </c>
      <c r="C108" s="11" t="s">
        <v>179</v>
      </c>
      <c r="D108" s="11" t="s">
        <v>180</v>
      </c>
      <c r="E108" s="9" t="str">
        <f>+HYPERLINK("http://trademark.i-assist.jp/data/china/image_1908th/78748512.pdf", "78748512")</f>
        <v>78748512</v>
      </c>
      <c r="F108" s="11" t="s">
        <v>536</v>
      </c>
      <c r="G108" s="11" t="s">
        <v>537</v>
      </c>
      <c r="H108" s="11" t="s">
        <v>538</v>
      </c>
      <c r="I108" s="11" t="s">
        <v>28</v>
      </c>
    </row>
    <row r="109" spans="1:9" x14ac:dyDescent="0.15">
      <c r="A109" s="10">
        <v>108</v>
      </c>
      <c r="B109" s="11" t="s">
        <v>9</v>
      </c>
      <c r="C109" s="11" t="s">
        <v>179</v>
      </c>
      <c r="D109" s="11" t="s">
        <v>180</v>
      </c>
      <c r="E109" s="9" t="str">
        <f>+HYPERLINK("http://trademark.i-assist.jp/data/china/image_1908th/78767528.pdf", "78767528")</f>
        <v>78767528</v>
      </c>
      <c r="F109" s="11" t="s">
        <v>10</v>
      </c>
      <c r="G109" s="11" t="s">
        <v>539</v>
      </c>
      <c r="H109" s="11" t="s">
        <v>540</v>
      </c>
      <c r="I109" s="11" t="s">
        <v>28</v>
      </c>
    </row>
    <row r="110" spans="1:9" x14ac:dyDescent="0.15">
      <c r="A110" s="10">
        <v>109</v>
      </c>
      <c r="B110" s="11" t="s">
        <v>9</v>
      </c>
      <c r="C110" s="11" t="s">
        <v>179</v>
      </c>
      <c r="D110" s="11" t="s">
        <v>180</v>
      </c>
      <c r="E110" s="9" t="str">
        <f>+HYPERLINK("http://trademark.i-assist.jp/data/china/image_1908th/78769944.pdf", "78769944")</f>
        <v>78769944</v>
      </c>
      <c r="F110" s="11" t="s">
        <v>541</v>
      </c>
      <c r="G110" s="11" t="s">
        <v>542</v>
      </c>
      <c r="H110" s="11" t="s">
        <v>543</v>
      </c>
      <c r="I110" s="11" t="s">
        <v>28</v>
      </c>
    </row>
    <row r="111" spans="1:9" x14ac:dyDescent="0.15">
      <c r="A111" s="10">
        <v>110</v>
      </c>
      <c r="B111" s="11" t="s">
        <v>9</v>
      </c>
      <c r="C111" s="11" t="s">
        <v>179</v>
      </c>
      <c r="D111" s="11" t="s">
        <v>180</v>
      </c>
      <c r="E111" s="9" t="str">
        <f>+HYPERLINK("http://trademark.i-assist.jp/data/china/image_1908th/78772597.pdf", "78772597")</f>
        <v>78772597</v>
      </c>
      <c r="F111" s="11" t="s">
        <v>544</v>
      </c>
      <c r="G111" s="11" t="s">
        <v>545</v>
      </c>
      <c r="H111" s="11" t="s">
        <v>546</v>
      </c>
      <c r="I111" s="11" t="s">
        <v>28</v>
      </c>
    </row>
    <row r="112" spans="1:9" x14ac:dyDescent="0.15">
      <c r="A112" s="10">
        <v>111</v>
      </c>
      <c r="B112" s="11" t="s">
        <v>9</v>
      </c>
      <c r="C112" s="11" t="s">
        <v>179</v>
      </c>
      <c r="D112" s="11" t="s">
        <v>180</v>
      </c>
      <c r="E112" s="9" t="str">
        <f>+HYPERLINK("http://trademark.i-assist.jp/data/china/image_1908th/78791192.pdf", "78791192")</f>
        <v>78791192</v>
      </c>
      <c r="F112" s="11" t="s">
        <v>10</v>
      </c>
      <c r="G112" s="11" t="s">
        <v>94</v>
      </c>
      <c r="H112" s="11" t="s">
        <v>547</v>
      </c>
      <c r="I112" s="11" t="s">
        <v>29</v>
      </c>
    </row>
    <row r="113" spans="1:9" x14ac:dyDescent="0.15">
      <c r="A113" s="10">
        <v>112</v>
      </c>
      <c r="B113" s="11" t="s">
        <v>9</v>
      </c>
      <c r="C113" s="11" t="s">
        <v>179</v>
      </c>
      <c r="D113" s="11" t="s">
        <v>180</v>
      </c>
      <c r="E113" s="9" t="str">
        <f>+HYPERLINK("http://trademark.i-assist.jp/data/china/image_1908th/78797062.pdf", "78797062")</f>
        <v>78797062</v>
      </c>
      <c r="F113" s="11" t="s">
        <v>548</v>
      </c>
      <c r="G113" s="11" t="s">
        <v>549</v>
      </c>
      <c r="H113" s="11" t="s">
        <v>550</v>
      </c>
      <c r="I113" s="11" t="s">
        <v>29</v>
      </c>
    </row>
    <row r="114" spans="1:9" x14ac:dyDescent="0.15">
      <c r="A114" s="10">
        <v>113</v>
      </c>
      <c r="B114" s="11" t="s">
        <v>9</v>
      </c>
      <c r="C114" s="11" t="s">
        <v>179</v>
      </c>
      <c r="D114" s="11" t="s">
        <v>180</v>
      </c>
      <c r="E114" s="9" t="str">
        <f>+HYPERLINK("http://trademark.i-assist.jp/data/china/image_1908th/78811501.pdf", "78811501")</f>
        <v>78811501</v>
      </c>
      <c r="F114" s="11" t="s">
        <v>551</v>
      </c>
      <c r="G114" s="11" t="s">
        <v>552</v>
      </c>
      <c r="H114" s="11" t="s">
        <v>553</v>
      </c>
      <c r="I114" s="11" t="s">
        <v>554</v>
      </c>
    </row>
    <row r="115" spans="1:9" x14ac:dyDescent="0.15">
      <c r="A115" s="10">
        <v>114</v>
      </c>
      <c r="B115" s="11" t="s">
        <v>9</v>
      </c>
      <c r="C115" s="11" t="s">
        <v>179</v>
      </c>
      <c r="D115" s="11" t="s">
        <v>180</v>
      </c>
      <c r="E115" s="9" t="str">
        <f>+HYPERLINK("http://trademark.i-assist.jp/data/china/image_1908th/78830676.pdf", "78830676")</f>
        <v>78830676</v>
      </c>
      <c r="F115" s="11" t="s">
        <v>555</v>
      </c>
      <c r="G115" s="11" t="s">
        <v>556</v>
      </c>
      <c r="H115" s="11" t="s">
        <v>557</v>
      </c>
      <c r="I115" s="11" t="s">
        <v>31</v>
      </c>
    </row>
    <row r="116" spans="1:9" x14ac:dyDescent="0.15">
      <c r="A116" s="10">
        <v>115</v>
      </c>
      <c r="B116" s="11" t="s">
        <v>9</v>
      </c>
      <c r="C116" s="11" t="s">
        <v>179</v>
      </c>
      <c r="D116" s="11" t="s">
        <v>180</v>
      </c>
      <c r="E116" s="9" t="str">
        <f>+HYPERLINK("http://trademark.i-assist.jp/data/china/image_1908th/78832410A.pdf", "78832410A")</f>
        <v>78832410A</v>
      </c>
      <c r="F116" s="11" t="s">
        <v>558</v>
      </c>
      <c r="G116" s="11" t="s">
        <v>559</v>
      </c>
      <c r="H116" s="11" t="s">
        <v>560</v>
      </c>
      <c r="I116" s="11" t="s">
        <v>31</v>
      </c>
    </row>
    <row r="117" spans="1:9" x14ac:dyDescent="0.15">
      <c r="A117" s="10">
        <v>116</v>
      </c>
      <c r="B117" s="11" t="s">
        <v>9</v>
      </c>
      <c r="C117" s="11" t="s">
        <v>179</v>
      </c>
      <c r="D117" s="11" t="s">
        <v>180</v>
      </c>
      <c r="E117" s="9" t="str">
        <f>+HYPERLINK("http://trademark.i-assist.jp/data/china/image_1908th/78842689.pdf", "78842689")</f>
        <v>78842689</v>
      </c>
      <c r="F117" s="11" t="s">
        <v>561</v>
      </c>
      <c r="G117" s="11" t="s">
        <v>562</v>
      </c>
      <c r="H117" s="11" t="s">
        <v>563</v>
      </c>
      <c r="I117" s="11" t="s">
        <v>32</v>
      </c>
    </row>
    <row r="118" spans="1:9" x14ac:dyDescent="0.15">
      <c r="A118" s="10">
        <v>117</v>
      </c>
      <c r="B118" s="11" t="s">
        <v>9</v>
      </c>
      <c r="C118" s="11" t="s">
        <v>179</v>
      </c>
      <c r="D118" s="11" t="s">
        <v>180</v>
      </c>
      <c r="E118" s="9" t="str">
        <f>+HYPERLINK("http://trademark.i-assist.jp/data/china/image_1908th/78863069.pdf", "78863069")</f>
        <v>78863069</v>
      </c>
      <c r="F118" s="11" t="s">
        <v>564</v>
      </c>
      <c r="G118" s="11" t="s">
        <v>565</v>
      </c>
      <c r="H118" s="11" t="s">
        <v>566</v>
      </c>
      <c r="I118" s="11" t="s">
        <v>32</v>
      </c>
    </row>
    <row r="119" spans="1:9" x14ac:dyDescent="0.15">
      <c r="A119" s="10">
        <v>118</v>
      </c>
      <c r="B119" s="11" t="s">
        <v>9</v>
      </c>
      <c r="C119" s="11" t="s">
        <v>179</v>
      </c>
      <c r="D119" s="11" t="s">
        <v>180</v>
      </c>
      <c r="E119" s="9" t="str">
        <f>+HYPERLINK("http://trademark.i-assist.jp/data/china/image_1908th/78868506.pdf", "78868506")</f>
        <v>78868506</v>
      </c>
      <c r="F119" s="11" t="s">
        <v>567</v>
      </c>
      <c r="G119" s="11" t="s">
        <v>568</v>
      </c>
      <c r="H119" s="11" t="s">
        <v>569</v>
      </c>
      <c r="I119" s="11" t="s">
        <v>23</v>
      </c>
    </row>
    <row r="120" spans="1:9" x14ac:dyDescent="0.15">
      <c r="A120" s="10">
        <v>119</v>
      </c>
      <c r="B120" s="11" t="s">
        <v>9</v>
      </c>
      <c r="C120" s="11" t="s">
        <v>179</v>
      </c>
      <c r="D120" s="11" t="s">
        <v>180</v>
      </c>
      <c r="E120" s="9" t="str">
        <f>+HYPERLINK("http://trademark.i-assist.jp/data/china/image_1908th/78869118.pdf", "78869118")</f>
        <v>78869118</v>
      </c>
      <c r="F120" s="11" t="s">
        <v>570</v>
      </c>
      <c r="G120" s="11" t="s">
        <v>571</v>
      </c>
      <c r="H120" s="11" t="s">
        <v>572</v>
      </c>
      <c r="I120" s="11" t="s">
        <v>23</v>
      </c>
    </row>
    <row r="121" spans="1:9" x14ac:dyDescent="0.15">
      <c r="A121" s="10">
        <v>120</v>
      </c>
      <c r="B121" s="11" t="s">
        <v>9</v>
      </c>
      <c r="C121" s="11" t="s">
        <v>179</v>
      </c>
      <c r="D121" s="11" t="s">
        <v>180</v>
      </c>
      <c r="E121" s="9" t="str">
        <f>+HYPERLINK("http://trademark.i-assist.jp/data/china/image_1908th/78869891.pdf", "78869891")</f>
        <v>78869891</v>
      </c>
      <c r="F121" s="11" t="s">
        <v>573</v>
      </c>
      <c r="G121" s="11" t="s">
        <v>574</v>
      </c>
      <c r="H121" s="11" t="s">
        <v>575</v>
      </c>
      <c r="I121" s="11" t="s">
        <v>23</v>
      </c>
    </row>
    <row r="122" spans="1:9" x14ac:dyDescent="0.15">
      <c r="A122" s="10">
        <v>121</v>
      </c>
      <c r="B122" s="11" t="s">
        <v>9</v>
      </c>
      <c r="C122" s="11" t="s">
        <v>179</v>
      </c>
      <c r="D122" s="11" t="s">
        <v>180</v>
      </c>
      <c r="E122" s="9" t="str">
        <f>+HYPERLINK("http://trademark.i-assist.jp/data/china/image_1908th/78876998.pdf", "78876998")</f>
        <v>78876998</v>
      </c>
      <c r="F122" s="11" t="s">
        <v>576</v>
      </c>
      <c r="G122" s="11" t="s">
        <v>577</v>
      </c>
      <c r="H122" s="11" t="s">
        <v>578</v>
      </c>
      <c r="I122" s="11" t="s">
        <v>23</v>
      </c>
    </row>
    <row r="123" spans="1:9" x14ac:dyDescent="0.15">
      <c r="A123" s="10">
        <v>122</v>
      </c>
      <c r="B123" s="11" t="s">
        <v>9</v>
      </c>
      <c r="C123" s="11" t="s">
        <v>179</v>
      </c>
      <c r="D123" s="11" t="s">
        <v>180</v>
      </c>
      <c r="E123" s="9" t="str">
        <f>+HYPERLINK("http://trademark.i-assist.jp/data/china/image_1908th/78878840.pdf", "78878840")</f>
        <v>78878840</v>
      </c>
      <c r="F123" s="11" t="s">
        <v>579</v>
      </c>
      <c r="G123" s="11" t="s">
        <v>577</v>
      </c>
      <c r="H123" s="11" t="s">
        <v>580</v>
      </c>
      <c r="I123" s="11" t="s">
        <v>23</v>
      </c>
    </row>
    <row r="124" spans="1:9" x14ac:dyDescent="0.15">
      <c r="A124" s="10">
        <v>123</v>
      </c>
      <c r="B124" s="11" t="s">
        <v>9</v>
      </c>
      <c r="C124" s="11" t="s">
        <v>179</v>
      </c>
      <c r="D124" s="11" t="s">
        <v>180</v>
      </c>
      <c r="E124" s="9" t="str">
        <f>+HYPERLINK("http://trademark.i-assist.jp/data/china/image_1908th/78880024.pdf", "78880024")</f>
        <v>78880024</v>
      </c>
      <c r="F124" s="11" t="s">
        <v>581</v>
      </c>
      <c r="G124" s="11" t="s">
        <v>582</v>
      </c>
      <c r="H124" s="11" t="s">
        <v>583</v>
      </c>
      <c r="I124" s="11" t="s">
        <v>23</v>
      </c>
    </row>
    <row r="125" spans="1:9" x14ac:dyDescent="0.15">
      <c r="A125" s="10">
        <v>124</v>
      </c>
      <c r="B125" s="11" t="s">
        <v>9</v>
      </c>
      <c r="C125" s="11" t="s">
        <v>179</v>
      </c>
      <c r="D125" s="11" t="s">
        <v>180</v>
      </c>
      <c r="E125" s="9" t="str">
        <f>+HYPERLINK("http://trademark.i-assist.jp/data/china/image_1908th/78882710A.pdf", "78882710A")</f>
        <v>78882710A</v>
      </c>
      <c r="F125" s="11" t="s">
        <v>584</v>
      </c>
      <c r="G125" s="11" t="s">
        <v>585</v>
      </c>
      <c r="H125" s="11" t="s">
        <v>586</v>
      </c>
      <c r="I125" s="11" t="s">
        <v>23</v>
      </c>
    </row>
    <row r="126" spans="1:9" x14ac:dyDescent="0.15">
      <c r="A126" s="10">
        <v>125</v>
      </c>
      <c r="B126" s="11" t="s">
        <v>9</v>
      </c>
      <c r="C126" s="11" t="s">
        <v>179</v>
      </c>
      <c r="D126" s="11" t="s">
        <v>180</v>
      </c>
      <c r="E126" s="9" t="str">
        <f>+HYPERLINK("http://trademark.i-assist.jp/data/china/image_1908th/78888373.pdf", "78888373")</f>
        <v>78888373</v>
      </c>
      <c r="F126" s="11" t="s">
        <v>587</v>
      </c>
      <c r="G126" s="11" t="s">
        <v>571</v>
      </c>
      <c r="H126" s="11" t="s">
        <v>588</v>
      </c>
      <c r="I126" s="11" t="s">
        <v>23</v>
      </c>
    </row>
    <row r="127" spans="1:9" x14ac:dyDescent="0.15">
      <c r="A127" s="10">
        <v>126</v>
      </c>
      <c r="B127" s="11" t="s">
        <v>9</v>
      </c>
      <c r="C127" s="11" t="s">
        <v>179</v>
      </c>
      <c r="D127" s="11" t="s">
        <v>180</v>
      </c>
      <c r="E127" s="9" t="str">
        <f>+HYPERLINK("http://trademark.i-assist.jp/data/china/image_1908th/78888912.pdf", "78888912")</f>
        <v>78888912</v>
      </c>
      <c r="F127" s="11" t="s">
        <v>10</v>
      </c>
      <c r="G127" s="11" t="s">
        <v>589</v>
      </c>
      <c r="H127" s="11" t="s">
        <v>590</v>
      </c>
      <c r="I127" s="11" t="s">
        <v>23</v>
      </c>
    </row>
    <row r="128" spans="1:9" x14ac:dyDescent="0.15">
      <c r="A128" s="10">
        <v>127</v>
      </c>
      <c r="B128" s="11" t="s">
        <v>9</v>
      </c>
      <c r="C128" s="11" t="s">
        <v>179</v>
      </c>
      <c r="D128" s="11" t="s">
        <v>180</v>
      </c>
      <c r="E128" s="9" t="str">
        <f>+HYPERLINK("http://trademark.i-assist.jp/data/china/image_1908th/78898555.pdf", "78898555")</f>
        <v>78898555</v>
      </c>
      <c r="F128" s="11" t="s">
        <v>591</v>
      </c>
      <c r="G128" s="11" t="s">
        <v>592</v>
      </c>
      <c r="H128" s="11" t="s">
        <v>593</v>
      </c>
      <c r="I128" s="11" t="s">
        <v>33</v>
      </c>
    </row>
    <row r="129" spans="1:9" x14ac:dyDescent="0.15">
      <c r="A129" s="10">
        <v>128</v>
      </c>
      <c r="B129" s="11" t="s">
        <v>9</v>
      </c>
      <c r="C129" s="11" t="s">
        <v>179</v>
      </c>
      <c r="D129" s="11" t="s">
        <v>180</v>
      </c>
      <c r="E129" s="9" t="str">
        <f>+HYPERLINK("http://trademark.i-assist.jp/data/china/image_1908th/78904846.pdf", "78904846")</f>
        <v>78904846</v>
      </c>
      <c r="F129" s="11" t="s">
        <v>594</v>
      </c>
      <c r="G129" s="11" t="s">
        <v>595</v>
      </c>
      <c r="H129" s="11" t="s">
        <v>596</v>
      </c>
      <c r="I129" s="11" t="s">
        <v>33</v>
      </c>
    </row>
    <row r="130" spans="1:9" x14ac:dyDescent="0.15">
      <c r="A130" s="10">
        <v>129</v>
      </c>
      <c r="B130" s="11" t="s">
        <v>9</v>
      </c>
      <c r="C130" s="11" t="s">
        <v>179</v>
      </c>
      <c r="D130" s="11" t="s">
        <v>180</v>
      </c>
      <c r="E130" s="9" t="str">
        <f>+HYPERLINK("http://trademark.i-assist.jp/data/china/image_1908th/78906283.pdf", "78906283")</f>
        <v>78906283</v>
      </c>
      <c r="F130" s="11" t="s">
        <v>597</v>
      </c>
      <c r="G130" s="11" t="s">
        <v>592</v>
      </c>
      <c r="H130" s="11" t="s">
        <v>598</v>
      </c>
      <c r="I130" s="11" t="s">
        <v>33</v>
      </c>
    </row>
    <row r="131" spans="1:9" x14ac:dyDescent="0.15">
      <c r="A131" s="10">
        <v>130</v>
      </c>
      <c r="B131" s="11" t="s">
        <v>9</v>
      </c>
      <c r="C131" s="11" t="s">
        <v>179</v>
      </c>
      <c r="D131" s="11" t="s">
        <v>180</v>
      </c>
      <c r="E131" s="9" t="str">
        <f>+HYPERLINK("http://trademark.i-assist.jp/data/china/image_1908th/78914923.pdf", "78914923")</f>
        <v>78914923</v>
      </c>
      <c r="F131" s="11" t="s">
        <v>599</v>
      </c>
      <c r="G131" s="11" t="s">
        <v>600</v>
      </c>
      <c r="H131" s="11" t="s">
        <v>601</v>
      </c>
      <c r="I131" s="11" t="s">
        <v>33</v>
      </c>
    </row>
    <row r="132" spans="1:9" x14ac:dyDescent="0.15">
      <c r="A132" s="10">
        <v>131</v>
      </c>
      <c r="B132" s="11" t="s">
        <v>9</v>
      </c>
      <c r="C132" s="11" t="s">
        <v>179</v>
      </c>
      <c r="D132" s="11" t="s">
        <v>180</v>
      </c>
      <c r="E132" s="9" t="str">
        <f>+HYPERLINK("http://trademark.i-assist.jp/data/china/image_1908th/78915745.pdf", "78915745")</f>
        <v>78915745</v>
      </c>
      <c r="F132" s="11" t="s">
        <v>602</v>
      </c>
      <c r="G132" s="11" t="s">
        <v>603</v>
      </c>
      <c r="H132" s="11" t="s">
        <v>604</v>
      </c>
      <c r="I132" s="11" t="s">
        <v>33</v>
      </c>
    </row>
    <row r="133" spans="1:9" x14ac:dyDescent="0.15">
      <c r="A133" s="10">
        <v>132</v>
      </c>
      <c r="B133" s="11" t="s">
        <v>9</v>
      </c>
      <c r="C133" s="11" t="s">
        <v>179</v>
      </c>
      <c r="D133" s="11" t="s">
        <v>180</v>
      </c>
      <c r="E133" s="9" t="str">
        <f>+HYPERLINK("http://trademark.i-assist.jp/data/china/image_1908th/78917803.pdf", "78917803")</f>
        <v>78917803</v>
      </c>
      <c r="F133" s="11" t="s">
        <v>594</v>
      </c>
      <c r="G133" s="11" t="s">
        <v>595</v>
      </c>
      <c r="H133" s="11" t="s">
        <v>605</v>
      </c>
      <c r="I133" s="11" t="s">
        <v>33</v>
      </c>
    </row>
    <row r="134" spans="1:9" x14ac:dyDescent="0.15">
      <c r="A134" s="10">
        <v>133</v>
      </c>
      <c r="B134" s="11" t="s">
        <v>9</v>
      </c>
      <c r="C134" s="11" t="s">
        <v>179</v>
      </c>
      <c r="D134" s="11" t="s">
        <v>180</v>
      </c>
      <c r="E134" s="9" t="str">
        <f>+HYPERLINK("http://trademark.i-assist.jp/data/china/image_1908th/78917806.pdf", "78917806")</f>
        <v>78917806</v>
      </c>
      <c r="F134" s="11" t="s">
        <v>606</v>
      </c>
      <c r="G134" s="11" t="s">
        <v>595</v>
      </c>
      <c r="H134" s="11" t="s">
        <v>607</v>
      </c>
      <c r="I134" s="11" t="s">
        <v>33</v>
      </c>
    </row>
    <row r="135" spans="1:9" x14ac:dyDescent="0.15">
      <c r="A135" s="10">
        <v>134</v>
      </c>
      <c r="B135" s="11" t="s">
        <v>9</v>
      </c>
      <c r="C135" s="11" t="s">
        <v>179</v>
      </c>
      <c r="D135" s="11" t="s">
        <v>180</v>
      </c>
      <c r="E135" s="9" t="str">
        <f>+HYPERLINK("http://trademark.i-assist.jp/data/china/image_1908th/78920688A.pdf", "78920688A")</f>
        <v>78920688A</v>
      </c>
      <c r="F135" s="11" t="s">
        <v>608</v>
      </c>
      <c r="G135" s="11" t="s">
        <v>609</v>
      </c>
      <c r="H135" s="11" t="s">
        <v>610</v>
      </c>
      <c r="I135" s="11" t="s">
        <v>34</v>
      </c>
    </row>
    <row r="136" spans="1:9" x14ac:dyDescent="0.15">
      <c r="A136" s="10">
        <v>135</v>
      </c>
      <c r="B136" s="11" t="s">
        <v>9</v>
      </c>
      <c r="C136" s="11" t="s">
        <v>179</v>
      </c>
      <c r="D136" s="11" t="s">
        <v>180</v>
      </c>
      <c r="E136" s="9" t="str">
        <f>+HYPERLINK("http://trademark.i-assist.jp/data/china/image_1908th/78927952.pdf", "78927952")</f>
        <v>78927952</v>
      </c>
      <c r="F136" s="11" t="s">
        <v>611</v>
      </c>
      <c r="G136" s="11" t="s">
        <v>612</v>
      </c>
      <c r="H136" s="11" t="s">
        <v>613</v>
      </c>
      <c r="I136" s="11" t="s">
        <v>34</v>
      </c>
    </row>
    <row r="137" spans="1:9" x14ac:dyDescent="0.15">
      <c r="A137" s="10">
        <v>136</v>
      </c>
      <c r="B137" s="11" t="s">
        <v>9</v>
      </c>
      <c r="C137" s="11" t="s">
        <v>179</v>
      </c>
      <c r="D137" s="11" t="s">
        <v>180</v>
      </c>
      <c r="E137" s="9" t="str">
        <f>+HYPERLINK("http://trademark.i-assist.jp/data/china/image_1908th/78960841.pdf", "78960841")</f>
        <v>78960841</v>
      </c>
      <c r="F137" s="11" t="s">
        <v>614</v>
      </c>
      <c r="G137" s="11" t="s">
        <v>615</v>
      </c>
      <c r="H137" s="11" t="s">
        <v>616</v>
      </c>
      <c r="I137" s="11" t="s">
        <v>35</v>
      </c>
    </row>
    <row r="138" spans="1:9" x14ac:dyDescent="0.15">
      <c r="A138" s="10">
        <v>137</v>
      </c>
      <c r="B138" s="11" t="s">
        <v>9</v>
      </c>
      <c r="C138" s="11" t="s">
        <v>179</v>
      </c>
      <c r="D138" s="11" t="s">
        <v>180</v>
      </c>
      <c r="E138" s="9" t="str">
        <f>+HYPERLINK("http://trademark.i-assist.jp/data/china/image_1908th/78967578.pdf", "78967578")</f>
        <v>78967578</v>
      </c>
      <c r="F138" s="11" t="s">
        <v>617</v>
      </c>
      <c r="G138" s="11" t="s">
        <v>618</v>
      </c>
      <c r="H138" s="11" t="s">
        <v>619</v>
      </c>
      <c r="I138" s="11" t="s">
        <v>35</v>
      </c>
    </row>
    <row r="139" spans="1:9" x14ac:dyDescent="0.15">
      <c r="A139" s="10">
        <v>138</v>
      </c>
      <c r="B139" s="11" t="s">
        <v>9</v>
      </c>
      <c r="C139" s="11" t="s">
        <v>179</v>
      </c>
      <c r="D139" s="11" t="s">
        <v>180</v>
      </c>
      <c r="E139" s="9" t="str">
        <f>+HYPERLINK("http://trademark.i-assist.jp/data/china/image_1908th/78968094.pdf", "78968094")</f>
        <v>78968094</v>
      </c>
      <c r="F139" s="11" t="s">
        <v>620</v>
      </c>
      <c r="G139" s="11" t="s">
        <v>621</v>
      </c>
      <c r="H139" s="11" t="s">
        <v>622</v>
      </c>
      <c r="I139" s="11" t="s">
        <v>35</v>
      </c>
    </row>
    <row r="140" spans="1:9" x14ac:dyDescent="0.15">
      <c r="A140" s="10">
        <v>139</v>
      </c>
      <c r="B140" s="11" t="s">
        <v>9</v>
      </c>
      <c r="C140" s="11" t="s">
        <v>179</v>
      </c>
      <c r="D140" s="11" t="s">
        <v>180</v>
      </c>
      <c r="E140" s="9" t="str">
        <f>+HYPERLINK("http://trademark.i-assist.jp/data/china/image_1908th/78969440.pdf", "78969440")</f>
        <v>78969440</v>
      </c>
      <c r="F140" s="11" t="s">
        <v>623</v>
      </c>
      <c r="G140" s="11" t="s">
        <v>624</v>
      </c>
      <c r="H140" s="11" t="s">
        <v>625</v>
      </c>
      <c r="I140" s="11" t="s">
        <v>35</v>
      </c>
    </row>
    <row r="141" spans="1:9" x14ac:dyDescent="0.15">
      <c r="A141" s="10">
        <v>140</v>
      </c>
      <c r="B141" s="11" t="s">
        <v>9</v>
      </c>
      <c r="C141" s="11" t="s">
        <v>179</v>
      </c>
      <c r="D141" s="11" t="s">
        <v>180</v>
      </c>
      <c r="E141" s="9" t="str">
        <f>+HYPERLINK("http://trademark.i-assist.jp/data/china/image_1908th/78970752.pdf", "78970752")</f>
        <v>78970752</v>
      </c>
      <c r="F141" s="11" t="s">
        <v>626</v>
      </c>
      <c r="G141" s="11" t="s">
        <v>618</v>
      </c>
      <c r="H141" s="11" t="s">
        <v>627</v>
      </c>
      <c r="I141" s="11" t="s">
        <v>35</v>
      </c>
    </row>
    <row r="142" spans="1:9" x14ac:dyDescent="0.15">
      <c r="A142" s="10">
        <v>141</v>
      </c>
      <c r="B142" s="11" t="s">
        <v>9</v>
      </c>
      <c r="C142" s="11" t="s">
        <v>179</v>
      </c>
      <c r="D142" s="11" t="s">
        <v>180</v>
      </c>
      <c r="E142" s="9" t="str">
        <f>+HYPERLINK("http://trademark.i-assist.jp/data/china/image_1908th/78977682.pdf", "78977682")</f>
        <v>78977682</v>
      </c>
      <c r="F142" s="11" t="s">
        <v>628</v>
      </c>
      <c r="G142" s="11" t="s">
        <v>629</v>
      </c>
      <c r="H142" s="11" t="s">
        <v>630</v>
      </c>
      <c r="I142" s="11" t="s">
        <v>631</v>
      </c>
    </row>
    <row r="143" spans="1:9" x14ac:dyDescent="0.15">
      <c r="A143" s="10">
        <v>142</v>
      </c>
      <c r="B143" s="11" t="s">
        <v>9</v>
      </c>
      <c r="C143" s="11" t="s">
        <v>179</v>
      </c>
      <c r="D143" s="11" t="s">
        <v>180</v>
      </c>
      <c r="E143" s="9" t="str">
        <f>+HYPERLINK("http://trademark.i-assist.jp/data/china/image_1908th/78978775.pdf", "78978775")</f>
        <v>78978775</v>
      </c>
      <c r="F143" s="11" t="s">
        <v>632</v>
      </c>
      <c r="G143" s="11" t="s">
        <v>629</v>
      </c>
      <c r="H143" s="11" t="s">
        <v>633</v>
      </c>
      <c r="I143" s="11" t="s">
        <v>631</v>
      </c>
    </row>
    <row r="144" spans="1:9" x14ac:dyDescent="0.15">
      <c r="A144" s="10">
        <v>143</v>
      </c>
      <c r="B144" s="11" t="s">
        <v>9</v>
      </c>
      <c r="C144" s="11" t="s">
        <v>179</v>
      </c>
      <c r="D144" s="11" t="s">
        <v>180</v>
      </c>
      <c r="E144" s="9" t="str">
        <f>+HYPERLINK("http://trademark.i-assist.jp/data/china/image_1908th/78979880.pdf", "78979880")</f>
        <v>78979880</v>
      </c>
      <c r="F144" s="11" t="s">
        <v>634</v>
      </c>
      <c r="G144" s="11" t="s">
        <v>629</v>
      </c>
      <c r="H144" s="11" t="s">
        <v>635</v>
      </c>
      <c r="I144" s="11" t="s">
        <v>631</v>
      </c>
    </row>
    <row r="145" spans="1:9" x14ac:dyDescent="0.15">
      <c r="A145" s="10">
        <v>144</v>
      </c>
      <c r="B145" s="11" t="s">
        <v>9</v>
      </c>
      <c r="C145" s="11" t="s">
        <v>179</v>
      </c>
      <c r="D145" s="11" t="s">
        <v>180</v>
      </c>
      <c r="E145" s="9" t="str">
        <f>+HYPERLINK("http://trademark.i-assist.jp/data/china/image_1908th/78979885.pdf", "78979885")</f>
        <v>78979885</v>
      </c>
      <c r="F145" s="11" t="s">
        <v>636</v>
      </c>
      <c r="G145" s="11" t="s">
        <v>629</v>
      </c>
      <c r="H145" s="11" t="s">
        <v>637</v>
      </c>
      <c r="I145" s="11" t="s">
        <v>631</v>
      </c>
    </row>
    <row r="146" spans="1:9" x14ac:dyDescent="0.15">
      <c r="A146" s="10">
        <v>145</v>
      </c>
      <c r="B146" s="11" t="s">
        <v>9</v>
      </c>
      <c r="C146" s="11" t="s">
        <v>179</v>
      </c>
      <c r="D146" s="11" t="s">
        <v>180</v>
      </c>
      <c r="E146" s="9" t="str">
        <f>+HYPERLINK("http://trademark.i-assist.jp/data/china/image_1908th/79000461.pdf", "79000461")</f>
        <v>79000461</v>
      </c>
      <c r="F146" s="11" t="s">
        <v>638</v>
      </c>
      <c r="G146" s="11" t="s">
        <v>639</v>
      </c>
      <c r="H146" s="11" t="s">
        <v>640</v>
      </c>
      <c r="I146" s="11" t="s">
        <v>37</v>
      </c>
    </row>
    <row r="147" spans="1:9" x14ac:dyDescent="0.15">
      <c r="A147" s="10">
        <v>146</v>
      </c>
      <c r="B147" s="11" t="s">
        <v>9</v>
      </c>
      <c r="C147" s="11" t="s">
        <v>179</v>
      </c>
      <c r="D147" s="11" t="s">
        <v>180</v>
      </c>
      <c r="E147" s="9" t="str">
        <f>+HYPERLINK("http://trademark.i-assist.jp/data/china/image_1908th/79006614.pdf", "79006614")</f>
        <v>79006614</v>
      </c>
      <c r="F147" s="11" t="s">
        <v>641</v>
      </c>
      <c r="G147" s="11" t="s">
        <v>84</v>
      </c>
      <c r="H147" s="11" t="s">
        <v>642</v>
      </c>
      <c r="I147" s="11" t="s">
        <v>37</v>
      </c>
    </row>
    <row r="148" spans="1:9" x14ac:dyDescent="0.15">
      <c r="A148" s="10">
        <v>147</v>
      </c>
      <c r="B148" s="11" t="s">
        <v>9</v>
      </c>
      <c r="C148" s="11" t="s">
        <v>179</v>
      </c>
      <c r="D148" s="11" t="s">
        <v>180</v>
      </c>
      <c r="E148" s="9" t="str">
        <f>+HYPERLINK("http://trademark.i-assist.jp/data/china/image_1908th/79012653.pdf", "79012653")</f>
        <v>79012653</v>
      </c>
      <c r="F148" s="11" t="s">
        <v>116</v>
      </c>
      <c r="G148" s="11" t="s">
        <v>643</v>
      </c>
      <c r="H148" s="11" t="s">
        <v>644</v>
      </c>
      <c r="I148" s="11" t="s">
        <v>645</v>
      </c>
    </row>
    <row r="149" spans="1:9" x14ac:dyDescent="0.15">
      <c r="A149" s="10">
        <v>148</v>
      </c>
      <c r="B149" s="11" t="s">
        <v>9</v>
      </c>
      <c r="C149" s="11" t="s">
        <v>179</v>
      </c>
      <c r="D149" s="11" t="s">
        <v>180</v>
      </c>
      <c r="E149" s="9" t="str">
        <f>+HYPERLINK("http://trademark.i-assist.jp/data/china/image_1908th/79017744.pdf", "79017744")</f>
        <v>79017744</v>
      </c>
      <c r="F149" s="11" t="s">
        <v>646</v>
      </c>
      <c r="G149" s="11" t="s">
        <v>647</v>
      </c>
      <c r="H149" s="11" t="s">
        <v>648</v>
      </c>
      <c r="I149" s="11" t="s">
        <v>645</v>
      </c>
    </row>
    <row r="150" spans="1:9" x14ac:dyDescent="0.15">
      <c r="A150" s="10">
        <v>149</v>
      </c>
      <c r="B150" s="11" t="s">
        <v>9</v>
      </c>
      <c r="C150" s="11" t="s">
        <v>179</v>
      </c>
      <c r="D150" s="11" t="s">
        <v>180</v>
      </c>
      <c r="E150" s="9" t="str">
        <f>+HYPERLINK("http://trademark.i-assist.jp/data/china/image_1908th/79024516.pdf", "79024516")</f>
        <v>79024516</v>
      </c>
      <c r="F150" s="11" t="s">
        <v>649</v>
      </c>
      <c r="G150" s="11" t="s">
        <v>650</v>
      </c>
      <c r="H150" s="11" t="s">
        <v>651</v>
      </c>
      <c r="I150" s="11" t="s">
        <v>645</v>
      </c>
    </row>
    <row r="151" spans="1:9" x14ac:dyDescent="0.15">
      <c r="A151" s="10">
        <v>150</v>
      </c>
      <c r="B151" s="11" t="s">
        <v>9</v>
      </c>
      <c r="C151" s="11" t="s">
        <v>179</v>
      </c>
      <c r="D151" s="11" t="s">
        <v>180</v>
      </c>
      <c r="E151" s="9" t="str">
        <f>+HYPERLINK("http://trademark.i-assist.jp/data/china/image_1908th/79025043.pdf", "79025043")</f>
        <v>79025043</v>
      </c>
      <c r="F151" s="11" t="s">
        <v>652</v>
      </c>
      <c r="G151" s="11" t="s">
        <v>653</v>
      </c>
      <c r="H151" s="11" t="s">
        <v>654</v>
      </c>
      <c r="I151" s="11" t="s">
        <v>645</v>
      </c>
    </row>
    <row r="152" spans="1:9" x14ac:dyDescent="0.15">
      <c r="A152" s="10">
        <v>151</v>
      </c>
      <c r="B152" s="11" t="s">
        <v>9</v>
      </c>
      <c r="C152" s="11" t="s">
        <v>179</v>
      </c>
      <c r="D152" s="11" t="s">
        <v>180</v>
      </c>
      <c r="E152" s="9" t="str">
        <f>+HYPERLINK("http://trademark.i-assist.jp/data/china/image_1908th/79026073.pdf", "79026073")</f>
        <v>79026073</v>
      </c>
      <c r="F152" s="11" t="s">
        <v>655</v>
      </c>
      <c r="G152" s="11" t="s">
        <v>650</v>
      </c>
      <c r="H152" s="11" t="s">
        <v>656</v>
      </c>
      <c r="I152" s="11" t="s">
        <v>645</v>
      </c>
    </row>
    <row r="153" spans="1:9" x14ac:dyDescent="0.15">
      <c r="A153" s="10">
        <v>152</v>
      </c>
      <c r="B153" s="11" t="s">
        <v>9</v>
      </c>
      <c r="C153" s="11" t="s">
        <v>179</v>
      </c>
      <c r="D153" s="11" t="s">
        <v>180</v>
      </c>
      <c r="E153" s="9" t="str">
        <f>+HYPERLINK("http://trademark.i-assist.jp/data/china/image_1908th/79026427.pdf", "79026427")</f>
        <v>79026427</v>
      </c>
      <c r="F153" s="11" t="s">
        <v>657</v>
      </c>
      <c r="G153" s="11" t="s">
        <v>658</v>
      </c>
      <c r="H153" s="11" t="s">
        <v>659</v>
      </c>
      <c r="I153" s="11" t="s">
        <v>645</v>
      </c>
    </row>
    <row r="154" spans="1:9" x14ac:dyDescent="0.15">
      <c r="A154" s="10">
        <v>153</v>
      </c>
      <c r="B154" s="11" t="s">
        <v>9</v>
      </c>
      <c r="C154" s="11" t="s">
        <v>179</v>
      </c>
      <c r="D154" s="11" t="s">
        <v>180</v>
      </c>
      <c r="E154" s="9" t="str">
        <f>+HYPERLINK("http://trademark.i-assist.jp/data/china/image_1908th/79035419.pdf", "79035419")</f>
        <v>79035419</v>
      </c>
      <c r="F154" s="11" t="s">
        <v>116</v>
      </c>
      <c r="G154" s="11" t="s">
        <v>643</v>
      </c>
      <c r="H154" s="11" t="s">
        <v>660</v>
      </c>
      <c r="I154" s="11" t="s">
        <v>645</v>
      </c>
    </row>
    <row r="155" spans="1:9" x14ac:dyDescent="0.15">
      <c r="A155" s="10">
        <v>154</v>
      </c>
      <c r="B155" s="11" t="s">
        <v>9</v>
      </c>
      <c r="C155" s="11" t="s">
        <v>179</v>
      </c>
      <c r="D155" s="11" t="s">
        <v>180</v>
      </c>
      <c r="E155" s="9" t="str">
        <f>+HYPERLINK("http://trademark.i-assist.jp/data/china/image_1908th/79036195.pdf", "79036195")</f>
        <v>79036195</v>
      </c>
      <c r="F155" s="11" t="s">
        <v>661</v>
      </c>
      <c r="G155" s="11" t="s">
        <v>650</v>
      </c>
      <c r="H155" s="11" t="s">
        <v>662</v>
      </c>
      <c r="I155" s="11" t="s">
        <v>645</v>
      </c>
    </row>
    <row r="156" spans="1:9" x14ac:dyDescent="0.15">
      <c r="A156" s="10">
        <v>155</v>
      </c>
      <c r="B156" s="11" t="s">
        <v>9</v>
      </c>
      <c r="C156" s="11" t="s">
        <v>179</v>
      </c>
      <c r="D156" s="11" t="s">
        <v>180</v>
      </c>
      <c r="E156" s="9" t="str">
        <f>+HYPERLINK("http://trademark.i-assist.jp/data/china/image_1908th/79036556.pdf", "79036556")</f>
        <v>79036556</v>
      </c>
      <c r="F156" s="11" t="s">
        <v>663</v>
      </c>
      <c r="G156" s="11" t="s">
        <v>650</v>
      </c>
      <c r="H156" s="11" t="s">
        <v>664</v>
      </c>
      <c r="I156" s="11" t="s">
        <v>645</v>
      </c>
    </row>
    <row r="157" spans="1:9" x14ac:dyDescent="0.15">
      <c r="A157" s="10">
        <v>156</v>
      </c>
      <c r="B157" s="11" t="s">
        <v>9</v>
      </c>
      <c r="C157" s="11" t="s">
        <v>179</v>
      </c>
      <c r="D157" s="11" t="s">
        <v>180</v>
      </c>
      <c r="E157" s="9" t="str">
        <f>+HYPERLINK("http://trademark.i-assist.jp/data/china/image_1908th/79039422.pdf", "79039422")</f>
        <v>79039422</v>
      </c>
      <c r="F157" s="11" t="s">
        <v>665</v>
      </c>
      <c r="G157" s="11" t="s">
        <v>666</v>
      </c>
      <c r="H157" s="11" t="s">
        <v>667</v>
      </c>
      <c r="I157" s="11" t="s">
        <v>38</v>
      </c>
    </row>
    <row r="158" spans="1:9" x14ac:dyDescent="0.15">
      <c r="A158" s="10">
        <v>157</v>
      </c>
      <c r="B158" s="11" t="s">
        <v>9</v>
      </c>
      <c r="C158" s="11" t="s">
        <v>179</v>
      </c>
      <c r="D158" s="11" t="s">
        <v>180</v>
      </c>
      <c r="E158" s="9" t="str">
        <f>+HYPERLINK("http://trademark.i-assist.jp/data/china/image_1908th/79044576.pdf", "79044576")</f>
        <v>79044576</v>
      </c>
      <c r="F158" s="11" t="s">
        <v>668</v>
      </c>
      <c r="G158" s="11" t="s">
        <v>669</v>
      </c>
      <c r="H158" s="11" t="s">
        <v>670</v>
      </c>
      <c r="I158" s="11" t="s">
        <v>38</v>
      </c>
    </row>
    <row r="159" spans="1:9" x14ac:dyDescent="0.15">
      <c r="A159" s="10">
        <v>158</v>
      </c>
      <c r="B159" s="11" t="s">
        <v>9</v>
      </c>
      <c r="C159" s="11" t="s">
        <v>179</v>
      </c>
      <c r="D159" s="11" t="s">
        <v>180</v>
      </c>
      <c r="E159" s="9" t="str">
        <f>+HYPERLINK("http://trademark.i-assist.jp/data/china/image_1908th/79046229.pdf", "79046229")</f>
        <v>79046229</v>
      </c>
      <c r="F159" s="11" t="s">
        <v>671</v>
      </c>
      <c r="G159" s="11" t="s">
        <v>672</v>
      </c>
      <c r="H159" s="11" t="s">
        <v>673</v>
      </c>
      <c r="I159" s="11" t="s">
        <v>38</v>
      </c>
    </row>
    <row r="160" spans="1:9" x14ac:dyDescent="0.15">
      <c r="A160" s="10">
        <v>159</v>
      </c>
      <c r="B160" s="11" t="s">
        <v>9</v>
      </c>
      <c r="C160" s="11" t="s">
        <v>179</v>
      </c>
      <c r="D160" s="11" t="s">
        <v>180</v>
      </c>
      <c r="E160" s="9" t="str">
        <f>+HYPERLINK("http://trademark.i-assist.jp/data/china/image_1908th/79046322.pdf", "79046322")</f>
        <v>79046322</v>
      </c>
      <c r="F160" s="11" t="s">
        <v>674</v>
      </c>
      <c r="G160" s="11" t="s">
        <v>675</v>
      </c>
      <c r="H160" s="11" t="s">
        <v>676</v>
      </c>
      <c r="I160" s="11" t="s">
        <v>38</v>
      </c>
    </row>
    <row r="161" spans="1:9" x14ac:dyDescent="0.15">
      <c r="A161" s="10">
        <v>160</v>
      </c>
      <c r="B161" s="11" t="s">
        <v>9</v>
      </c>
      <c r="C161" s="11" t="s">
        <v>179</v>
      </c>
      <c r="D161" s="11" t="s">
        <v>180</v>
      </c>
      <c r="E161" s="9" t="str">
        <f>+HYPERLINK("http://trademark.i-assist.jp/data/china/image_1908th/79053227.pdf", "79053227")</f>
        <v>79053227</v>
      </c>
      <c r="F161" s="11" t="s">
        <v>677</v>
      </c>
      <c r="G161" s="11" t="s">
        <v>678</v>
      </c>
      <c r="H161" s="11" t="s">
        <v>679</v>
      </c>
      <c r="I161" s="11" t="s">
        <v>38</v>
      </c>
    </row>
    <row r="162" spans="1:9" x14ac:dyDescent="0.15">
      <c r="A162" s="10">
        <v>161</v>
      </c>
      <c r="B162" s="11" t="s">
        <v>9</v>
      </c>
      <c r="C162" s="11" t="s">
        <v>179</v>
      </c>
      <c r="D162" s="11" t="s">
        <v>180</v>
      </c>
      <c r="E162" s="9" t="str">
        <f>+HYPERLINK("http://trademark.i-assist.jp/data/china/image_1908th/79057993.pdf", "79057993")</f>
        <v>79057993</v>
      </c>
      <c r="F162" s="11" t="s">
        <v>680</v>
      </c>
      <c r="G162" s="11" t="s">
        <v>681</v>
      </c>
      <c r="H162" s="11" t="s">
        <v>682</v>
      </c>
      <c r="I162" s="11" t="s">
        <v>38</v>
      </c>
    </row>
    <row r="163" spans="1:9" x14ac:dyDescent="0.15">
      <c r="A163" s="10">
        <v>162</v>
      </c>
      <c r="B163" s="11" t="s">
        <v>9</v>
      </c>
      <c r="C163" s="11" t="s">
        <v>179</v>
      </c>
      <c r="D163" s="11" t="s">
        <v>180</v>
      </c>
      <c r="E163" s="9" t="str">
        <f>+HYPERLINK("http://trademark.i-assist.jp/data/china/image_1908th/79060326.pdf", "79060326")</f>
        <v>79060326</v>
      </c>
      <c r="F163" s="11" t="s">
        <v>683</v>
      </c>
      <c r="G163" s="11" t="s">
        <v>684</v>
      </c>
      <c r="H163" s="11" t="s">
        <v>685</v>
      </c>
      <c r="I163" s="11" t="s">
        <v>38</v>
      </c>
    </row>
    <row r="164" spans="1:9" x14ac:dyDescent="0.15">
      <c r="A164" s="10">
        <v>163</v>
      </c>
      <c r="B164" s="11" t="s">
        <v>9</v>
      </c>
      <c r="C164" s="11" t="s">
        <v>179</v>
      </c>
      <c r="D164" s="11" t="s">
        <v>180</v>
      </c>
      <c r="E164" s="9" t="str">
        <f>+HYPERLINK("http://trademark.i-assist.jp/data/china/image_1908th/79064289.pdf", "79064289")</f>
        <v>79064289</v>
      </c>
      <c r="F164" s="11" t="s">
        <v>686</v>
      </c>
      <c r="G164" s="11" t="s">
        <v>687</v>
      </c>
      <c r="H164" s="11" t="s">
        <v>688</v>
      </c>
      <c r="I164" s="11" t="s">
        <v>40</v>
      </c>
    </row>
    <row r="165" spans="1:9" x14ac:dyDescent="0.15">
      <c r="A165" s="10">
        <v>164</v>
      </c>
      <c r="B165" s="11" t="s">
        <v>9</v>
      </c>
      <c r="C165" s="11" t="s">
        <v>179</v>
      </c>
      <c r="D165" s="11" t="s">
        <v>180</v>
      </c>
      <c r="E165" s="9" t="str">
        <f>+HYPERLINK("http://trademark.i-assist.jp/data/china/image_1908th/79078129.pdf", "79078129")</f>
        <v>79078129</v>
      </c>
      <c r="F165" s="11" t="s">
        <v>689</v>
      </c>
      <c r="G165" s="11" t="s">
        <v>690</v>
      </c>
      <c r="H165" s="11" t="s">
        <v>691</v>
      </c>
      <c r="I165" s="11" t="s">
        <v>40</v>
      </c>
    </row>
    <row r="166" spans="1:9" x14ac:dyDescent="0.15">
      <c r="A166" s="10">
        <v>165</v>
      </c>
      <c r="B166" s="11" t="s">
        <v>9</v>
      </c>
      <c r="C166" s="11" t="s">
        <v>179</v>
      </c>
      <c r="D166" s="11" t="s">
        <v>180</v>
      </c>
      <c r="E166" s="9" t="str">
        <f>+HYPERLINK("http://trademark.i-assist.jp/data/china/image_1908th/79090662.pdf", "79090662")</f>
        <v>79090662</v>
      </c>
      <c r="F166" s="11" t="s">
        <v>692</v>
      </c>
      <c r="G166" s="11" t="s">
        <v>693</v>
      </c>
      <c r="H166" s="11" t="s">
        <v>694</v>
      </c>
      <c r="I166" s="11" t="s">
        <v>41</v>
      </c>
    </row>
    <row r="167" spans="1:9" x14ac:dyDescent="0.15">
      <c r="A167" s="10">
        <v>166</v>
      </c>
      <c r="B167" s="11" t="s">
        <v>9</v>
      </c>
      <c r="C167" s="11" t="s">
        <v>179</v>
      </c>
      <c r="D167" s="11" t="s">
        <v>180</v>
      </c>
      <c r="E167" s="9" t="str">
        <f>+HYPERLINK("http://trademark.i-assist.jp/data/china/image_1908th/79090687.pdf", "79090687")</f>
        <v>79090687</v>
      </c>
      <c r="F167" s="11" t="s">
        <v>695</v>
      </c>
      <c r="G167" s="11" t="s">
        <v>696</v>
      </c>
      <c r="H167" s="11" t="s">
        <v>697</v>
      </c>
      <c r="I167" s="11" t="s">
        <v>41</v>
      </c>
    </row>
    <row r="168" spans="1:9" x14ac:dyDescent="0.15">
      <c r="A168" s="10">
        <v>167</v>
      </c>
      <c r="B168" s="11" t="s">
        <v>9</v>
      </c>
      <c r="C168" s="11" t="s">
        <v>179</v>
      </c>
      <c r="D168" s="11" t="s">
        <v>180</v>
      </c>
      <c r="E168" s="9" t="str">
        <f>+HYPERLINK("http://trademark.i-assist.jp/data/china/image_1908th/79096480A.pdf", "79096480A")</f>
        <v>79096480A</v>
      </c>
      <c r="F168" s="11" t="s">
        <v>698</v>
      </c>
      <c r="G168" s="11" t="s">
        <v>699</v>
      </c>
      <c r="H168" s="11" t="s">
        <v>700</v>
      </c>
      <c r="I168" s="11" t="s">
        <v>41</v>
      </c>
    </row>
    <row r="169" spans="1:9" x14ac:dyDescent="0.15">
      <c r="A169" s="10">
        <v>168</v>
      </c>
      <c r="B169" s="11" t="s">
        <v>9</v>
      </c>
      <c r="C169" s="11" t="s">
        <v>179</v>
      </c>
      <c r="D169" s="11" t="s">
        <v>180</v>
      </c>
      <c r="E169" s="9" t="str">
        <f>+HYPERLINK("http://trademark.i-assist.jp/data/china/image_1908th/79098193.pdf", "79098193")</f>
        <v>79098193</v>
      </c>
      <c r="F169" s="11" t="s">
        <v>701</v>
      </c>
      <c r="G169" s="11" t="s">
        <v>702</v>
      </c>
      <c r="H169" s="11" t="s">
        <v>703</v>
      </c>
      <c r="I169" s="11" t="s">
        <v>41</v>
      </c>
    </row>
    <row r="170" spans="1:9" x14ac:dyDescent="0.15">
      <c r="A170" s="10">
        <v>169</v>
      </c>
      <c r="B170" s="11" t="s">
        <v>9</v>
      </c>
      <c r="C170" s="11" t="s">
        <v>179</v>
      </c>
      <c r="D170" s="11" t="s">
        <v>180</v>
      </c>
      <c r="E170" s="9" t="str">
        <f>+HYPERLINK("http://trademark.i-assist.jp/data/china/image_1908th/79106459.pdf", "79106459")</f>
        <v>79106459</v>
      </c>
      <c r="F170" s="11" t="s">
        <v>704</v>
      </c>
      <c r="G170" s="11" t="s">
        <v>705</v>
      </c>
      <c r="H170" s="11" t="s">
        <v>706</v>
      </c>
      <c r="I170" s="11" t="s">
        <v>41</v>
      </c>
    </row>
    <row r="171" spans="1:9" x14ac:dyDescent="0.15">
      <c r="A171" s="10">
        <v>170</v>
      </c>
      <c r="B171" s="11" t="s">
        <v>9</v>
      </c>
      <c r="C171" s="11" t="s">
        <v>179</v>
      </c>
      <c r="D171" s="11" t="s">
        <v>180</v>
      </c>
      <c r="E171" s="9" t="str">
        <f>+HYPERLINK("http://trademark.i-assist.jp/data/china/image_1908th/79109910.pdf", "79109910")</f>
        <v>79109910</v>
      </c>
      <c r="F171" s="11" t="s">
        <v>707</v>
      </c>
      <c r="G171" s="11" t="s">
        <v>101</v>
      </c>
      <c r="H171" s="11" t="s">
        <v>708</v>
      </c>
      <c r="I171" s="11" t="s">
        <v>41</v>
      </c>
    </row>
    <row r="172" spans="1:9" x14ac:dyDescent="0.15">
      <c r="A172" s="10">
        <v>171</v>
      </c>
      <c r="B172" s="11" t="s">
        <v>9</v>
      </c>
      <c r="C172" s="11" t="s">
        <v>179</v>
      </c>
      <c r="D172" s="11" t="s">
        <v>180</v>
      </c>
      <c r="E172" s="9" t="str">
        <f>+HYPERLINK("http://trademark.i-assist.jp/data/china/image_1908th/79112339.pdf", "79112339")</f>
        <v>79112339</v>
      </c>
      <c r="F172" s="11" t="s">
        <v>709</v>
      </c>
      <c r="G172" s="11" t="s">
        <v>710</v>
      </c>
      <c r="H172" s="11" t="s">
        <v>711</v>
      </c>
      <c r="I172" s="11" t="s">
        <v>41</v>
      </c>
    </row>
    <row r="173" spans="1:9" x14ac:dyDescent="0.15">
      <c r="A173" s="10">
        <v>172</v>
      </c>
      <c r="B173" s="11" t="s">
        <v>9</v>
      </c>
      <c r="C173" s="11" t="s">
        <v>179</v>
      </c>
      <c r="D173" s="11" t="s">
        <v>180</v>
      </c>
      <c r="E173" s="9" t="str">
        <f>+HYPERLINK("http://trademark.i-assist.jp/data/china/image_1908th/79112942.pdf", "79112942")</f>
        <v>79112942</v>
      </c>
      <c r="F173" s="11" t="s">
        <v>712</v>
      </c>
      <c r="G173" s="11" t="s">
        <v>713</v>
      </c>
      <c r="H173" s="11" t="s">
        <v>714</v>
      </c>
      <c r="I173" s="11" t="s">
        <v>41</v>
      </c>
    </row>
    <row r="174" spans="1:9" x14ac:dyDescent="0.15">
      <c r="A174" s="10">
        <v>173</v>
      </c>
      <c r="B174" s="11" t="s">
        <v>9</v>
      </c>
      <c r="C174" s="11" t="s">
        <v>179</v>
      </c>
      <c r="D174" s="11" t="s">
        <v>180</v>
      </c>
      <c r="E174" s="9" t="str">
        <f>+HYPERLINK("http://trademark.i-assist.jp/data/china/image_1908th/79114207.pdf", "79114207")</f>
        <v>79114207</v>
      </c>
      <c r="F174" s="11" t="s">
        <v>715</v>
      </c>
      <c r="G174" s="11" t="s">
        <v>716</v>
      </c>
      <c r="H174" s="11" t="s">
        <v>717</v>
      </c>
      <c r="I174" s="11" t="s">
        <v>41</v>
      </c>
    </row>
    <row r="175" spans="1:9" x14ac:dyDescent="0.15">
      <c r="A175" s="10">
        <v>174</v>
      </c>
      <c r="B175" s="11" t="s">
        <v>9</v>
      </c>
      <c r="C175" s="11" t="s">
        <v>179</v>
      </c>
      <c r="D175" s="11" t="s">
        <v>180</v>
      </c>
      <c r="E175" s="9" t="str">
        <f>+HYPERLINK("http://trademark.i-assist.jp/data/china/image_1908th/79118372.pdf", "79118372")</f>
        <v>79118372</v>
      </c>
      <c r="F175" s="11" t="s">
        <v>704</v>
      </c>
      <c r="G175" s="11" t="s">
        <v>705</v>
      </c>
      <c r="H175" s="11" t="s">
        <v>718</v>
      </c>
      <c r="I175" s="11" t="s">
        <v>41</v>
      </c>
    </row>
    <row r="176" spans="1:9" x14ac:dyDescent="0.15">
      <c r="A176" s="10">
        <v>175</v>
      </c>
      <c r="B176" s="11" t="s">
        <v>9</v>
      </c>
      <c r="C176" s="11" t="s">
        <v>179</v>
      </c>
      <c r="D176" s="11" t="s">
        <v>180</v>
      </c>
      <c r="E176" s="9" t="str">
        <f>+HYPERLINK("http://trademark.i-assist.jp/data/china/image_1908th/79125488.pdf", "79125488")</f>
        <v>79125488</v>
      </c>
      <c r="F176" s="11" t="s">
        <v>719</v>
      </c>
      <c r="G176" s="11" t="s">
        <v>720</v>
      </c>
      <c r="H176" s="11" t="s">
        <v>721</v>
      </c>
      <c r="I176" s="11" t="s">
        <v>722</v>
      </c>
    </row>
    <row r="177" spans="1:9" x14ac:dyDescent="0.15">
      <c r="A177" s="10">
        <v>176</v>
      </c>
      <c r="B177" s="11" t="s">
        <v>9</v>
      </c>
      <c r="C177" s="11" t="s">
        <v>179</v>
      </c>
      <c r="D177" s="11" t="s">
        <v>180</v>
      </c>
      <c r="E177" s="9" t="str">
        <f>+HYPERLINK("http://trademark.i-assist.jp/data/china/image_1908th/79126075.pdf", "79126075")</f>
        <v>79126075</v>
      </c>
      <c r="F177" s="11" t="s">
        <v>723</v>
      </c>
      <c r="G177" s="11" t="s">
        <v>724</v>
      </c>
      <c r="H177" s="11" t="s">
        <v>725</v>
      </c>
      <c r="I177" s="11" t="s">
        <v>722</v>
      </c>
    </row>
    <row r="178" spans="1:9" x14ac:dyDescent="0.15">
      <c r="A178" s="10">
        <v>177</v>
      </c>
      <c r="B178" s="11" t="s">
        <v>9</v>
      </c>
      <c r="C178" s="11" t="s">
        <v>179</v>
      </c>
      <c r="D178" s="11" t="s">
        <v>180</v>
      </c>
      <c r="E178" s="9" t="str">
        <f>+HYPERLINK("http://trademark.i-assist.jp/data/china/image_1908th/79137653.pdf", "79137653")</f>
        <v>79137653</v>
      </c>
      <c r="F178" s="11" t="s">
        <v>726</v>
      </c>
      <c r="G178" s="11" t="s">
        <v>727</v>
      </c>
      <c r="H178" s="11" t="s">
        <v>728</v>
      </c>
      <c r="I178" s="11" t="s">
        <v>42</v>
      </c>
    </row>
    <row r="179" spans="1:9" x14ac:dyDescent="0.15">
      <c r="A179" s="10">
        <v>178</v>
      </c>
      <c r="B179" s="11" t="s">
        <v>9</v>
      </c>
      <c r="C179" s="11" t="s">
        <v>179</v>
      </c>
      <c r="D179" s="11" t="s">
        <v>180</v>
      </c>
      <c r="E179" s="9" t="str">
        <f>+HYPERLINK("http://trademark.i-assist.jp/data/china/image_1908th/79156257.pdf", "79156257")</f>
        <v>79156257</v>
      </c>
      <c r="F179" s="11" t="s">
        <v>729</v>
      </c>
      <c r="G179" s="11" t="s">
        <v>730</v>
      </c>
      <c r="H179" s="11" t="s">
        <v>731</v>
      </c>
      <c r="I179" s="11" t="s">
        <v>43</v>
      </c>
    </row>
    <row r="180" spans="1:9" x14ac:dyDescent="0.15">
      <c r="A180" s="10">
        <v>179</v>
      </c>
      <c r="B180" s="11" t="s">
        <v>9</v>
      </c>
      <c r="C180" s="11" t="s">
        <v>179</v>
      </c>
      <c r="D180" s="11" t="s">
        <v>180</v>
      </c>
      <c r="E180" s="9" t="str">
        <f>+HYPERLINK("http://trademark.i-assist.jp/data/china/image_1908th/79157679.pdf", "79157679")</f>
        <v>79157679</v>
      </c>
      <c r="F180" s="11" t="s">
        <v>732</v>
      </c>
      <c r="G180" s="11" t="s">
        <v>733</v>
      </c>
      <c r="H180" s="11" t="s">
        <v>734</v>
      </c>
      <c r="I180" s="11" t="s">
        <v>43</v>
      </c>
    </row>
    <row r="181" spans="1:9" x14ac:dyDescent="0.15">
      <c r="A181" s="10">
        <v>180</v>
      </c>
      <c r="B181" s="11" t="s">
        <v>9</v>
      </c>
      <c r="C181" s="11" t="s">
        <v>179</v>
      </c>
      <c r="D181" s="11" t="s">
        <v>180</v>
      </c>
      <c r="E181" s="9" t="str">
        <f>+HYPERLINK("http://trademark.i-assist.jp/data/china/image_1908th/79158324.pdf", "79158324")</f>
        <v>79158324</v>
      </c>
      <c r="F181" s="11" t="s">
        <v>735</v>
      </c>
      <c r="G181" s="11" t="s">
        <v>736</v>
      </c>
      <c r="H181" s="11" t="s">
        <v>737</v>
      </c>
      <c r="I181" s="11" t="s">
        <v>43</v>
      </c>
    </row>
    <row r="182" spans="1:9" x14ac:dyDescent="0.15">
      <c r="A182" s="10">
        <v>181</v>
      </c>
      <c r="B182" s="11" t="s">
        <v>9</v>
      </c>
      <c r="C182" s="11" t="s">
        <v>179</v>
      </c>
      <c r="D182" s="11" t="s">
        <v>180</v>
      </c>
      <c r="E182" s="9" t="str">
        <f>+HYPERLINK("http://trademark.i-assist.jp/data/china/image_1908th/79160870.pdf", "79160870")</f>
        <v>79160870</v>
      </c>
      <c r="F182" s="11" t="s">
        <v>738</v>
      </c>
      <c r="G182" s="11" t="s">
        <v>739</v>
      </c>
      <c r="H182" s="11" t="s">
        <v>740</v>
      </c>
      <c r="I182" s="11" t="s">
        <v>43</v>
      </c>
    </row>
    <row r="183" spans="1:9" x14ac:dyDescent="0.15">
      <c r="A183" s="10">
        <v>182</v>
      </c>
      <c r="B183" s="11" t="s">
        <v>9</v>
      </c>
      <c r="C183" s="11" t="s">
        <v>179</v>
      </c>
      <c r="D183" s="11" t="s">
        <v>180</v>
      </c>
      <c r="E183" s="9" t="str">
        <f>+HYPERLINK("http://trademark.i-assist.jp/data/china/image_1908th/79166088.pdf", "79166088")</f>
        <v>79166088</v>
      </c>
      <c r="F183" s="11" t="s">
        <v>741</v>
      </c>
      <c r="G183" s="11" t="s">
        <v>742</v>
      </c>
      <c r="H183" s="11" t="s">
        <v>743</v>
      </c>
      <c r="I183" s="11" t="s">
        <v>43</v>
      </c>
    </row>
    <row r="184" spans="1:9" x14ac:dyDescent="0.15">
      <c r="A184" s="10">
        <v>183</v>
      </c>
      <c r="B184" s="11" t="s">
        <v>9</v>
      </c>
      <c r="C184" s="11" t="s">
        <v>179</v>
      </c>
      <c r="D184" s="11" t="s">
        <v>180</v>
      </c>
      <c r="E184" s="9" t="str">
        <f>+HYPERLINK("http://trademark.i-assist.jp/data/china/image_1908th/79167442.pdf", "79167442")</f>
        <v>79167442</v>
      </c>
      <c r="F184" s="11" t="s">
        <v>10</v>
      </c>
      <c r="G184" s="11" t="s">
        <v>744</v>
      </c>
      <c r="H184" s="11" t="s">
        <v>745</v>
      </c>
      <c r="I184" s="11" t="s">
        <v>43</v>
      </c>
    </row>
    <row r="185" spans="1:9" x14ac:dyDescent="0.15">
      <c r="A185" s="10">
        <v>184</v>
      </c>
      <c r="B185" s="11" t="s">
        <v>9</v>
      </c>
      <c r="C185" s="11" t="s">
        <v>179</v>
      </c>
      <c r="D185" s="11" t="s">
        <v>180</v>
      </c>
      <c r="E185" s="9" t="str">
        <f>+HYPERLINK("http://trademark.i-assist.jp/data/china/image_1908th/79170041.pdf", "79170041")</f>
        <v>79170041</v>
      </c>
      <c r="F185" s="11" t="s">
        <v>746</v>
      </c>
      <c r="G185" s="11" t="s">
        <v>747</v>
      </c>
      <c r="H185" s="11" t="s">
        <v>748</v>
      </c>
      <c r="I185" s="11" t="s">
        <v>43</v>
      </c>
    </row>
    <row r="186" spans="1:9" x14ac:dyDescent="0.15">
      <c r="A186" s="10">
        <v>185</v>
      </c>
      <c r="B186" s="11" t="s">
        <v>9</v>
      </c>
      <c r="C186" s="11" t="s">
        <v>179</v>
      </c>
      <c r="D186" s="11" t="s">
        <v>180</v>
      </c>
      <c r="E186" s="9" t="str">
        <f>+HYPERLINK("http://trademark.i-assist.jp/data/china/image_1908th/79173787.pdf", "79173787")</f>
        <v>79173787</v>
      </c>
      <c r="F186" s="11" t="s">
        <v>749</v>
      </c>
      <c r="G186" s="11" t="s">
        <v>747</v>
      </c>
      <c r="H186" s="11" t="s">
        <v>750</v>
      </c>
      <c r="I186" s="11" t="s">
        <v>43</v>
      </c>
    </row>
    <row r="187" spans="1:9" x14ac:dyDescent="0.15">
      <c r="A187" s="10">
        <v>186</v>
      </c>
      <c r="B187" s="11" t="s">
        <v>9</v>
      </c>
      <c r="C187" s="11" t="s">
        <v>179</v>
      </c>
      <c r="D187" s="11" t="s">
        <v>180</v>
      </c>
      <c r="E187" s="9" t="str">
        <f>+HYPERLINK("http://trademark.i-assist.jp/data/china/image_1908th/79176185.pdf", "79176185")</f>
        <v>79176185</v>
      </c>
      <c r="F187" s="11" t="s">
        <v>751</v>
      </c>
      <c r="G187" s="11" t="s">
        <v>752</v>
      </c>
      <c r="H187" s="11" t="s">
        <v>753</v>
      </c>
      <c r="I187" s="11" t="s">
        <v>43</v>
      </c>
    </row>
    <row r="188" spans="1:9" x14ac:dyDescent="0.15">
      <c r="A188" s="10">
        <v>187</v>
      </c>
      <c r="B188" s="11" t="s">
        <v>9</v>
      </c>
      <c r="C188" s="11" t="s">
        <v>179</v>
      </c>
      <c r="D188" s="11" t="s">
        <v>180</v>
      </c>
      <c r="E188" s="9" t="str">
        <f>+HYPERLINK("http://trademark.i-assist.jp/data/china/image_1908th/79181904.pdf", "79181904")</f>
        <v>79181904</v>
      </c>
      <c r="F188" s="11" t="s">
        <v>754</v>
      </c>
      <c r="G188" s="11" t="s">
        <v>93</v>
      </c>
      <c r="H188" s="11" t="s">
        <v>755</v>
      </c>
      <c r="I188" s="11" t="s">
        <v>44</v>
      </c>
    </row>
    <row r="189" spans="1:9" x14ac:dyDescent="0.15">
      <c r="A189" s="10">
        <v>188</v>
      </c>
      <c r="B189" s="11" t="s">
        <v>9</v>
      </c>
      <c r="C189" s="11" t="s">
        <v>179</v>
      </c>
      <c r="D189" s="11" t="s">
        <v>180</v>
      </c>
      <c r="E189" s="9" t="str">
        <f>+HYPERLINK("http://trademark.i-assist.jp/data/china/image_1908th/79189456.pdf", "79189456")</f>
        <v>79189456</v>
      </c>
      <c r="F189" s="11" t="s">
        <v>756</v>
      </c>
      <c r="G189" s="11" t="s">
        <v>757</v>
      </c>
      <c r="H189" s="11" t="s">
        <v>758</v>
      </c>
      <c r="I189" s="11" t="s">
        <v>44</v>
      </c>
    </row>
    <row r="190" spans="1:9" x14ac:dyDescent="0.15">
      <c r="A190" s="10">
        <v>189</v>
      </c>
      <c r="B190" s="11" t="s">
        <v>9</v>
      </c>
      <c r="C190" s="11" t="s">
        <v>179</v>
      </c>
      <c r="D190" s="11" t="s">
        <v>180</v>
      </c>
      <c r="E190" s="9" t="str">
        <f>+HYPERLINK("http://trademark.i-assist.jp/data/china/image_1908th/79193728.pdf", "79193728")</f>
        <v>79193728</v>
      </c>
      <c r="F190" s="11" t="s">
        <v>10</v>
      </c>
      <c r="G190" s="11" t="s">
        <v>759</v>
      </c>
      <c r="H190" s="11" t="s">
        <v>760</v>
      </c>
      <c r="I190" s="11" t="s">
        <v>44</v>
      </c>
    </row>
    <row r="191" spans="1:9" x14ac:dyDescent="0.15">
      <c r="A191" s="10">
        <v>190</v>
      </c>
      <c r="B191" s="11" t="s">
        <v>9</v>
      </c>
      <c r="C191" s="11" t="s">
        <v>179</v>
      </c>
      <c r="D191" s="11" t="s">
        <v>180</v>
      </c>
      <c r="E191" s="9" t="str">
        <f>+HYPERLINK("http://trademark.i-assist.jp/data/china/image_1908th/79197634A.pdf", "79197634A")</f>
        <v>79197634A</v>
      </c>
      <c r="F191" s="11" t="s">
        <v>761</v>
      </c>
      <c r="G191" s="11" t="s">
        <v>762</v>
      </c>
      <c r="H191" s="11" t="s">
        <v>763</v>
      </c>
      <c r="I191" s="11" t="s">
        <v>44</v>
      </c>
    </row>
    <row r="192" spans="1:9" x14ac:dyDescent="0.15">
      <c r="A192" s="10">
        <v>191</v>
      </c>
      <c r="B192" s="11" t="s">
        <v>9</v>
      </c>
      <c r="C192" s="11" t="s">
        <v>179</v>
      </c>
      <c r="D192" s="11" t="s">
        <v>180</v>
      </c>
      <c r="E192" s="9" t="str">
        <f>+HYPERLINK("http://trademark.i-assist.jp/data/china/image_1908th/79200148.pdf", "79200148")</f>
        <v>79200148</v>
      </c>
      <c r="F192" s="11" t="s">
        <v>764</v>
      </c>
      <c r="G192" s="11" t="s">
        <v>765</v>
      </c>
      <c r="H192" s="11" t="s">
        <v>766</v>
      </c>
      <c r="I192" s="11" t="s">
        <v>44</v>
      </c>
    </row>
    <row r="193" spans="1:9" x14ac:dyDescent="0.15">
      <c r="A193" s="10">
        <v>192</v>
      </c>
      <c r="B193" s="11" t="s">
        <v>9</v>
      </c>
      <c r="C193" s="11" t="s">
        <v>179</v>
      </c>
      <c r="D193" s="11" t="s">
        <v>180</v>
      </c>
      <c r="E193" s="9" t="str">
        <f>+HYPERLINK("http://trademark.i-assist.jp/data/china/image_1908th/79200445.pdf", "79200445")</f>
        <v>79200445</v>
      </c>
      <c r="F193" s="11" t="s">
        <v>767</v>
      </c>
      <c r="G193" s="11" t="s">
        <v>768</v>
      </c>
      <c r="H193" s="11" t="s">
        <v>769</v>
      </c>
      <c r="I193" s="11" t="s">
        <v>44</v>
      </c>
    </row>
    <row r="194" spans="1:9" x14ac:dyDescent="0.15">
      <c r="A194" s="10">
        <v>193</v>
      </c>
      <c r="B194" s="11" t="s">
        <v>9</v>
      </c>
      <c r="C194" s="11" t="s">
        <v>179</v>
      </c>
      <c r="D194" s="11" t="s">
        <v>180</v>
      </c>
      <c r="E194" s="9" t="str">
        <f>+HYPERLINK("http://trademark.i-assist.jp/data/china/image_1908th/79200622.pdf", "79200622")</f>
        <v>79200622</v>
      </c>
      <c r="F194" s="11" t="s">
        <v>770</v>
      </c>
      <c r="G194" s="11" t="s">
        <v>771</v>
      </c>
      <c r="H194" s="11" t="s">
        <v>772</v>
      </c>
      <c r="I194" s="11" t="s">
        <v>44</v>
      </c>
    </row>
    <row r="195" spans="1:9" x14ac:dyDescent="0.15">
      <c r="A195" s="10">
        <v>194</v>
      </c>
      <c r="B195" s="11" t="s">
        <v>9</v>
      </c>
      <c r="C195" s="11" t="s">
        <v>179</v>
      </c>
      <c r="D195" s="11" t="s">
        <v>180</v>
      </c>
      <c r="E195" s="9" t="str">
        <f>+HYPERLINK("http://trademark.i-assist.jp/data/china/image_1908th/79200717.pdf", "79200717")</f>
        <v>79200717</v>
      </c>
      <c r="F195" s="11" t="s">
        <v>773</v>
      </c>
      <c r="G195" s="11" t="s">
        <v>774</v>
      </c>
      <c r="H195" s="11" t="s">
        <v>775</v>
      </c>
      <c r="I195" s="11" t="s">
        <v>44</v>
      </c>
    </row>
    <row r="196" spans="1:9" x14ac:dyDescent="0.15">
      <c r="A196" s="10">
        <v>195</v>
      </c>
      <c r="B196" s="11" t="s">
        <v>9</v>
      </c>
      <c r="C196" s="11" t="s">
        <v>179</v>
      </c>
      <c r="D196" s="11" t="s">
        <v>180</v>
      </c>
      <c r="E196" s="9" t="str">
        <f>+HYPERLINK("http://trademark.i-assist.jp/data/china/image_1908th/79206932.pdf", "79206932")</f>
        <v>79206932</v>
      </c>
      <c r="F196" s="11" t="s">
        <v>776</v>
      </c>
      <c r="G196" s="11" t="s">
        <v>777</v>
      </c>
      <c r="H196" s="11" t="s">
        <v>778</v>
      </c>
      <c r="I196" s="11" t="s">
        <v>45</v>
      </c>
    </row>
    <row r="197" spans="1:9" x14ac:dyDescent="0.15">
      <c r="A197" s="10">
        <v>196</v>
      </c>
      <c r="B197" s="11" t="s">
        <v>9</v>
      </c>
      <c r="C197" s="11" t="s">
        <v>179</v>
      </c>
      <c r="D197" s="11" t="s">
        <v>180</v>
      </c>
      <c r="E197" s="9" t="str">
        <f>+HYPERLINK("http://trademark.i-assist.jp/data/china/image_1908th/79232615.pdf", "79232615")</f>
        <v>79232615</v>
      </c>
      <c r="F197" s="11" t="s">
        <v>779</v>
      </c>
      <c r="G197" s="11" t="s">
        <v>780</v>
      </c>
      <c r="H197" s="11" t="s">
        <v>781</v>
      </c>
      <c r="I197" s="11" t="s">
        <v>46</v>
      </c>
    </row>
    <row r="198" spans="1:9" x14ac:dyDescent="0.15">
      <c r="A198" s="10">
        <v>197</v>
      </c>
      <c r="B198" s="11" t="s">
        <v>9</v>
      </c>
      <c r="C198" s="11" t="s">
        <v>179</v>
      </c>
      <c r="D198" s="11" t="s">
        <v>180</v>
      </c>
      <c r="E198" s="9" t="str">
        <f>+HYPERLINK("http://trademark.i-assist.jp/data/china/image_1908th/79234941.pdf", "79234941")</f>
        <v>79234941</v>
      </c>
      <c r="F198" s="11" t="s">
        <v>10</v>
      </c>
      <c r="G198" s="11" t="s">
        <v>782</v>
      </c>
      <c r="H198" s="11" t="s">
        <v>783</v>
      </c>
      <c r="I198" s="11" t="s">
        <v>46</v>
      </c>
    </row>
    <row r="199" spans="1:9" x14ac:dyDescent="0.15">
      <c r="A199" s="10">
        <v>198</v>
      </c>
      <c r="B199" s="11" t="s">
        <v>9</v>
      </c>
      <c r="C199" s="11" t="s">
        <v>179</v>
      </c>
      <c r="D199" s="11" t="s">
        <v>180</v>
      </c>
      <c r="E199" s="9" t="str">
        <f>+HYPERLINK("http://trademark.i-assist.jp/data/china/image_1908th/79250625.pdf", "79250625")</f>
        <v>79250625</v>
      </c>
      <c r="F199" s="11" t="s">
        <v>784</v>
      </c>
      <c r="G199" s="11" t="s">
        <v>785</v>
      </c>
      <c r="H199" s="11" t="s">
        <v>786</v>
      </c>
      <c r="I199" s="11" t="s">
        <v>47</v>
      </c>
    </row>
    <row r="200" spans="1:9" x14ac:dyDescent="0.15">
      <c r="A200" s="10">
        <v>199</v>
      </c>
      <c r="B200" s="11" t="s">
        <v>9</v>
      </c>
      <c r="C200" s="11" t="s">
        <v>179</v>
      </c>
      <c r="D200" s="11" t="s">
        <v>180</v>
      </c>
      <c r="E200" s="9" t="str">
        <f>+HYPERLINK("http://trademark.i-assist.jp/data/china/image_1908th/79253623.pdf", "79253623")</f>
        <v>79253623</v>
      </c>
      <c r="F200" s="11" t="s">
        <v>787</v>
      </c>
      <c r="G200" s="11" t="s">
        <v>788</v>
      </c>
      <c r="H200" s="11" t="s">
        <v>789</v>
      </c>
      <c r="I200" s="11" t="s">
        <v>47</v>
      </c>
    </row>
    <row r="201" spans="1:9" x14ac:dyDescent="0.15">
      <c r="A201" s="10">
        <v>200</v>
      </c>
      <c r="B201" s="11" t="s">
        <v>9</v>
      </c>
      <c r="C201" s="11" t="s">
        <v>179</v>
      </c>
      <c r="D201" s="11" t="s">
        <v>180</v>
      </c>
      <c r="E201" s="9" t="str">
        <f>+HYPERLINK("http://trademark.i-assist.jp/data/china/image_1908th/79255176.pdf", "79255176")</f>
        <v>79255176</v>
      </c>
      <c r="F201" s="11" t="s">
        <v>10</v>
      </c>
      <c r="G201" s="11" t="s">
        <v>142</v>
      </c>
      <c r="H201" s="11" t="s">
        <v>790</v>
      </c>
      <c r="I201" s="11" t="s">
        <v>47</v>
      </c>
    </row>
    <row r="202" spans="1:9" x14ac:dyDescent="0.15">
      <c r="A202" s="10">
        <v>201</v>
      </c>
      <c r="B202" s="11" t="s">
        <v>9</v>
      </c>
      <c r="C202" s="11" t="s">
        <v>179</v>
      </c>
      <c r="D202" s="11" t="s">
        <v>180</v>
      </c>
      <c r="E202" s="9" t="str">
        <f>+HYPERLINK("http://trademark.i-assist.jp/data/china/image_1908th/79258277.pdf", "79258277")</f>
        <v>79258277</v>
      </c>
      <c r="F202" s="11" t="s">
        <v>791</v>
      </c>
      <c r="G202" s="11" t="s">
        <v>792</v>
      </c>
      <c r="H202" s="11" t="s">
        <v>793</v>
      </c>
      <c r="I202" s="11" t="s">
        <v>47</v>
      </c>
    </row>
    <row r="203" spans="1:9" x14ac:dyDescent="0.15">
      <c r="A203" s="10">
        <v>202</v>
      </c>
      <c r="B203" s="11" t="s">
        <v>9</v>
      </c>
      <c r="C203" s="11" t="s">
        <v>179</v>
      </c>
      <c r="D203" s="11" t="s">
        <v>180</v>
      </c>
      <c r="E203" s="9" t="str">
        <f>+HYPERLINK("http://trademark.i-assist.jp/data/china/image_1908th/79260700.pdf", "79260700")</f>
        <v>79260700</v>
      </c>
      <c r="F203" s="11" t="s">
        <v>10</v>
      </c>
      <c r="G203" s="11" t="s">
        <v>794</v>
      </c>
      <c r="H203" s="11" t="s">
        <v>795</v>
      </c>
      <c r="I203" s="11" t="s">
        <v>47</v>
      </c>
    </row>
    <row r="204" spans="1:9" x14ac:dyDescent="0.15">
      <c r="A204" s="10">
        <v>203</v>
      </c>
      <c r="B204" s="11" t="s">
        <v>9</v>
      </c>
      <c r="C204" s="11" t="s">
        <v>179</v>
      </c>
      <c r="D204" s="11" t="s">
        <v>180</v>
      </c>
      <c r="E204" s="9" t="str">
        <f>+HYPERLINK("http://trademark.i-assist.jp/data/china/image_1908th/79268055.pdf", "79268055")</f>
        <v>79268055</v>
      </c>
      <c r="F204" s="11" t="s">
        <v>796</v>
      </c>
      <c r="G204" s="11" t="s">
        <v>797</v>
      </c>
      <c r="H204" s="11" t="s">
        <v>798</v>
      </c>
      <c r="I204" s="11" t="s">
        <v>47</v>
      </c>
    </row>
    <row r="205" spans="1:9" x14ac:dyDescent="0.15">
      <c r="A205" s="10">
        <v>204</v>
      </c>
      <c r="B205" s="11" t="s">
        <v>9</v>
      </c>
      <c r="C205" s="11" t="s">
        <v>179</v>
      </c>
      <c r="D205" s="11" t="s">
        <v>180</v>
      </c>
      <c r="E205" s="9" t="str">
        <f>+HYPERLINK("http://trademark.i-assist.jp/data/china/image_1908th/79294896.pdf", "79294896")</f>
        <v>79294896</v>
      </c>
      <c r="F205" s="11" t="s">
        <v>10</v>
      </c>
      <c r="G205" s="11" t="s">
        <v>799</v>
      </c>
      <c r="H205" s="11" t="s">
        <v>800</v>
      </c>
      <c r="I205" s="11" t="s">
        <v>48</v>
      </c>
    </row>
    <row r="206" spans="1:9" x14ac:dyDescent="0.15">
      <c r="A206" s="10">
        <v>205</v>
      </c>
      <c r="B206" s="11" t="s">
        <v>9</v>
      </c>
      <c r="C206" s="11" t="s">
        <v>179</v>
      </c>
      <c r="D206" s="11" t="s">
        <v>180</v>
      </c>
      <c r="E206" s="9" t="str">
        <f>+HYPERLINK("http://trademark.i-assist.jp/data/china/image_1908th/79294983.pdf", "79294983")</f>
        <v>79294983</v>
      </c>
      <c r="F206" s="11" t="s">
        <v>801</v>
      </c>
      <c r="G206" s="11" t="s">
        <v>61</v>
      </c>
      <c r="H206" s="11" t="s">
        <v>802</v>
      </c>
      <c r="I206" s="11" t="s">
        <v>48</v>
      </c>
    </row>
    <row r="207" spans="1:9" x14ac:dyDescent="0.15">
      <c r="A207" s="10">
        <v>206</v>
      </c>
      <c r="B207" s="11" t="s">
        <v>9</v>
      </c>
      <c r="C207" s="11" t="s">
        <v>179</v>
      </c>
      <c r="D207" s="11" t="s">
        <v>180</v>
      </c>
      <c r="E207" s="9" t="str">
        <f>+HYPERLINK("http://trademark.i-assist.jp/data/china/image_1908th/79297503.pdf", "79297503")</f>
        <v>79297503</v>
      </c>
      <c r="F207" s="11" t="s">
        <v>803</v>
      </c>
      <c r="G207" s="11" t="s">
        <v>804</v>
      </c>
      <c r="H207" s="11" t="s">
        <v>805</v>
      </c>
      <c r="I207" s="11" t="s">
        <v>49</v>
      </c>
    </row>
    <row r="208" spans="1:9" x14ac:dyDescent="0.15">
      <c r="A208" s="10">
        <v>207</v>
      </c>
      <c r="B208" s="11" t="s">
        <v>9</v>
      </c>
      <c r="C208" s="11" t="s">
        <v>179</v>
      </c>
      <c r="D208" s="11" t="s">
        <v>180</v>
      </c>
      <c r="E208" s="9" t="str">
        <f>+HYPERLINK("http://trademark.i-assist.jp/data/china/image_1908th/79298604.pdf", "79298604")</f>
        <v>79298604</v>
      </c>
      <c r="F208" s="11" t="s">
        <v>806</v>
      </c>
      <c r="G208" s="11" t="s">
        <v>807</v>
      </c>
      <c r="H208" s="11" t="s">
        <v>808</v>
      </c>
      <c r="I208" s="11" t="s">
        <v>49</v>
      </c>
    </row>
    <row r="209" spans="1:9" x14ac:dyDescent="0.15">
      <c r="A209" s="10">
        <v>208</v>
      </c>
      <c r="B209" s="11" t="s">
        <v>9</v>
      </c>
      <c r="C209" s="11" t="s">
        <v>179</v>
      </c>
      <c r="D209" s="11" t="s">
        <v>180</v>
      </c>
      <c r="E209" s="9" t="str">
        <f>+HYPERLINK("http://trademark.i-assist.jp/data/china/image_1908th/79300639A.pdf", "79300639A")</f>
        <v>79300639A</v>
      </c>
      <c r="F209" s="11" t="s">
        <v>809</v>
      </c>
      <c r="G209" s="11" t="s">
        <v>810</v>
      </c>
      <c r="H209" s="11" t="s">
        <v>811</v>
      </c>
      <c r="I209" s="11" t="s">
        <v>49</v>
      </c>
    </row>
    <row r="210" spans="1:9" x14ac:dyDescent="0.15">
      <c r="A210" s="10">
        <v>209</v>
      </c>
      <c r="B210" s="11" t="s">
        <v>9</v>
      </c>
      <c r="C210" s="11" t="s">
        <v>179</v>
      </c>
      <c r="D210" s="11" t="s">
        <v>180</v>
      </c>
      <c r="E210" s="9" t="str">
        <f>+HYPERLINK("http://trademark.i-assist.jp/data/china/image_1908th/79300708A.pdf", "79300708A")</f>
        <v>79300708A</v>
      </c>
      <c r="F210" s="11" t="s">
        <v>812</v>
      </c>
      <c r="G210" s="11" t="s">
        <v>810</v>
      </c>
      <c r="H210" s="11" t="s">
        <v>813</v>
      </c>
      <c r="I210" s="11" t="s">
        <v>49</v>
      </c>
    </row>
    <row r="211" spans="1:9" x14ac:dyDescent="0.15">
      <c r="A211" s="10">
        <v>210</v>
      </c>
      <c r="B211" s="11" t="s">
        <v>9</v>
      </c>
      <c r="C211" s="11" t="s">
        <v>179</v>
      </c>
      <c r="D211" s="11" t="s">
        <v>180</v>
      </c>
      <c r="E211" s="9" t="str">
        <f>+HYPERLINK("http://trademark.i-assist.jp/data/china/image_1908th/79301898A.pdf", "79301898A")</f>
        <v>79301898A</v>
      </c>
      <c r="F211" s="11" t="s">
        <v>814</v>
      </c>
      <c r="G211" s="11" t="s">
        <v>810</v>
      </c>
      <c r="H211" s="11" t="s">
        <v>815</v>
      </c>
      <c r="I211" s="11" t="s">
        <v>49</v>
      </c>
    </row>
    <row r="212" spans="1:9" x14ac:dyDescent="0.15">
      <c r="A212" s="10">
        <v>211</v>
      </c>
      <c r="B212" s="11" t="s">
        <v>9</v>
      </c>
      <c r="C212" s="11" t="s">
        <v>179</v>
      </c>
      <c r="D212" s="11" t="s">
        <v>180</v>
      </c>
      <c r="E212" s="9" t="str">
        <f>+HYPERLINK("http://trademark.i-assist.jp/data/china/image_1908th/79303589A.pdf", "79303589A")</f>
        <v>79303589A</v>
      </c>
      <c r="F212" s="11" t="s">
        <v>816</v>
      </c>
      <c r="G212" s="11" t="s">
        <v>810</v>
      </c>
      <c r="H212" s="11" t="s">
        <v>817</v>
      </c>
      <c r="I212" s="11" t="s">
        <v>49</v>
      </c>
    </row>
    <row r="213" spans="1:9" x14ac:dyDescent="0.15">
      <c r="A213" s="10">
        <v>212</v>
      </c>
      <c r="B213" s="11" t="s">
        <v>9</v>
      </c>
      <c r="C213" s="11" t="s">
        <v>179</v>
      </c>
      <c r="D213" s="11" t="s">
        <v>180</v>
      </c>
      <c r="E213" s="9" t="str">
        <f>+HYPERLINK("http://trademark.i-assist.jp/data/china/image_1908th/79313847.pdf", "79313847")</f>
        <v>79313847</v>
      </c>
      <c r="F213" s="11" t="s">
        <v>818</v>
      </c>
      <c r="G213" s="11" t="s">
        <v>819</v>
      </c>
      <c r="H213" s="11" t="s">
        <v>820</v>
      </c>
      <c r="I213" s="11" t="s">
        <v>49</v>
      </c>
    </row>
    <row r="214" spans="1:9" x14ac:dyDescent="0.15">
      <c r="A214" s="10">
        <v>213</v>
      </c>
      <c r="B214" s="11" t="s">
        <v>9</v>
      </c>
      <c r="C214" s="11" t="s">
        <v>179</v>
      </c>
      <c r="D214" s="11" t="s">
        <v>180</v>
      </c>
      <c r="E214" s="9" t="str">
        <f>+HYPERLINK("http://trademark.i-assist.jp/data/china/image_1908th/79314232.pdf", "79314232")</f>
        <v>79314232</v>
      </c>
      <c r="F214" s="11" t="s">
        <v>821</v>
      </c>
      <c r="G214" s="11" t="s">
        <v>822</v>
      </c>
      <c r="H214" s="11" t="s">
        <v>823</v>
      </c>
      <c r="I214" s="11" t="s">
        <v>49</v>
      </c>
    </row>
    <row r="215" spans="1:9" x14ac:dyDescent="0.15">
      <c r="A215" s="10">
        <v>214</v>
      </c>
      <c r="B215" s="11" t="s">
        <v>9</v>
      </c>
      <c r="C215" s="11" t="s">
        <v>179</v>
      </c>
      <c r="D215" s="11" t="s">
        <v>180</v>
      </c>
      <c r="E215" s="9" t="str">
        <f>+HYPERLINK("http://trademark.i-assist.jp/data/china/image_1908th/79316460.pdf", "79316460")</f>
        <v>79316460</v>
      </c>
      <c r="F215" s="11" t="s">
        <v>824</v>
      </c>
      <c r="G215" s="11" t="s">
        <v>825</v>
      </c>
      <c r="H215" s="11" t="s">
        <v>826</v>
      </c>
      <c r="I215" s="11" t="s">
        <v>49</v>
      </c>
    </row>
    <row r="216" spans="1:9" x14ac:dyDescent="0.15">
      <c r="A216" s="10">
        <v>215</v>
      </c>
      <c r="B216" s="11" t="s">
        <v>9</v>
      </c>
      <c r="C216" s="11" t="s">
        <v>179</v>
      </c>
      <c r="D216" s="11" t="s">
        <v>180</v>
      </c>
      <c r="E216" s="9" t="str">
        <f>+HYPERLINK("http://trademark.i-assist.jp/data/china/image_1908th/79317471.pdf", "79317471")</f>
        <v>79317471</v>
      </c>
      <c r="F216" s="11" t="s">
        <v>827</v>
      </c>
      <c r="G216" s="11" t="s">
        <v>828</v>
      </c>
      <c r="H216" s="11" t="s">
        <v>829</v>
      </c>
      <c r="I216" s="11" t="s">
        <v>49</v>
      </c>
    </row>
    <row r="217" spans="1:9" x14ac:dyDescent="0.15">
      <c r="A217" s="10">
        <v>216</v>
      </c>
      <c r="B217" s="11" t="s">
        <v>9</v>
      </c>
      <c r="C217" s="11" t="s">
        <v>179</v>
      </c>
      <c r="D217" s="11" t="s">
        <v>180</v>
      </c>
      <c r="E217" s="9" t="str">
        <f>+HYPERLINK("http://trademark.i-assist.jp/data/china/image_1908th/79317819.pdf", "79317819")</f>
        <v>79317819</v>
      </c>
      <c r="F217" s="11" t="s">
        <v>830</v>
      </c>
      <c r="G217" s="11" t="s">
        <v>831</v>
      </c>
      <c r="H217" s="11" t="s">
        <v>832</v>
      </c>
      <c r="I217" s="11" t="s">
        <v>49</v>
      </c>
    </row>
    <row r="218" spans="1:9" x14ac:dyDescent="0.15">
      <c r="A218" s="10">
        <v>217</v>
      </c>
      <c r="B218" s="11" t="s">
        <v>9</v>
      </c>
      <c r="C218" s="11" t="s">
        <v>179</v>
      </c>
      <c r="D218" s="11" t="s">
        <v>180</v>
      </c>
      <c r="E218" s="9" t="str">
        <f>+HYPERLINK("http://trademark.i-assist.jp/data/china/image_1908th/79321220.pdf", "79321220")</f>
        <v>79321220</v>
      </c>
      <c r="F218" s="11" t="s">
        <v>833</v>
      </c>
      <c r="G218" s="11" t="s">
        <v>834</v>
      </c>
      <c r="H218" s="11" t="s">
        <v>835</v>
      </c>
      <c r="I218" s="11" t="s">
        <v>49</v>
      </c>
    </row>
    <row r="219" spans="1:9" x14ac:dyDescent="0.15">
      <c r="A219" s="10">
        <v>218</v>
      </c>
      <c r="B219" s="11" t="s">
        <v>9</v>
      </c>
      <c r="C219" s="11" t="s">
        <v>179</v>
      </c>
      <c r="D219" s="11" t="s">
        <v>180</v>
      </c>
      <c r="E219" s="9" t="str">
        <f>+HYPERLINK("http://trademark.i-assist.jp/data/china/image_1908th/79321930.pdf", "79321930")</f>
        <v>79321930</v>
      </c>
      <c r="F219" s="11" t="s">
        <v>836</v>
      </c>
      <c r="G219" s="11" t="s">
        <v>837</v>
      </c>
      <c r="H219" s="11" t="s">
        <v>838</v>
      </c>
      <c r="I219" s="11" t="s">
        <v>49</v>
      </c>
    </row>
    <row r="220" spans="1:9" x14ac:dyDescent="0.15">
      <c r="A220" s="10">
        <v>219</v>
      </c>
      <c r="B220" s="11" t="s">
        <v>9</v>
      </c>
      <c r="C220" s="11" t="s">
        <v>179</v>
      </c>
      <c r="D220" s="11" t="s">
        <v>180</v>
      </c>
      <c r="E220" s="9" t="str">
        <f>+HYPERLINK("http://trademark.i-assist.jp/data/china/image_1908th/79324232.pdf", "79324232")</f>
        <v>79324232</v>
      </c>
      <c r="F220" s="11" t="s">
        <v>839</v>
      </c>
      <c r="G220" s="11" t="s">
        <v>840</v>
      </c>
      <c r="H220" s="11" t="s">
        <v>841</v>
      </c>
      <c r="I220" s="11" t="s">
        <v>50</v>
      </c>
    </row>
    <row r="221" spans="1:9" x14ac:dyDescent="0.15">
      <c r="A221" s="10">
        <v>220</v>
      </c>
      <c r="B221" s="11" t="s">
        <v>9</v>
      </c>
      <c r="C221" s="11" t="s">
        <v>179</v>
      </c>
      <c r="D221" s="11" t="s">
        <v>180</v>
      </c>
      <c r="E221" s="9" t="str">
        <f>+HYPERLINK("http://trademark.i-assist.jp/data/china/image_1908th/79325325.pdf", "79325325")</f>
        <v>79325325</v>
      </c>
      <c r="F221" s="11" t="s">
        <v>842</v>
      </c>
      <c r="G221" s="11" t="s">
        <v>146</v>
      </c>
      <c r="H221" s="11" t="s">
        <v>843</v>
      </c>
      <c r="I221" s="11" t="s">
        <v>50</v>
      </c>
    </row>
    <row r="222" spans="1:9" x14ac:dyDescent="0.15">
      <c r="A222" s="10">
        <v>221</v>
      </c>
      <c r="B222" s="11" t="s">
        <v>9</v>
      </c>
      <c r="C222" s="11" t="s">
        <v>179</v>
      </c>
      <c r="D222" s="11" t="s">
        <v>180</v>
      </c>
      <c r="E222" s="9" t="str">
        <f>+HYPERLINK("http://trademark.i-assist.jp/data/china/image_1908th/79329822.pdf", "79329822")</f>
        <v>79329822</v>
      </c>
      <c r="F222" s="11" t="s">
        <v>844</v>
      </c>
      <c r="G222" s="11" t="s">
        <v>845</v>
      </c>
      <c r="H222" s="11" t="s">
        <v>846</v>
      </c>
      <c r="I222" s="11" t="s">
        <v>50</v>
      </c>
    </row>
    <row r="223" spans="1:9" x14ac:dyDescent="0.15">
      <c r="A223" s="10">
        <v>222</v>
      </c>
      <c r="B223" s="11" t="s">
        <v>9</v>
      </c>
      <c r="C223" s="11" t="s">
        <v>179</v>
      </c>
      <c r="D223" s="11" t="s">
        <v>180</v>
      </c>
      <c r="E223" s="9" t="str">
        <f>+HYPERLINK("http://trademark.i-assist.jp/data/china/image_1908th/79331201.pdf", "79331201")</f>
        <v>79331201</v>
      </c>
      <c r="F223" s="11" t="s">
        <v>847</v>
      </c>
      <c r="G223" s="11" t="s">
        <v>848</v>
      </c>
      <c r="H223" s="11" t="s">
        <v>849</v>
      </c>
      <c r="I223" s="11" t="s">
        <v>50</v>
      </c>
    </row>
    <row r="224" spans="1:9" x14ac:dyDescent="0.15">
      <c r="A224" s="10">
        <v>223</v>
      </c>
      <c r="B224" s="11" t="s">
        <v>9</v>
      </c>
      <c r="C224" s="11" t="s">
        <v>179</v>
      </c>
      <c r="D224" s="11" t="s">
        <v>180</v>
      </c>
      <c r="E224" s="9" t="str">
        <f>+HYPERLINK("http://trademark.i-assist.jp/data/china/image_1908th/79332657.pdf", "79332657")</f>
        <v>79332657</v>
      </c>
      <c r="F224" s="11" t="s">
        <v>850</v>
      </c>
      <c r="G224" s="11" t="s">
        <v>146</v>
      </c>
      <c r="H224" s="11" t="s">
        <v>851</v>
      </c>
      <c r="I224" s="11" t="s">
        <v>50</v>
      </c>
    </row>
    <row r="225" spans="1:9" x14ac:dyDescent="0.15">
      <c r="A225" s="10">
        <v>224</v>
      </c>
      <c r="B225" s="11" t="s">
        <v>9</v>
      </c>
      <c r="C225" s="11" t="s">
        <v>179</v>
      </c>
      <c r="D225" s="11" t="s">
        <v>180</v>
      </c>
      <c r="E225" s="9" t="str">
        <f>+HYPERLINK("http://trademark.i-assist.jp/data/china/image_1908th/79332780.pdf", "79332780")</f>
        <v>79332780</v>
      </c>
      <c r="F225" s="11" t="s">
        <v>852</v>
      </c>
      <c r="G225" s="11" t="s">
        <v>848</v>
      </c>
      <c r="H225" s="11" t="s">
        <v>853</v>
      </c>
      <c r="I225" s="11" t="s">
        <v>50</v>
      </c>
    </row>
    <row r="226" spans="1:9" x14ac:dyDescent="0.15">
      <c r="A226" s="10">
        <v>225</v>
      </c>
      <c r="B226" s="11" t="s">
        <v>9</v>
      </c>
      <c r="C226" s="11" t="s">
        <v>179</v>
      </c>
      <c r="D226" s="11" t="s">
        <v>180</v>
      </c>
      <c r="E226" s="9" t="str">
        <f>+HYPERLINK("http://trademark.i-assist.jp/data/china/image_1908th/79333475.pdf", "79333475")</f>
        <v>79333475</v>
      </c>
      <c r="F226" s="11" t="s">
        <v>854</v>
      </c>
      <c r="G226" s="11" t="s">
        <v>840</v>
      </c>
      <c r="H226" s="11" t="s">
        <v>855</v>
      </c>
      <c r="I226" s="11" t="s">
        <v>50</v>
      </c>
    </row>
    <row r="227" spans="1:9" x14ac:dyDescent="0.15">
      <c r="A227" s="10">
        <v>226</v>
      </c>
      <c r="B227" s="11" t="s">
        <v>9</v>
      </c>
      <c r="C227" s="11" t="s">
        <v>179</v>
      </c>
      <c r="D227" s="11" t="s">
        <v>180</v>
      </c>
      <c r="E227" s="9" t="str">
        <f>+HYPERLINK("http://trademark.i-assist.jp/data/china/image_1908th/79335969.pdf", "79335969")</f>
        <v>79335969</v>
      </c>
      <c r="F227" s="11" t="s">
        <v>856</v>
      </c>
      <c r="G227" s="11" t="s">
        <v>848</v>
      </c>
      <c r="H227" s="11" t="s">
        <v>857</v>
      </c>
      <c r="I227" s="11" t="s">
        <v>50</v>
      </c>
    </row>
    <row r="228" spans="1:9" x14ac:dyDescent="0.15">
      <c r="A228" s="10">
        <v>227</v>
      </c>
      <c r="B228" s="11" t="s">
        <v>9</v>
      </c>
      <c r="C228" s="11" t="s">
        <v>179</v>
      </c>
      <c r="D228" s="11" t="s">
        <v>180</v>
      </c>
      <c r="E228" s="9" t="str">
        <f>+HYPERLINK("http://trademark.i-assist.jp/data/china/image_1908th/79337611.pdf", "79337611")</f>
        <v>79337611</v>
      </c>
      <c r="F228" s="11" t="s">
        <v>858</v>
      </c>
      <c r="G228" s="11" t="s">
        <v>840</v>
      </c>
      <c r="H228" s="11" t="s">
        <v>859</v>
      </c>
      <c r="I228" s="11" t="s">
        <v>50</v>
      </c>
    </row>
    <row r="229" spans="1:9" x14ac:dyDescent="0.15">
      <c r="A229" s="10">
        <v>228</v>
      </c>
      <c r="B229" s="11" t="s">
        <v>9</v>
      </c>
      <c r="C229" s="11" t="s">
        <v>179</v>
      </c>
      <c r="D229" s="11" t="s">
        <v>180</v>
      </c>
      <c r="E229" s="9" t="str">
        <f>+HYPERLINK("http://trademark.i-assist.jp/data/china/image_1908th/79340407.pdf", "79340407")</f>
        <v>79340407</v>
      </c>
      <c r="F229" s="11" t="s">
        <v>860</v>
      </c>
      <c r="G229" s="11" t="s">
        <v>840</v>
      </c>
      <c r="H229" s="11" t="s">
        <v>861</v>
      </c>
      <c r="I229" s="11" t="s">
        <v>50</v>
      </c>
    </row>
    <row r="230" spans="1:9" x14ac:dyDescent="0.15">
      <c r="A230" s="10">
        <v>229</v>
      </c>
      <c r="B230" s="11" t="s">
        <v>9</v>
      </c>
      <c r="C230" s="11" t="s">
        <v>179</v>
      </c>
      <c r="D230" s="11" t="s">
        <v>180</v>
      </c>
      <c r="E230" s="9" t="str">
        <f>+HYPERLINK("http://trademark.i-assist.jp/data/china/image_1908th/79341397.pdf", "79341397")</f>
        <v>79341397</v>
      </c>
      <c r="F230" s="11" t="s">
        <v>862</v>
      </c>
      <c r="G230" s="11" t="s">
        <v>863</v>
      </c>
      <c r="H230" s="11" t="s">
        <v>864</v>
      </c>
      <c r="I230" s="11" t="s">
        <v>50</v>
      </c>
    </row>
    <row r="231" spans="1:9" x14ac:dyDescent="0.15">
      <c r="A231" s="10">
        <v>230</v>
      </c>
      <c r="B231" s="11" t="s">
        <v>9</v>
      </c>
      <c r="C231" s="11" t="s">
        <v>179</v>
      </c>
      <c r="D231" s="11" t="s">
        <v>180</v>
      </c>
      <c r="E231" s="9" t="str">
        <f>+HYPERLINK("http://trademark.i-assist.jp/data/china/image_1908th/79341716.pdf", "79341716")</f>
        <v>79341716</v>
      </c>
      <c r="F231" s="11" t="s">
        <v>10</v>
      </c>
      <c r="G231" s="11" t="s">
        <v>865</v>
      </c>
      <c r="H231" s="11" t="s">
        <v>866</v>
      </c>
      <c r="I231" s="11" t="s">
        <v>50</v>
      </c>
    </row>
    <row r="232" spans="1:9" x14ac:dyDescent="0.15">
      <c r="A232" s="10">
        <v>231</v>
      </c>
      <c r="B232" s="11" t="s">
        <v>9</v>
      </c>
      <c r="C232" s="11" t="s">
        <v>179</v>
      </c>
      <c r="D232" s="11" t="s">
        <v>180</v>
      </c>
      <c r="E232" s="9" t="str">
        <f>+HYPERLINK("http://trademark.i-assist.jp/data/china/image_1908th/79344346.pdf", "79344346")</f>
        <v>79344346</v>
      </c>
      <c r="F232" s="11" t="s">
        <v>867</v>
      </c>
      <c r="G232" s="11" t="s">
        <v>868</v>
      </c>
      <c r="H232" s="11" t="s">
        <v>869</v>
      </c>
      <c r="I232" s="11" t="s">
        <v>50</v>
      </c>
    </row>
    <row r="233" spans="1:9" x14ac:dyDescent="0.15">
      <c r="A233" s="10">
        <v>232</v>
      </c>
      <c r="B233" s="11" t="s">
        <v>9</v>
      </c>
      <c r="C233" s="11" t="s">
        <v>179</v>
      </c>
      <c r="D233" s="11" t="s">
        <v>180</v>
      </c>
      <c r="E233" s="9" t="str">
        <f>+HYPERLINK("http://trademark.i-assist.jp/data/china/image_1908th/79344347.pdf", "79344347")</f>
        <v>79344347</v>
      </c>
      <c r="F233" s="11" t="s">
        <v>870</v>
      </c>
      <c r="G233" s="11" t="s">
        <v>871</v>
      </c>
      <c r="H233" s="11" t="s">
        <v>872</v>
      </c>
      <c r="I233" s="11" t="s">
        <v>50</v>
      </c>
    </row>
    <row r="234" spans="1:9" x14ac:dyDescent="0.15">
      <c r="A234" s="10">
        <v>233</v>
      </c>
      <c r="B234" s="11" t="s">
        <v>9</v>
      </c>
      <c r="C234" s="11" t="s">
        <v>179</v>
      </c>
      <c r="D234" s="11" t="s">
        <v>180</v>
      </c>
      <c r="E234" s="9" t="str">
        <f>+HYPERLINK("http://trademark.i-assist.jp/data/china/image_1908th/79345176.pdf", "79345176")</f>
        <v>79345176</v>
      </c>
      <c r="F234" s="11" t="s">
        <v>873</v>
      </c>
      <c r="G234" s="11" t="s">
        <v>146</v>
      </c>
      <c r="H234" s="11" t="s">
        <v>874</v>
      </c>
      <c r="I234" s="11" t="s">
        <v>50</v>
      </c>
    </row>
    <row r="235" spans="1:9" x14ac:dyDescent="0.15">
      <c r="A235" s="10">
        <v>234</v>
      </c>
      <c r="B235" s="11" t="s">
        <v>9</v>
      </c>
      <c r="C235" s="11" t="s">
        <v>179</v>
      </c>
      <c r="D235" s="11" t="s">
        <v>180</v>
      </c>
      <c r="E235" s="9" t="str">
        <f>+HYPERLINK("http://trademark.i-assist.jp/data/china/image_1908th/79349314.pdf", "79349314")</f>
        <v>79349314</v>
      </c>
      <c r="F235" s="11" t="s">
        <v>875</v>
      </c>
      <c r="G235" s="11" t="s">
        <v>876</v>
      </c>
      <c r="H235" s="11" t="s">
        <v>877</v>
      </c>
      <c r="I235" s="11" t="s">
        <v>58</v>
      </c>
    </row>
    <row r="236" spans="1:9" x14ac:dyDescent="0.15">
      <c r="A236" s="10">
        <v>235</v>
      </c>
      <c r="B236" s="11" t="s">
        <v>9</v>
      </c>
      <c r="C236" s="11" t="s">
        <v>179</v>
      </c>
      <c r="D236" s="11" t="s">
        <v>180</v>
      </c>
      <c r="E236" s="9" t="str">
        <f>+HYPERLINK("http://trademark.i-assist.jp/data/china/image_1908th/79351633.pdf", "79351633")</f>
        <v>79351633</v>
      </c>
      <c r="F236" s="11" t="s">
        <v>878</v>
      </c>
      <c r="G236" s="11" t="s">
        <v>879</v>
      </c>
      <c r="H236" s="11" t="s">
        <v>880</v>
      </c>
      <c r="I236" s="11" t="s">
        <v>58</v>
      </c>
    </row>
    <row r="237" spans="1:9" x14ac:dyDescent="0.15">
      <c r="A237" s="10">
        <v>236</v>
      </c>
      <c r="B237" s="11" t="s">
        <v>9</v>
      </c>
      <c r="C237" s="11" t="s">
        <v>179</v>
      </c>
      <c r="D237" s="11" t="s">
        <v>180</v>
      </c>
      <c r="E237" s="9" t="str">
        <f>+HYPERLINK("http://trademark.i-assist.jp/data/china/image_1908th/79352788.pdf", "79352788")</f>
        <v>79352788</v>
      </c>
      <c r="F237" s="11" t="s">
        <v>881</v>
      </c>
      <c r="G237" s="11" t="s">
        <v>882</v>
      </c>
      <c r="H237" s="11" t="s">
        <v>883</v>
      </c>
      <c r="I237" s="11" t="s">
        <v>58</v>
      </c>
    </row>
    <row r="238" spans="1:9" x14ac:dyDescent="0.15">
      <c r="A238" s="10">
        <v>237</v>
      </c>
      <c r="B238" s="11" t="s">
        <v>9</v>
      </c>
      <c r="C238" s="11" t="s">
        <v>179</v>
      </c>
      <c r="D238" s="11" t="s">
        <v>180</v>
      </c>
      <c r="E238" s="9" t="str">
        <f>+HYPERLINK("http://trademark.i-assist.jp/data/china/image_1908th/79353794.pdf", "79353794")</f>
        <v>79353794</v>
      </c>
      <c r="F238" s="11" t="s">
        <v>884</v>
      </c>
      <c r="G238" s="11" t="s">
        <v>885</v>
      </c>
      <c r="H238" s="11" t="s">
        <v>886</v>
      </c>
      <c r="I238" s="11" t="s">
        <v>58</v>
      </c>
    </row>
    <row r="239" spans="1:9" x14ac:dyDescent="0.15">
      <c r="A239" s="10">
        <v>238</v>
      </c>
      <c r="B239" s="11" t="s">
        <v>9</v>
      </c>
      <c r="C239" s="11" t="s">
        <v>179</v>
      </c>
      <c r="D239" s="11" t="s">
        <v>180</v>
      </c>
      <c r="E239" s="9" t="str">
        <f>+HYPERLINK("http://trademark.i-assist.jp/data/china/image_1908th/79354804.pdf", "79354804")</f>
        <v>79354804</v>
      </c>
      <c r="F239" s="11" t="s">
        <v>887</v>
      </c>
      <c r="G239" s="11" t="s">
        <v>888</v>
      </c>
      <c r="H239" s="11" t="s">
        <v>889</v>
      </c>
      <c r="I239" s="11" t="s">
        <v>58</v>
      </c>
    </row>
    <row r="240" spans="1:9" x14ac:dyDescent="0.15">
      <c r="A240" s="10">
        <v>239</v>
      </c>
      <c r="B240" s="11" t="s">
        <v>9</v>
      </c>
      <c r="C240" s="11" t="s">
        <v>179</v>
      </c>
      <c r="D240" s="11" t="s">
        <v>180</v>
      </c>
      <c r="E240" s="9" t="str">
        <f>+HYPERLINK("http://trademark.i-assist.jp/data/china/image_1908th/79361413.pdf", "79361413")</f>
        <v>79361413</v>
      </c>
      <c r="F240" s="11" t="s">
        <v>890</v>
      </c>
      <c r="G240" s="11" t="s">
        <v>891</v>
      </c>
      <c r="H240" s="11" t="s">
        <v>892</v>
      </c>
      <c r="I240" s="11" t="s">
        <v>58</v>
      </c>
    </row>
    <row r="241" spans="1:9" x14ac:dyDescent="0.15">
      <c r="A241" s="10">
        <v>240</v>
      </c>
      <c r="B241" s="11" t="s">
        <v>9</v>
      </c>
      <c r="C241" s="11" t="s">
        <v>179</v>
      </c>
      <c r="D241" s="11" t="s">
        <v>180</v>
      </c>
      <c r="E241" s="9" t="str">
        <f>+HYPERLINK("http://trademark.i-assist.jp/data/china/image_1908th/79362344.pdf", "79362344")</f>
        <v>79362344</v>
      </c>
      <c r="F241" s="11" t="s">
        <v>893</v>
      </c>
      <c r="G241" s="11" t="s">
        <v>894</v>
      </c>
      <c r="H241" s="11" t="s">
        <v>895</v>
      </c>
      <c r="I241" s="11" t="s">
        <v>58</v>
      </c>
    </row>
    <row r="242" spans="1:9" x14ac:dyDescent="0.15">
      <c r="A242" s="10">
        <v>241</v>
      </c>
      <c r="B242" s="11" t="s">
        <v>9</v>
      </c>
      <c r="C242" s="11" t="s">
        <v>179</v>
      </c>
      <c r="D242" s="11" t="s">
        <v>180</v>
      </c>
      <c r="E242" s="9" t="str">
        <f>+HYPERLINK("http://trademark.i-assist.jp/data/china/image_1908th/79362951.pdf", "79362951")</f>
        <v>79362951</v>
      </c>
      <c r="F242" s="11" t="s">
        <v>10</v>
      </c>
      <c r="G242" s="11" t="s">
        <v>96</v>
      </c>
      <c r="H242" s="11" t="s">
        <v>896</v>
      </c>
      <c r="I242" s="11" t="s">
        <v>58</v>
      </c>
    </row>
    <row r="243" spans="1:9" x14ac:dyDescent="0.15">
      <c r="A243" s="10">
        <v>242</v>
      </c>
      <c r="B243" s="11" t="s">
        <v>9</v>
      </c>
      <c r="C243" s="11" t="s">
        <v>179</v>
      </c>
      <c r="D243" s="11" t="s">
        <v>180</v>
      </c>
      <c r="E243" s="9" t="str">
        <f>+HYPERLINK("http://trademark.i-assist.jp/data/china/image_1908th/79365340.pdf", "79365340")</f>
        <v>79365340</v>
      </c>
      <c r="F243" s="11" t="s">
        <v>897</v>
      </c>
      <c r="G243" s="11" t="s">
        <v>898</v>
      </c>
      <c r="H243" s="11" t="s">
        <v>899</v>
      </c>
      <c r="I243" s="11" t="s">
        <v>58</v>
      </c>
    </row>
    <row r="244" spans="1:9" x14ac:dyDescent="0.15">
      <c r="A244" s="10">
        <v>243</v>
      </c>
      <c r="B244" s="11" t="s">
        <v>9</v>
      </c>
      <c r="C244" s="11" t="s">
        <v>179</v>
      </c>
      <c r="D244" s="11" t="s">
        <v>180</v>
      </c>
      <c r="E244" s="9" t="str">
        <f>+HYPERLINK("http://trademark.i-assist.jp/data/china/image_1908th/79369226.pdf", "79369226")</f>
        <v>79369226</v>
      </c>
      <c r="F244" s="11" t="s">
        <v>900</v>
      </c>
      <c r="G244" s="11" t="s">
        <v>747</v>
      </c>
      <c r="H244" s="11" t="s">
        <v>901</v>
      </c>
      <c r="I244" s="11" t="s">
        <v>58</v>
      </c>
    </row>
    <row r="245" spans="1:9" x14ac:dyDescent="0.15">
      <c r="A245" s="10">
        <v>244</v>
      </c>
      <c r="B245" s="11" t="s">
        <v>9</v>
      </c>
      <c r="C245" s="11" t="s">
        <v>179</v>
      </c>
      <c r="D245" s="11" t="s">
        <v>180</v>
      </c>
      <c r="E245" s="9" t="str">
        <f>+HYPERLINK("http://trademark.i-assist.jp/data/china/image_1908th/79373210.pdf", "79373210")</f>
        <v>79373210</v>
      </c>
      <c r="F245" s="11" t="s">
        <v>902</v>
      </c>
      <c r="G245" s="11" t="s">
        <v>903</v>
      </c>
      <c r="H245" s="11" t="s">
        <v>904</v>
      </c>
      <c r="I245" s="11" t="s">
        <v>58</v>
      </c>
    </row>
    <row r="246" spans="1:9" x14ac:dyDescent="0.15">
      <c r="A246" s="10">
        <v>245</v>
      </c>
      <c r="B246" s="11" t="s">
        <v>9</v>
      </c>
      <c r="C246" s="11" t="s">
        <v>179</v>
      </c>
      <c r="D246" s="11" t="s">
        <v>180</v>
      </c>
      <c r="E246" s="9" t="str">
        <f>+HYPERLINK("http://trademark.i-assist.jp/data/china/image_1908th/79378400.pdf", "79378400")</f>
        <v>79378400</v>
      </c>
      <c r="F246" s="11" t="s">
        <v>905</v>
      </c>
      <c r="G246" s="11" t="s">
        <v>906</v>
      </c>
      <c r="H246" s="11" t="s">
        <v>907</v>
      </c>
      <c r="I246" s="11" t="s">
        <v>59</v>
      </c>
    </row>
    <row r="247" spans="1:9" x14ac:dyDescent="0.15">
      <c r="A247" s="10">
        <v>246</v>
      </c>
      <c r="B247" s="11" t="s">
        <v>9</v>
      </c>
      <c r="C247" s="11" t="s">
        <v>179</v>
      </c>
      <c r="D247" s="11" t="s">
        <v>180</v>
      </c>
      <c r="E247" s="9" t="str">
        <f>+HYPERLINK("http://trademark.i-assist.jp/data/china/image_1908th/79379100.pdf", "79379100")</f>
        <v>79379100</v>
      </c>
      <c r="F247" s="11" t="s">
        <v>908</v>
      </c>
      <c r="G247" s="11" t="s">
        <v>909</v>
      </c>
      <c r="H247" s="11" t="s">
        <v>910</v>
      </c>
      <c r="I247" s="11" t="s">
        <v>59</v>
      </c>
    </row>
    <row r="248" spans="1:9" x14ac:dyDescent="0.15">
      <c r="A248" s="10">
        <v>247</v>
      </c>
      <c r="B248" s="11" t="s">
        <v>9</v>
      </c>
      <c r="C248" s="11" t="s">
        <v>179</v>
      </c>
      <c r="D248" s="11" t="s">
        <v>180</v>
      </c>
      <c r="E248" s="9" t="str">
        <f>+HYPERLINK("http://trademark.i-assist.jp/data/china/image_1908th/79379102.pdf", "79379102")</f>
        <v>79379102</v>
      </c>
      <c r="F248" s="11" t="s">
        <v>911</v>
      </c>
      <c r="G248" s="11" t="s">
        <v>909</v>
      </c>
      <c r="H248" s="11" t="s">
        <v>912</v>
      </c>
      <c r="I248" s="11" t="s">
        <v>59</v>
      </c>
    </row>
    <row r="249" spans="1:9" x14ac:dyDescent="0.15">
      <c r="A249" s="10">
        <v>248</v>
      </c>
      <c r="B249" s="11" t="s">
        <v>9</v>
      </c>
      <c r="C249" s="11" t="s">
        <v>179</v>
      </c>
      <c r="D249" s="11" t="s">
        <v>180</v>
      </c>
      <c r="E249" s="9" t="str">
        <f>+HYPERLINK("http://trademark.i-assist.jp/data/china/image_1908th/79384364.pdf", "79384364")</f>
        <v>79384364</v>
      </c>
      <c r="F249" s="11" t="s">
        <v>913</v>
      </c>
      <c r="G249" s="11" t="s">
        <v>914</v>
      </c>
      <c r="H249" s="11" t="s">
        <v>915</v>
      </c>
      <c r="I249" s="11" t="s">
        <v>98</v>
      </c>
    </row>
    <row r="250" spans="1:9" x14ac:dyDescent="0.15">
      <c r="A250" s="10">
        <v>249</v>
      </c>
      <c r="B250" s="11" t="s">
        <v>9</v>
      </c>
      <c r="C250" s="11" t="s">
        <v>179</v>
      </c>
      <c r="D250" s="11" t="s">
        <v>180</v>
      </c>
      <c r="E250" s="9" t="str">
        <f>+HYPERLINK("http://trademark.i-assist.jp/data/china/image_1908th/79385081.pdf", "79385081")</f>
        <v>79385081</v>
      </c>
      <c r="F250" s="11" t="s">
        <v>10</v>
      </c>
      <c r="G250" s="11" t="s">
        <v>916</v>
      </c>
      <c r="H250" s="11" t="s">
        <v>917</v>
      </c>
      <c r="I250" s="11" t="s">
        <v>60</v>
      </c>
    </row>
    <row r="251" spans="1:9" x14ac:dyDescent="0.15">
      <c r="A251" s="10">
        <v>250</v>
      </c>
      <c r="B251" s="11" t="s">
        <v>9</v>
      </c>
      <c r="C251" s="11" t="s">
        <v>179</v>
      </c>
      <c r="D251" s="11" t="s">
        <v>180</v>
      </c>
      <c r="E251" s="9" t="str">
        <f>+HYPERLINK("http://trademark.i-assist.jp/data/china/image_1908th/79385390.pdf", "79385390")</f>
        <v>79385390</v>
      </c>
      <c r="F251" s="11" t="s">
        <v>918</v>
      </c>
      <c r="G251" s="11" t="s">
        <v>919</v>
      </c>
      <c r="H251" s="11" t="s">
        <v>920</v>
      </c>
      <c r="I251" s="11" t="s">
        <v>60</v>
      </c>
    </row>
    <row r="252" spans="1:9" x14ac:dyDescent="0.15">
      <c r="A252" s="10">
        <v>251</v>
      </c>
      <c r="B252" s="11" t="s">
        <v>9</v>
      </c>
      <c r="C252" s="11" t="s">
        <v>179</v>
      </c>
      <c r="D252" s="11" t="s">
        <v>180</v>
      </c>
      <c r="E252" s="9" t="str">
        <f>+HYPERLINK("http://trademark.i-assist.jp/data/china/image_1908th/79390209.pdf", "79390209")</f>
        <v>79390209</v>
      </c>
      <c r="F252" s="11" t="s">
        <v>10</v>
      </c>
      <c r="G252" s="11" t="s">
        <v>921</v>
      </c>
      <c r="H252" s="11" t="s">
        <v>922</v>
      </c>
      <c r="I252" s="11" t="s">
        <v>60</v>
      </c>
    </row>
    <row r="253" spans="1:9" x14ac:dyDescent="0.15">
      <c r="A253" s="10">
        <v>252</v>
      </c>
      <c r="B253" s="11" t="s">
        <v>9</v>
      </c>
      <c r="C253" s="11" t="s">
        <v>179</v>
      </c>
      <c r="D253" s="11" t="s">
        <v>180</v>
      </c>
      <c r="E253" s="9" t="str">
        <f>+HYPERLINK("http://trademark.i-assist.jp/data/china/image_1908th/79392243.pdf", "79392243")</f>
        <v>79392243</v>
      </c>
      <c r="F253" s="11" t="s">
        <v>923</v>
      </c>
      <c r="G253" s="11" t="s">
        <v>95</v>
      </c>
      <c r="H253" s="11" t="s">
        <v>924</v>
      </c>
      <c r="I253" s="11" t="s">
        <v>60</v>
      </c>
    </row>
    <row r="254" spans="1:9" x14ac:dyDescent="0.15">
      <c r="A254" s="10">
        <v>253</v>
      </c>
      <c r="B254" s="11" t="s">
        <v>9</v>
      </c>
      <c r="C254" s="11" t="s">
        <v>179</v>
      </c>
      <c r="D254" s="11" t="s">
        <v>180</v>
      </c>
      <c r="E254" s="9" t="str">
        <f>+HYPERLINK("http://trademark.i-assist.jp/data/china/image_1908th/79393177.pdf", "79393177")</f>
        <v>79393177</v>
      </c>
      <c r="F254" s="11" t="s">
        <v>925</v>
      </c>
      <c r="G254" s="11" t="s">
        <v>926</v>
      </c>
      <c r="H254" s="11" t="s">
        <v>927</v>
      </c>
      <c r="I254" s="11" t="s">
        <v>60</v>
      </c>
    </row>
    <row r="255" spans="1:9" x14ac:dyDescent="0.15">
      <c r="A255" s="10">
        <v>254</v>
      </c>
      <c r="B255" s="11" t="s">
        <v>9</v>
      </c>
      <c r="C255" s="11" t="s">
        <v>179</v>
      </c>
      <c r="D255" s="11" t="s">
        <v>180</v>
      </c>
      <c r="E255" s="9" t="str">
        <f>+HYPERLINK("http://trademark.i-assist.jp/data/china/image_1908th/79397835.pdf", "79397835")</f>
        <v>79397835</v>
      </c>
      <c r="F255" s="11" t="s">
        <v>928</v>
      </c>
      <c r="G255" s="11" t="s">
        <v>929</v>
      </c>
      <c r="H255" s="11" t="s">
        <v>930</v>
      </c>
      <c r="I255" s="11" t="s">
        <v>60</v>
      </c>
    </row>
    <row r="256" spans="1:9" x14ac:dyDescent="0.15">
      <c r="A256" s="10">
        <v>255</v>
      </c>
      <c r="B256" s="11" t="s">
        <v>9</v>
      </c>
      <c r="C256" s="11" t="s">
        <v>179</v>
      </c>
      <c r="D256" s="11" t="s">
        <v>180</v>
      </c>
      <c r="E256" s="9" t="str">
        <f>+HYPERLINK("http://trademark.i-assist.jp/data/china/image_1908th/79399179.pdf", "79399179")</f>
        <v>79399179</v>
      </c>
      <c r="F256" s="11" t="s">
        <v>931</v>
      </c>
      <c r="G256" s="11" t="s">
        <v>932</v>
      </c>
      <c r="H256" s="11" t="s">
        <v>933</v>
      </c>
      <c r="I256" s="11" t="s">
        <v>60</v>
      </c>
    </row>
    <row r="257" spans="1:9" x14ac:dyDescent="0.15">
      <c r="A257" s="10">
        <v>256</v>
      </c>
      <c r="B257" s="11" t="s">
        <v>9</v>
      </c>
      <c r="C257" s="11" t="s">
        <v>179</v>
      </c>
      <c r="D257" s="11" t="s">
        <v>180</v>
      </c>
      <c r="E257" s="9" t="str">
        <f>+HYPERLINK("http://trademark.i-assist.jp/data/china/image_1908th/79401441.pdf", "79401441")</f>
        <v>79401441</v>
      </c>
      <c r="F257" s="11" t="s">
        <v>934</v>
      </c>
      <c r="G257" s="11" t="s">
        <v>935</v>
      </c>
      <c r="H257" s="11" t="s">
        <v>936</v>
      </c>
      <c r="I257" s="11" t="s">
        <v>60</v>
      </c>
    </row>
    <row r="258" spans="1:9" x14ac:dyDescent="0.15">
      <c r="A258" s="10">
        <v>257</v>
      </c>
      <c r="B258" s="11" t="s">
        <v>9</v>
      </c>
      <c r="C258" s="11" t="s">
        <v>179</v>
      </c>
      <c r="D258" s="11" t="s">
        <v>180</v>
      </c>
      <c r="E258" s="9" t="str">
        <f>+HYPERLINK("http://trademark.i-assist.jp/data/china/image_1908th/79403227.pdf", "79403227")</f>
        <v>79403227</v>
      </c>
      <c r="F258" s="11" t="s">
        <v>937</v>
      </c>
      <c r="G258" s="11" t="s">
        <v>938</v>
      </c>
      <c r="H258" s="11" t="s">
        <v>939</v>
      </c>
      <c r="I258" s="11" t="s">
        <v>60</v>
      </c>
    </row>
    <row r="259" spans="1:9" x14ac:dyDescent="0.15">
      <c r="A259" s="10">
        <v>258</v>
      </c>
      <c r="B259" s="11" t="s">
        <v>9</v>
      </c>
      <c r="C259" s="11" t="s">
        <v>179</v>
      </c>
      <c r="D259" s="11" t="s">
        <v>180</v>
      </c>
      <c r="E259" s="9" t="str">
        <f>+HYPERLINK("http://trademark.i-assist.jp/data/china/image_1908th/79403937.pdf", "79403937")</f>
        <v>79403937</v>
      </c>
      <c r="F259" s="11" t="s">
        <v>940</v>
      </c>
      <c r="G259" s="11" t="s">
        <v>149</v>
      </c>
      <c r="H259" s="11" t="s">
        <v>941</v>
      </c>
      <c r="I259" s="11" t="s">
        <v>60</v>
      </c>
    </row>
    <row r="260" spans="1:9" x14ac:dyDescent="0.15">
      <c r="A260" s="10">
        <v>259</v>
      </c>
      <c r="B260" s="11" t="s">
        <v>9</v>
      </c>
      <c r="C260" s="11" t="s">
        <v>179</v>
      </c>
      <c r="D260" s="11" t="s">
        <v>180</v>
      </c>
      <c r="E260" s="9" t="str">
        <f>+HYPERLINK("http://trademark.i-assist.jp/data/china/image_1908th/79405199.pdf", "79405199")</f>
        <v>79405199</v>
      </c>
      <c r="F260" s="11" t="s">
        <v>942</v>
      </c>
      <c r="G260" s="11" t="s">
        <v>943</v>
      </c>
      <c r="H260" s="11" t="s">
        <v>944</v>
      </c>
      <c r="I260" s="11" t="s">
        <v>60</v>
      </c>
    </row>
    <row r="261" spans="1:9" x14ac:dyDescent="0.15">
      <c r="A261" s="10">
        <v>260</v>
      </c>
      <c r="B261" s="11" t="s">
        <v>9</v>
      </c>
      <c r="C261" s="11" t="s">
        <v>179</v>
      </c>
      <c r="D261" s="11" t="s">
        <v>180</v>
      </c>
      <c r="E261" s="9" t="str">
        <f>+HYPERLINK("http://trademark.i-assist.jp/data/china/image_1908th/79410202.pdf", "79410202")</f>
        <v>79410202</v>
      </c>
      <c r="F261" s="11" t="s">
        <v>945</v>
      </c>
      <c r="G261" s="11" t="s">
        <v>946</v>
      </c>
      <c r="H261" s="11" t="s">
        <v>947</v>
      </c>
      <c r="I261" s="11" t="s">
        <v>60</v>
      </c>
    </row>
    <row r="262" spans="1:9" x14ac:dyDescent="0.15">
      <c r="A262" s="10">
        <v>261</v>
      </c>
      <c r="B262" s="11" t="s">
        <v>9</v>
      </c>
      <c r="C262" s="11" t="s">
        <v>179</v>
      </c>
      <c r="D262" s="11" t="s">
        <v>180</v>
      </c>
      <c r="E262" s="9" t="str">
        <f>+HYPERLINK("http://trademark.i-assist.jp/data/china/image_1908th/79416863.pdf", "79416863")</f>
        <v>79416863</v>
      </c>
      <c r="F262" s="11" t="s">
        <v>948</v>
      </c>
      <c r="G262" s="11" t="s">
        <v>949</v>
      </c>
      <c r="H262" s="11" t="s">
        <v>950</v>
      </c>
      <c r="I262" s="11" t="s">
        <v>62</v>
      </c>
    </row>
    <row r="263" spans="1:9" x14ac:dyDescent="0.15">
      <c r="A263" s="10">
        <v>262</v>
      </c>
      <c r="B263" s="11" t="s">
        <v>9</v>
      </c>
      <c r="C263" s="11" t="s">
        <v>179</v>
      </c>
      <c r="D263" s="11" t="s">
        <v>180</v>
      </c>
      <c r="E263" s="9" t="str">
        <f>+HYPERLINK("http://trademark.i-assist.jp/data/china/image_1908th/79417718.pdf", "79417718")</f>
        <v>79417718</v>
      </c>
      <c r="F263" s="11" t="s">
        <v>951</v>
      </c>
      <c r="G263" s="11" t="s">
        <v>103</v>
      </c>
      <c r="H263" s="11" t="s">
        <v>952</v>
      </c>
      <c r="I263" s="11" t="s">
        <v>62</v>
      </c>
    </row>
    <row r="264" spans="1:9" x14ac:dyDescent="0.15">
      <c r="A264" s="10">
        <v>263</v>
      </c>
      <c r="B264" s="11" t="s">
        <v>9</v>
      </c>
      <c r="C264" s="11" t="s">
        <v>179</v>
      </c>
      <c r="D264" s="11" t="s">
        <v>180</v>
      </c>
      <c r="E264" s="9" t="str">
        <f>+HYPERLINK("http://trademark.i-assist.jp/data/china/image_1908th/79417914.pdf", "79417914")</f>
        <v>79417914</v>
      </c>
      <c r="F264" s="11" t="s">
        <v>953</v>
      </c>
      <c r="G264" s="11" t="s">
        <v>954</v>
      </c>
      <c r="H264" s="11" t="s">
        <v>955</v>
      </c>
      <c r="I264" s="11" t="s">
        <v>62</v>
      </c>
    </row>
    <row r="265" spans="1:9" x14ac:dyDescent="0.15">
      <c r="A265" s="10">
        <v>264</v>
      </c>
      <c r="B265" s="11" t="s">
        <v>9</v>
      </c>
      <c r="C265" s="11" t="s">
        <v>179</v>
      </c>
      <c r="D265" s="11" t="s">
        <v>180</v>
      </c>
      <c r="E265" s="9" t="str">
        <f>+HYPERLINK("http://trademark.i-assist.jp/data/china/image_1908th/79418369.pdf", "79418369")</f>
        <v>79418369</v>
      </c>
      <c r="F265" s="11" t="s">
        <v>956</v>
      </c>
      <c r="G265" s="11" t="s">
        <v>957</v>
      </c>
      <c r="H265" s="11" t="s">
        <v>958</v>
      </c>
      <c r="I265" s="11" t="s">
        <v>62</v>
      </c>
    </row>
    <row r="266" spans="1:9" x14ac:dyDescent="0.15">
      <c r="A266" s="10">
        <v>265</v>
      </c>
      <c r="B266" s="11" t="s">
        <v>9</v>
      </c>
      <c r="C266" s="11" t="s">
        <v>179</v>
      </c>
      <c r="D266" s="11" t="s">
        <v>180</v>
      </c>
      <c r="E266" s="9" t="str">
        <f>+HYPERLINK("http://trademark.i-assist.jp/data/china/image_1908th/79422848.pdf", "79422848")</f>
        <v>79422848</v>
      </c>
      <c r="F266" s="11" t="s">
        <v>959</v>
      </c>
      <c r="G266" s="11" t="s">
        <v>960</v>
      </c>
      <c r="H266" s="11" t="s">
        <v>961</v>
      </c>
      <c r="I266" s="11" t="s">
        <v>62</v>
      </c>
    </row>
    <row r="267" spans="1:9" x14ac:dyDescent="0.15">
      <c r="A267" s="10">
        <v>266</v>
      </c>
      <c r="B267" s="11" t="s">
        <v>9</v>
      </c>
      <c r="C267" s="11" t="s">
        <v>179</v>
      </c>
      <c r="D267" s="11" t="s">
        <v>180</v>
      </c>
      <c r="E267" s="9" t="str">
        <f>+HYPERLINK("http://trademark.i-assist.jp/data/china/image_1908th/79426129.pdf", "79426129")</f>
        <v>79426129</v>
      </c>
      <c r="F267" s="11" t="s">
        <v>962</v>
      </c>
      <c r="G267" s="11" t="s">
        <v>57</v>
      </c>
      <c r="H267" s="11" t="s">
        <v>963</v>
      </c>
      <c r="I267" s="11" t="s">
        <v>62</v>
      </c>
    </row>
    <row r="268" spans="1:9" x14ac:dyDescent="0.15">
      <c r="A268" s="10">
        <v>267</v>
      </c>
      <c r="B268" s="11" t="s">
        <v>9</v>
      </c>
      <c r="C268" s="11" t="s">
        <v>179</v>
      </c>
      <c r="D268" s="11" t="s">
        <v>180</v>
      </c>
      <c r="E268" s="9" t="str">
        <f>+HYPERLINK("http://trademark.i-assist.jp/data/china/image_1908th/79427713.pdf", "79427713")</f>
        <v>79427713</v>
      </c>
      <c r="F268" s="11" t="s">
        <v>964</v>
      </c>
      <c r="G268" s="11" t="s">
        <v>965</v>
      </c>
      <c r="H268" s="11" t="s">
        <v>966</v>
      </c>
      <c r="I268" s="11" t="s">
        <v>62</v>
      </c>
    </row>
    <row r="269" spans="1:9" x14ac:dyDescent="0.15">
      <c r="A269" s="10">
        <v>268</v>
      </c>
      <c r="B269" s="11" t="s">
        <v>9</v>
      </c>
      <c r="C269" s="11" t="s">
        <v>179</v>
      </c>
      <c r="D269" s="11" t="s">
        <v>180</v>
      </c>
      <c r="E269" s="9" t="str">
        <f>+HYPERLINK("http://trademark.i-assist.jp/data/china/image_1908th/79431242.pdf", "79431242")</f>
        <v>79431242</v>
      </c>
      <c r="F269" s="11" t="s">
        <v>967</v>
      </c>
      <c r="G269" s="11" t="s">
        <v>968</v>
      </c>
      <c r="H269" s="11" t="s">
        <v>969</v>
      </c>
      <c r="I269" s="11" t="s">
        <v>62</v>
      </c>
    </row>
    <row r="270" spans="1:9" x14ac:dyDescent="0.15">
      <c r="A270" s="10">
        <v>269</v>
      </c>
      <c r="B270" s="11" t="s">
        <v>9</v>
      </c>
      <c r="C270" s="11" t="s">
        <v>179</v>
      </c>
      <c r="D270" s="11" t="s">
        <v>180</v>
      </c>
      <c r="E270" s="9" t="str">
        <f>+HYPERLINK("http://trademark.i-assist.jp/data/china/image_1908th/79432736.pdf", "79432736")</f>
        <v>79432736</v>
      </c>
      <c r="F270" s="11" t="s">
        <v>970</v>
      </c>
      <c r="G270" s="11" t="s">
        <v>971</v>
      </c>
      <c r="H270" s="11" t="s">
        <v>972</v>
      </c>
      <c r="I270" s="11" t="s">
        <v>62</v>
      </c>
    </row>
    <row r="271" spans="1:9" x14ac:dyDescent="0.15">
      <c r="A271" s="10">
        <v>270</v>
      </c>
      <c r="B271" s="11" t="s">
        <v>9</v>
      </c>
      <c r="C271" s="11" t="s">
        <v>179</v>
      </c>
      <c r="D271" s="11" t="s">
        <v>180</v>
      </c>
      <c r="E271" s="9" t="str">
        <f>+HYPERLINK("http://trademark.i-assist.jp/data/china/image_1908th/79435841.pdf", "79435841")</f>
        <v>79435841</v>
      </c>
      <c r="F271" s="11" t="s">
        <v>973</v>
      </c>
      <c r="G271" s="11" t="s">
        <v>102</v>
      </c>
      <c r="H271" s="11" t="s">
        <v>974</v>
      </c>
      <c r="I271" s="11" t="s">
        <v>62</v>
      </c>
    </row>
    <row r="272" spans="1:9" x14ac:dyDescent="0.15">
      <c r="A272" s="10">
        <v>271</v>
      </c>
      <c r="B272" s="11" t="s">
        <v>9</v>
      </c>
      <c r="C272" s="11" t="s">
        <v>179</v>
      </c>
      <c r="D272" s="11" t="s">
        <v>180</v>
      </c>
      <c r="E272" s="9" t="str">
        <f>+HYPERLINK("http://trademark.i-assist.jp/data/china/image_1908th/79436835.pdf", "79436835")</f>
        <v>79436835</v>
      </c>
      <c r="F272" s="11" t="s">
        <v>975</v>
      </c>
      <c r="G272" s="11" t="s">
        <v>976</v>
      </c>
      <c r="H272" s="11" t="s">
        <v>977</v>
      </c>
      <c r="I272" s="11" t="s">
        <v>62</v>
      </c>
    </row>
    <row r="273" spans="1:9" x14ac:dyDescent="0.15">
      <c r="A273" s="10">
        <v>272</v>
      </c>
      <c r="B273" s="11" t="s">
        <v>9</v>
      </c>
      <c r="C273" s="11" t="s">
        <v>179</v>
      </c>
      <c r="D273" s="11" t="s">
        <v>180</v>
      </c>
      <c r="E273" s="9" t="str">
        <f>+HYPERLINK("http://trademark.i-assist.jp/data/china/image_1908th/79436939.pdf", "79436939")</f>
        <v>79436939</v>
      </c>
      <c r="F273" s="11" t="s">
        <v>978</v>
      </c>
      <c r="G273" s="11" t="s">
        <v>979</v>
      </c>
      <c r="H273" s="11" t="s">
        <v>980</v>
      </c>
      <c r="I273" s="11" t="s">
        <v>62</v>
      </c>
    </row>
    <row r="274" spans="1:9" x14ac:dyDescent="0.15">
      <c r="A274" s="10">
        <v>273</v>
      </c>
      <c r="B274" s="11" t="s">
        <v>9</v>
      </c>
      <c r="C274" s="11" t="s">
        <v>179</v>
      </c>
      <c r="D274" s="11" t="s">
        <v>180</v>
      </c>
      <c r="E274" s="9" t="str">
        <f>+HYPERLINK("http://trademark.i-assist.jp/data/china/image_1908th/79437660.pdf", "79437660")</f>
        <v>79437660</v>
      </c>
      <c r="F274" s="11" t="s">
        <v>981</v>
      </c>
      <c r="G274" s="11" t="s">
        <v>982</v>
      </c>
      <c r="H274" s="11" t="s">
        <v>983</v>
      </c>
      <c r="I274" s="11" t="s">
        <v>62</v>
      </c>
    </row>
    <row r="275" spans="1:9" x14ac:dyDescent="0.15">
      <c r="A275" s="10">
        <v>274</v>
      </c>
      <c r="B275" s="11" t="s">
        <v>9</v>
      </c>
      <c r="C275" s="11" t="s">
        <v>179</v>
      </c>
      <c r="D275" s="11" t="s">
        <v>180</v>
      </c>
      <c r="E275" s="9" t="str">
        <f>+HYPERLINK("http://trademark.i-assist.jp/data/china/image_1908th/79438145.pdf", "79438145")</f>
        <v>79438145</v>
      </c>
      <c r="F275" s="11" t="s">
        <v>984</v>
      </c>
      <c r="G275" s="11" t="s">
        <v>985</v>
      </c>
      <c r="H275" s="11" t="s">
        <v>986</v>
      </c>
      <c r="I275" s="11" t="s">
        <v>63</v>
      </c>
    </row>
    <row r="276" spans="1:9" x14ac:dyDescent="0.15">
      <c r="A276" s="10">
        <v>275</v>
      </c>
      <c r="B276" s="11" t="s">
        <v>9</v>
      </c>
      <c r="C276" s="11" t="s">
        <v>179</v>
      </c>
      <c r="D276" s="11" t="s">
        <v>180</v>
      </c>
      <c r="E276" s="9" t="str">
        <f>+HYPERLINK("http://trademark.i-assist.jp/data/china/image_1908th/79438916.pdf", "79438916")</f>
        <v>79438916</v>
      </c>
      <c r="F276" s="11" t="s">
        <v>987</v>
      </c>
      <c r="G276" s="11" t="s">
        <v>988</v>
      </c>
      <c r="H276" s="11" t="s">
        <v>989</v>
      </c>
      <c r="I276" s="11" t="s">
        <v>63</v>
      </c>
    </row>
    <row r="277" spans="1:9" x14ac:dyDescent="0.15">
      <c r="A277" s="10">
        <v>276</v>
      </c>
      <c r="B277" s="11" t="s">
        <v>9</v>
      </c>
      <c r="C277" s="11" t="s">
        <v>179</v>
      </c>
      <c r="D277" s="11" t="s">
        <v>180</v>
      </c>
      <c r="E277" s="9" t="str">
        <f>+HYPERLINK("http://trademark.i-assist.jp/data/china/image_1908th/79446683.pdf", "79446683")</f>
        <v>79446683</v>
      </c>
      <c r="F277" s="11" t="s">
        <v>990</v>
      </c>
      <c r="G277" s="11" t="s">
        <v>991</v>
      </c>
      <c r="H277" s="11" t="s">
        <v>992</v>
      </c>
      <c r="I277" s="11" t="s">
        <v>63</v>
      </c>
    </row>
    <row r="278" spans="1:9" x14ac:dyDescent="0.15">
      <c r="A278" s="10">
        <v>277</v>
      </c>
      <c r="B278" s="11" t="s">
        <v>9</v>
      </c>
      <c r="C278" s="11" t="s">
        <v>179</v>
      </c>
      <c r="D278" s="11" t="s">
        <v>180</v>
      </c>
      <c r="E278" s="9" t="str">
        <f>+HYPERLINK("http://trademark.i-assist.jp/data/china/image_1908th/79449891.pdf", "79449891")</f>
        <v>79449891</v>
      </c>
      <c r="F278" s="11" t="s">
        <v>993</v>
      </c>
      <c r="G278" s="11" t="s">
        <v>994</v>
      </c>
      <c r="H278" s="11" t="s">
        <v>995</v>
      </c>
      <c r="I278" s="11" t="s">
        <v>63</v>
      </c>
    </row>
    <row r="279" spans="1:9" x14ac:dyDescent="0.15">
      <c r="A279" s="10">
        <v>278</v>
      </c>
      <c r="B279" s="11" t="s">
        <v>9</v>
      </c>
      <c r="C279" s="11" t="s">
        <v>179</v>
      </c>
      <c r="D279" s="11" t="s">
        <v>180</v>
      </c>
      <c r="E279" s="9" t="str">
        <f>+HYPERLINK("http://trademark.i-assist.jp/data/china/image_1908th/79457186.pdf", "79457186")</f>
        <v>79457186</v>
      </c>
      <c r="F279" s="11" t="s">
        <v>996</v>
      </c>
      <c r="G279" s="11" t="s">
        <v>994</v>
      </c>
      <c r="H279" s="11" t="s">
        <v>997</v>
      </c>
      <c r="I279" s="11" t="s">
        <v>63</v>
      </c>
    </row>
    <row r="280" spans="1:9" x14ac:dyDescent="0.15">
      <c r="A280" s="10">
        <v>279</v>
      </c>
      <c r="B280" s="11" t="s">
        <v>9</v>
      </c>
      <c r="C280" s="11" t="s">
        <v>179</v>
      </c>
      <c r="D280" s="11" t="s">
        <v>180</v>
      </c>
      <c r="E280" s="9" t="str">
        <f>+HYPERLINK("http://trademark.i-assist.jp/data/china/image_1908th/79459588.pdf", "79459588")</f>
        <v>79459588</v>
      </c>
      <c r="F280" s="11" t="s">
        <v>10</v>
      </c>
      <c r="G280" s="11" t="s">
        <v>998</v>
      </c>
      <c r="H280" s="11" t="s">
        <v>999</v>
      </c>
      <c r="I280" s="11" t="s">
        <v>63</v>
      </c>
    </row>
    <row r="281" spans="1:9" x14ac:dyDescent="0.15">
      <c r="A281" s="10">
        <v>280</v>
      </c>
      <c r="B281" s="11" t="s">
        <v>9</v>
      </c>
      <c r="C281" s="11" t="s">
        <v>179</v>
      </c>
      <c r="D281" s="11" t="s">
        <v>180</v>
      </c>
      <c r="E281" s="9" t="str">
        <f>+HYPERLINK("http://trademark.i-assist.jp/data/china/image_1908th/79461876.pdf", "79461876")</f>
        <v>79461876</v>
      </c>
      <c r="F281" s="11" t="s">
        <v>1000</v>
      </c>
      <c r="G281" s="11" t="s">
        <v>994</v>
      </c>
      <c r="H281" s="11" t="s">
        <v>1001</v>
      </c>
      <c r="I281" s="11" t="s">
        <v>63</v>
      </c>
    </row>
    <row r="282" spans="1:9" x14ac:dyDescent="0.15">
      <c r="A282" s="10">
        <v>281</v>
      </c>
      <c r="B282" s="11" t="s">
        <v>9</v>
      </c>
      <c r="C282" s="11" t="s">
        <v>179</v>
      </c>
      <c r="D282" s="11" t="s">
        <v>180</v>
      </c>
      <c r="E282" s="9" t="str">
        <f>+HYPERLINK("http://trademark.i-assist.jp/data/china/image_1908th/79462392.pdf", "79462392")</f>
        <v>79462392</v>
      </c>
      <c r="F282" s="11" t="s">
        <v>1002</v>
      </c>
      <c r="G282" s="11" t="s">
        <v>1003</v>
      </c>
      <c r="H282" s="11" t="s">
        <v>1004</v>
      </c>
      <c r="I282" s="11" t="s">
        <v>63</v>
      </c>
    </row>
    <row r="283" spans="1:9" x14ac:dyDescent="0.15">
      <c r="A283" s="10">
        <v>282</v>
      </c>
      <c r="B283" s="11" t="s">
        <v>9</v>
      </c>
      <c r="C283" s="11" t="s">
        <v>179</v>
      </c>
      <c r="D283" s="11" t="s">
        <v>180</v>
      </c>
      <c r="E283" s="9" t="str">
        <f>+HYPERLINK("http://trademark.i-assist.jp/data/china/image_1908th/79464606.pdf", "79464606")</f>
        <v>79464606</v>
      </c>
      <c r="F283" s="11" t="s">
        <v>1005</v>
      </c>
      <c r="G283" s="11" t="s">
        <v>1006</v>
      </c>
      <c r="H283" s="11" t="s">
        <v>1007</v>
      </c>
      <c r="I283" s="11" t="s">
        <v>64</v>
      </c>
    </row>
    <row r="284" spans="1:9" x14ac:dyDescent="0.15">
      <c r="A284" s="10">
        <v>283</v>
      </c>
      <c r="B284" s="11" t="s">
        <v>9</v>
      </c>
      <c r="C284" s="11" t="s">
        <v>179</v>
      </c>
      <c r="D284" s="11" t="s">
        <v>180</v>
      </c>
      <c r="E284" s="9" t="str">
        <f>+HYPERLINK("http://trademark.i-assist.jp/data/china/image_1908th/79469217.pdf", "79469217")</f>
        <v>79469217</v>
      </c>
      <c r="F284" s="11" t="s">
        <v>1008</v>
      </c>
      <c r="G284" s="11" t="s">
        <v>1009</v>
      </c>
      <c r="H284" s="11" t="s">
        <v>1010</v>
      </c>
      <c r="I284" s="11" t="s">
        <v>64</v>
      </c>
    </row>
    <row r="285" spans="1:9" x14ac:dyDescent="0.15">
      <c r="A285" s="10">
        <v>284</v>
      </c>
      <c r="B285" s="11" t="s">
        <v>9</v>
      </c>
      <c r="C285" s="11" t="s">
        <v>179</v>
      </c>
      <c r="D285" s="11" t="s">
        <v>180</v>
      </c>
      <c r="E285" s="9" t="str">
        <f>+HYPERLINK("http://trademark.i-assist.jp/data/china/image_1908th/79469798.pdf", "79469798")</f>
        <v>79469798</v>
      </c>
      <c r="F285" s="11" t="s">
        <v>1011</v>
      </c>
      <c r="G285" s="11" t="s">
        <v>1012</v>
      </c>
      <c r="H285" s="11" t="s">
        <v>1013</v>
      </c>
      <c r="I285" s="11" t="s">
        <v>64</v>
      </c>
    </row>
    <row r="286" spans="1:9" x14ac:dyDescent="0.15">
      <c r="A286" s="10">
        <v>285</v>
      </c>
      <c r="B286" s="11" t="s">
        <v>9</v>
      </c>
      <c r="C286" s="11" t="s">
        <v>179</v>
      </c>
      <c r="D286" s="11" t="s">
        <v>180</v>
      </c>
      <c r="E286" s="9" t="str">
        <f>+HYPERLINK("http://trademark.i-assist.jp/data/china/image_1908th/79472595.pdf", "79472595")</f>
        <v>79472595</v>
      </c>
      <c r="F286" s="11" t="s">
        <v>10</v>
      </c>
      <c r="G286" s="11" t="s">
        <v>1014</v>
      </c>
      <c r="H286" s="11" t="s">
        <v>1015</v>
      </c>
      <c r="I286" s="11" t="s">
        <v>64</v>
      </c>
    </row>
    <row r="287" spans="1:9" x14ac:dyDescent="0.15">
      <c r="A287" s="10">
        <v>286</v>
      </c>
      <c r="B287" s="11" t="s">
        <v>9</v>
      </c>
      <c r="C287" s="11" t="s">
        <v>179</v>
      </c>
      <c r="D287" s="11" t="s">
        <v>180</v>
      </c>
      <c r="E287" s="9" t="str">
        <f>+HYPERLINK("http://trademark.i-assist.jp/data/china/image_1908th/79473399.pdf", "79473399")</f>
        <v>79473399</v>
      </c>
      <c r="F287" s="11" t="s">
        <v>10</v>
      </c>
      <c r="G287" s="11" t="s">
        <v>1016</v>
      </c>
      <c r="H287" s="11" t="s">
        <v>1017</v>
      </c>
      <c r="I287" s="11" t="s">
        <v>64</v>
      </c>
    </row>
    <row r="288" spans="1:9" x14ac:dyDescent="0.15">
      <c r="A288" s="10">
        <v>287</v>
      </c>
      <c r="B288" s="11" t="s">
        <v>9</v>
      </c>
      <c r="C288" s="11" t="s">
        <v>179</v>
      </c>
      <c r="D288" s="11" t="s">
        <v>180</v>
      </c>
      <c r="E288" s="9" t="str">
        <f>+HYPERLINK("http://trademark.i-assist.jp/data/china/image_1908th/79475719.pdf", "79475719")</f>
        <v>79475719</v>
      </c>
      <c r="F288" s="11" t="s">
        <v>1018</v>
      </c>
      <c r="G288" s="11" t="s">
        <v>1019</v>
      </c>
      <c r="H288" s="11" t="s">
        <v>1020</v>
      </c>
      <c r="I288" s="11" t="s">
        <v>64</v>
      </c>
    </row>
    <row r="289" spans="1:9" x14ac:dyDescent="0.15">
      <c r="A289" s="10">
        <v>288</v>
      </c>
      <c r="B289" s="11" t="s">
        <v>9</v>
      </c>
      <c r="C289" s="11" t="s">
        <v>179</v>
      </c>
      <c r="D289" s="11" t="s">
        <v>180</v>
      </c>
      <c r="E289" s="9" t="str">
        <f>+HYPERLINK("http://trademark.i-assist.jp/data/china/image_1908th/79478606.pdf", "79478606")</f>
        <v>79478606</v>
      </c>
      <c r="F289" s="11" t="s">
        <v>1021</v>
      </c>
      <c r="G289" s="11" t="s">
        <v>1022</v>
      </c>
      <c r="H289" s="11" t="s">
        <v>1023</v>
      </c>
      <c r="I289" s="11" t="s">
        <v>64</v>
      </c>
    </row>
    <row r="290" spans="1:9" x14ac:dyDescent="0.15">
      <c r="A290" s="10">
        <v>289</v>
      </c>
      <c r="B290" s="11" t="s">
        <v>9</v>
      </c>
      <c r="C290" s="11" t="s">
        <v>179</v>
      </c>
      <c r="D290" s="11" t="s">
        <v>180</v>
      </c>
      <c r="E290" s="9" t="str">
        <f>+HYPERLINK("http://trademark.i-assist.jp/data/china/image_1908th/79478613.pdf", "79478613")</f>
        <v>79478613</v>
      </c>
      <c r="F290" s="11" t="s">
        <v>1024</v>
      </c>
      <c r="G290" s="11" t="s">
        <v>1025</v>
      </c>
      <c r="H290" s="11" t="s">
        <v>1026</v>
      </c>
      <c r="I290" s="11" t="s">
        <v>64</v>
      </c>
    </row>
    <row r="291" spans="1:9" x14ac:dyDescent="0.15">
      <c r="A291" s="10">
        <v>290</v>
      </c>
      <c r="B291" s="11" t="s">
        <v>9</v>
      </c>
      <c r="C291" s="11" t="s">
        <v>179</v>
      </c>
      <c r="D291" s="11" t="s">
        <v>180</v>
      </c>
      <c r="E291" s="9" t="str">
        <f>+HYPERLINK("http://trademark.i-assist.jp/data/china/image_1908th/79483079.pdf", "79483079")</f>
        <v>79483079</v>
      </c>
      <c r="F291" s="11" t="s">
        <v>1027</v>
      </c>
      <c r="G291" s="11" t="s">
        <v>1019</v>
      </c>
      <c r="H291" s="11" t="s">
        <v>1028</v>
      </c>
      <c r="I291" s="11" t="s">
        <v>64</v>
      </c>
    </row>
    <row r="292" spans="1:9" x14ac:dyDescent="0.15">
      <c r="A292" s="10">
        <v>291</v>
      </c>
      <c r="B292" s="11" t="s">
        <v>9</v>
      </c>
      <c r="C292" s="11" t="s">
        <v>179</v>
      </c>
      <c r="D292" s="11" t="s">
        <v>180</v>
      </c>
      <c r="E292" s="9" t="str">
        <f>+HYPERLINK("http://trademark.i-assist.jp/data/china/image_1908th/79484308.pdf", "79484308")</f>
        <v>79484308</v>
      </c>
      <c r="F292" s="11" t="s">
        <v>1029</v>
      </c>
      <c r="G292" s="11" t="s">
        <v>1030</v>
      </c>
      <c r="H292" s="11" t="s">
        <v>1031</v>
      </c>
      <c r="I292" s="11" t="s">
        <v>64</v>
      </c>
    </row>
    <row r="293" spans="1:9" x14ac:dyDescent="0.15">
      <c r="A293" s="10">
        <v>292</v>
      </c>
      <c r="B293" s="11" t="s">
        <v>9</v>
      </c>
      <c r="C293" s="11" t="s">
        <v>179</v>
      </c>
      <c r="D293" s="11" t="s">
        <v>180</v>
      </c>
      <c r="E293" s="9" t="str">
        <f>+HYPERLINK("http://trademark.i-assist.jp/data/china/image_1908th/79485503.pdf", "79485503")</f>
        <v>79485503</v>
      </c>
      <c r="F293" s="11" t="s">
        <v>1032</v>
      </c>
      <c r="G293" s="11" t="s">
        <v>1033</v>
      </c>
      <c r="H293" s="11" t="s">
        <v>1034</v>
      </c>
      <c r="I293" s="11" t="s">
        <v>64</v>
      </c>
    </row>
    <row r="294" spans="1:9" x14ac:dyDescent="0.15">
      <c r="A294" s="10">
        <v>293</v>
      </c>
      <c r="B294" s="11" t="s">
        <v>9</v>
      </c>
      <c r="C294" s="11" t="s">
        <v>179</v>
      </c>
      <c r="D294" s="11" t="s">
        <v>180</v>
      </c>
      <c r="E294" s="9" t="str">
        <f>+HYPERLINK("http://trademark.i-assist.jp/data/china/image_1908th/79485795.pdf", "79485795")</f>
        <v>79485795</v>
      </c>
      <c r="F294" s="11" t="s">
        <v>1035</v>
      </c>
      <c r="G294" s="11" t="s">
        <v>1036</v>
      </c>
      <c r="H294" s="11" t="s">
        <v>1037</v>
      </c>
      <c r="I294" s="11" t="s">
        <v>64</v>
      </c>
    </row>
    <row r="295" spans="1:9" x14ac:dyDescent="0.15">
      <c r="A295" s="10">
        <v>294</v>
      </c>
      <c r="B295" s="11" t="s">
        <v>9</v>
      </c>
      <c r="C295" s="11" t="s">
        <v>179</v>
      </c>
      <c r="D295" s="11" t="s">
        <v>180</v>
      </c>
      <c r="E295" s="9" t="str">
        <f>+HYPERLINK("http://trademark.i-assist.jp/data/china/image_1908th/79486130.pdf", "79486130")</f>
        <v>79486130</v>
      </c>
      <c r="F295" s="11" t="s">
        <v>1005</v>
      </c>
      <c r="G295" s="11" t="s">
        <v>1006</v>
      </c>
      <c r="H295" s="11" t="s">
        <v>1038</v>
      </c>
      <c r="I295" s="11" t="s">
        <v>64</v>
      </c>
    </row>
    <row r="296" spans="1:9" x14ac:dyDescent="0.15">
      <c r="A296" s="10">
        <v>295</v>
      </c>
      <c r="B296" s="11" t="s">
        <v>9</v>
      </c>
      <c r="C296" s="11" t="s">
        <v>179</v>
      </c>
      <c r="D296" s="11" t="s">
        <v>180</v>
      </c>
      <c r="E296" s="9" t="str">
        <f>+HYPERLINK("http://trademark.i-assist.jp/data/china/image_1908th/79486391.pdf", "79486391")</f>
        <v>79486391</v>
      </c>
      <c r="F296" s="11" t="s">
        <v>10</v>
      </c>
      <c r="G296" s="11" t="s">
        <v>1039</v>
      </c>
      <c r="H296" s="11" t="s">
        <v>1040</v>
      </c>
      <c r="I296" s="11" t="s">
        <v>64</v>
      </c>
    </row>
    <row r="297" spans="1:9" x14ac:dyDescent="0.15">
      <c r="A297" s="10">
        <v>296</v>
      </c>
      <c r="B297" s="11" t="s">
        <v>9</v>
      </c>
      <c r="C297" s="11" t="s">
        <v>179</v>
      </c>
      <c r="D297" s="11" t="s">
        <v>180</v>
      </c>
      <c r="E297" s="9" t="str">
        <f>+HYPERLINK("http://trademark.i-assist.jp/data/china/image_1908th/79487822.pdf", "79487822")</f>
        <v>79487822</v>
      </c>
      <c r="F297" s="11" t="s">
        <v>1041</v>
      </c>
      <c r="G297" s="11" t="s">
        <v>1033</v>
      </c>
      <c r="H297" s="11" t="s">
        <v>1042</v>
      </c>
      <c r="I297" s="11" t="s">
        <v>64</v>
      </c>
    </row>
    <row r="298" spans="1:9" x14ac:dyDescent="0.15">
      <c r="A298" s="10">
        <v>297</v>
      </c>
      <c r="B298" s="11" t="s">
        <v>9</v>
      </c>
      <c r="C298" s="11" t="s">
        <v>179</v>
      </c>
      <c r="D298" s="11" t="s">
        <v>180</v>
      </c>
      <c r="E298" s="9" t="str">
        <f>+HYPERLINK("http://trademark.i-assist.jp/data/china/image_1908th/79488123.pdf", "79488123")</f>
        <v>79488123</v>
      </c>
      <c r="F298" s="11" t="s">
        <v>1043</v>
      </c>
      <c r="G298" s="11" t="s">
        <v>1019</v>
      </c>
      <c r="H298" s="11" t="s">
        <v>1044</v>
      </c>
      <c r="I298" s="11" t="s">
        <v>64</v>
      </c>
    </row>
    <row r="299" spans="1:9" x14ac:dyDescent="0.15">
      <c r="A299" s="10">
        <v>298</v>
      </c>
      <c r="B299" s="11" t="s">
        <v>9</v>
      </c>
      <c r="C299" s="11" t="s">
        <v>179</v>
      </c>
      <c r="D299" s="11" t="s">
        <v>180</v>
      </c>
      <c r="E299" s="9" t="str">
        <f>+HYPERLINK("http://trademark.i-assist.jp/data/china/image_1908th/79489398.pdf", "79489398")</f>
        <v>79489398</v>
      </c>
      <c r="F299" s="11" t="s">
        <v>1045</v>
      </c>
      <c r="G299" s="11" t="s">
        <v>1046</v>
      </c>
      <c r="H299" s="11" t="s">
        <v>1047</v>
      </c>
      <c r="I299" s="11" t="s">
        <v>65</v>
      </c>
    </row>
    <row r="300" spans="1:9" x14ac:dyDescent="0.15">
      <c r="A300" s="10">
        <v>299</v>
      </c>
      <c r="B300" s="11" t="s">
        <v>9</v>
      </c>
      <c r="C300" s="11" t="s">
        <v>179</v>
      </c>
      <c r="D300" s="11" t="s">
        <v>180</v>
      </c>
      <c r="E300" s="9" t="str">
        <f>+HYPERLINK("http://trademark.i-assist.jp/data/china/image_1908th/79491200.pdf", "79491200")</f>
        <v>79491200</v>
      </c>
      <c r="F300" s="11" t="s">
        <v>10</v>
      </c>
      <c r="G300" s="11" t="s">
        <v>1048</v>
      </c>
      <c r="H300" s="11" t="s">
        <v>1049</v>
      </c>
      <c r="I300" s="11" t="s">
        <v>65</v>
      </c>
    </row>
    <row r="301" spans="1:9" x14ac:dyDescent="0.15">
      <c r="A301" s="10">
        <v>300</v>
      </c>
      <c r="B301" s="11" t="s">
        <v>9</v>
      </c>
      <c r="C301" s="11" t="s">
        <v>179</v>
      </c>
      <c r="D301" s="11" t="s">
        <v>180</v>
      </c>
      <c r="E301" s="9" t="str">
        <f>+HYPERLINK("http://trademark.i-assist.jp/data/china/image_1908th/79492320.pdf", "79492320")</f>
        <v>79492320</v>
      </c>
      <c r="F301" s="11" t="s">
        <v>1050</v>
      </c>
      <c r="G301" s="11" t="s">
        <v>1051</v>
      </c>
      <c r="H301" s="11" t="s">
        <v>1052</v>
      </c>
      <c r="I301" s="11" t="s">
        <v>65</v>
      </c>
    </row>
    <row r="302" spans="1:9" x14ac:dyDescent="0.15">
      <c r="A302" s="10">
        <v>301</v>
      </c>
      <c r="B302" s="11" t="s">
        <v>9</v>
      </c>
      <c r="C302" s="11" t="s">
        <v>179</v>
      </c>
      <c r="D302" s="11" t="s">
        <v>180</v>
      </c>
      <c r="E302" s="9" t="str">
        <f>+HYPERLINK("http://trademark.i-assist.jp/data/china/image_1908th/79492772.pdf", "79492772")</f>
        <v>79492772</v>
      </c>
      <c r="F302" s="11" t="s">
        <v>1053</v>
      </c>
      <c r="G302" s="11" t="s">
        <v>1054</v>
      </c>
      <c r="H302" s="11" t="s">
        <v>1055</v>
      </c>
      <c r="I302" s="11" t="s">
        <v>65</v>
      </c>
    </row>
    <row r="303" spans="1:9" x14ac:dyDescent="0.15">
      <c r="A303" s="10">
        <v>302</v>
      </c>
      <c r="B303" s="11" t="s">
        <v>9</v>
      </c>
      <c r="C303" s="11" t="s">
        <v>179</v>
      </c>
      <c r="D303" s="11" t="s">
        <v>180</v>
      </c>
      <c r="E303" s="9" t="str">
        <f>+HYPERLINK("http://trademark.i-assist.jp/data/china/image_1908th/79496850.pdf", "79496850")</f>
        <v>79496850</v>
      </c>
      <c r="F303" s="11" t="s">
        <v>1056</v>
      </c>
      <c r="G303" s="11" t="s">
        <v>1057</v>
      </c>
      <c r="H303" s="11" t="s">
        <v>1058</v>
      </c>
      <c r="I303" s="11" t="s">
        <v>65</v>
      </c>
    </row>
    <row r="304" spans="1:9" x14ac:dyDescent="0.15">
      <c r="A304" s="10">
        <v>303</v>
      </c>
      <c r="B304" s="11" t="s">
        <v>9</v>
      </c>
      <c r="C304" s="11" t="s">
        <v>179</v>
      </c>
      <c r="D304" s="11" t="s">
        <v>180</v>
      </c>
      <c r="E304" s="9" t="str">
        <f>+HYPERLINK("http://trademark.i-assist.jp/data/china/image_1908th/79496876.pdf", "79496876")</f>
        <v>79496876</v>
      </c>
      <c r="F304" s="11" t="s">
        <v>1059</v>
      </c>
      <c r="G304" s="11" t="s">
        <v>1060</v>
      </c>
      <c r="H304" s="11" t="s">
        <v>1061</v>
      </c>
      <c r="I304" s="11" t="s">
        <v>65</v>
      </c>
    </row>
    <row r="305" spans="1:9" x14ac:dyDescent="0.15">
      <c r="A305" s="10">
        <v>304</v>
      </c>
      <c r="B305" s="11" t="s">
        <v>9</v>
      </c>
      <c r="C305" s="11" t="s">
        <v>179</v>
      </c>
      <c r="D305" s="11" t="s">
        <v>180</v>
      </c>
      <c r="E305" s="9" t="str">
        <f>+HYPERLINK("http://trademark.i-assist.jp/data/china/image_1908th/79500678.pdf", "79500678")</f>
        <v>79500678</v>
      </c>
      <c r="F305" s="11" t="s">
        <v>1062</v>
      </c>
      <c r="G305" s="11" t="s">
        <v>1063</v>
      </c>
      <c r="H305" s="11" t="s">
        <v>1064</v>
      </c>
      <c r="I305" s="11" t="s">
        <v>65</v>
      </c>
    </row>
    <row r="306" spans="1:9" x14ac:dyDescent="0.15">
      <c r="A306" s="10">
        <v>305</v>
      </c>
      <c r="B306" s="11" t="s">
        <v>9</v>
      </c>
      <c r="C306" s="11" t="s">
        <v>179</v>
      </c>
      <c r="D306" s="11" t="s">
        <v>180</v>
      </c>
      <c r="E306" s="9" t="str">
        <f>+HYPERLINK("http://trademark.i-assist.jp/data/china/image_1908th/79503792.pdf", "79503792")</f>
        <v>79503792</v>
      </c>
      <c r="F306" s="11" t="s">
        <v>1065</v>
      </c>
      <c r="G306" s="11" t="s">
        <v>206</v>
      </c>
      <c r="H306" s="11" t="s">
        <v>1066</v>
      </c>
      <c r="I306" s="11" t="s">
        <v>65</v>
      </c>
    </row>
    <row r="307" spans="1:9" x14ac:dyDescent="0.15">
      <c r="A307" s="10">
        <v>306</v>
      </c>
      <c r="B307" s="11" t="s">
        <v>9</v>
      </c>
      <c r="C307" s="11" t="s">
        <v>179</v>
      </c>
      <c r="D307" s="11" t="s">
        <v>180</v>
      </c>
      <c r="E307" s="9" t="str">
        <f>+HYPERLINK("http://trademark.i-assist.jp/data/china/image_1908th/79505423.pdf", "79505423")</f>
        <v>79505423</v>
      </c>
      <c r="F307" s="11" t="s">
        <v>1067</v>
      </c>
      <c r="G307" s="11" t="s">
        <v>1068</v>
      </c>
      <c r="H307" s="11" t="s">
        <v>1069</v>
      </c>
      <c r="I307" s="11" t="s">
        <v>65</v>
      </c>
    </row>
    <row r="308" spans="1:9" x14ac:dyDescent="0.15">
      <c r="A308" s="10">
        <v>307</v>
      </c>
      <c r="B308" s="11" t="s">
        <v>9</v>
      </c>
      <c r="C308" s="11" t="s">
        <v>179</v>
      </c>
      <c r="D308" s="11" t="s">
        <v>180</v>
      </c>
      <c r="E308" s="9" t="str">
        <f>+HYPERLINK("http://trademark.i-assist.jp/data/china/image_1908th/79509498.pdf", "79509498")</f>
        <v>79509498</v>
      </c>
      <c r="F308" s="11" t="s">
        <v>1070</v>
      </c>
      <c r="G308" s="11" t="s">
        <v>1071</v>
      </c>
      <c r="H308" s="11" t="s">
        <v>1072</v>
      </c>
      <c r="I308" s="11" t="s">
        <v>65</v>
      </c>
    </row>
    <row r="309" spans="1:9" x14ac:dyDescent="0.15">
      <c r="A309" s="10">
        <v>308</v>
      </c>
      <c r="B309" s="11" t="s">
        <v>9</v>
      </c>
      <c r="C309" s="11" t="s">
        <v>179</v>
      </c>
      <c r="D309" s="11" t="s">
        <v>180</v>
      </c>
      <c r="E309" s="9" t="str">
        <f>+HYPERLINK("http://trademark.i-assist.jp/data/china/image_1908th/79510098.pdf", "79510098")</f>
        <v>79510098</v>
      </c>
      <c r="F309" s="11" t="s">
        <v>1073</v>
      </c>
      <c r="G309" s="11" t="s">
        <v>1074</v>
      </c>
      <c r="H309" s="11" t="s">
        <v>1075</v>
      </c>
      <c r="I309" s="11" t="s">
        <v>65</v>
      </c>
    </row>
    <row r="310" spans="1:9" x14ac:dyDescent="0.15">
      <c r="A310" s="10">
        <v>309</v>
      </c>
      <c r="B310" s="11" t="s">
        <v>9</v>
      </c>
      <c r="C310" s="11" t="s">
        <v>179</v>
      </c>
      <c r="D310" s="11" t="s">
        <v>180</v>
      </c>
      <c r="E310" s="9" t="str">
        <f>+HYPERLINK("http://trademark.i-assist.jp/data/china/image_1908th/79512739.pdf", "79512739")</f>
        <v>79512739</v>
      </c>
      <c r="F310" s="11" t="s">
        <v>1076</v>
      </c>
      <c r="G310" s="11" t="s">
        <v>108</v>
      </c>
      <c r="H310" s="11" t="s">
        <v>1077</v>
      </c>
      <c r="I310" s="11" t="s">
        <v>65</v>
      </c>
    </row>
    <row r="311" spans="1:9" x14ac:dyDescent="0.15">
      <c r="A311" s="10">
        <v>310</v>
      </c>
      <c r="B311" s="11" t="s">
        <v>9</v>
      </c>
      <c r="C311" s="11" t="s">
        <v>179</v>
      </c>
      <c r="D311" s="11" t="s">
        <v>180</v>
      </c>
      <c r="E311" s="9" t="str">
        <f>+HYPERLINK("http://trademark.i-assist.jp/data/china/image_1908th/79513037.pdf", "79513037")</f>
        <v>79513037</v>
      </c>
      <c r="F311" s="11" t="s">
        <v>1078</v>
      </c>
      <c r="G311" s="11" t="s">
        <v>1079</v>
      </c>
      <c r="H311" s="11" t="s">
        <v>1080</v>
      </c>
      <c r="I311" s="11" t="s">
        <v>65</v>
      </c>
    </row>
    <row r="312" spans="1:9" x14ac:dyDescent="0.15">
      <c r="A312" s="10">
        <v>311</v>
      </c>
      <c r="B312" s="11" t="s">
        <v>9</v>
      </c>
      <c r="C312" s="11" t="s">
        <v>179</v>
      </c>
      <c r="D312" s="11" t="s">
        <v>180</v>
      </c>
      <c r="E312" s="9" t="str">
        <f>+HYPERLINK("http://trademark.i-assist.jp/data/china/image_1908th/79514847.pdf", "79514847")</f>
        <v>79514847</v>
      </c>
      <c r="F312" s="11" t="s">
        <v>144</v>
      </c>
      <c r="G312" s="11" t="s">
        <v>145</v>
      </c>
      <c r="H312" s="11" t="s">
        <v>1081</v>
      </c>
      <c r="I312" s="11" t="s">
        <v>65</v>
      </c>
    </row>
    <row r="313" spans="1:9" x14ac:dyDescent="0.15">
      <c r="A313" s="10">
        <v>312</v>
      </c>
      <c r="B313" s="11" t="s">
        <v>9</v>
      </c>
      <c r="C313" s="11" t="s">
        <v>179</v>
      </c>
      <c r="D313" s="11" t="s">
        <v>180</v>
      </c>
      <c r="E313" s="9" t="str">
        <f>+HYPERLINK("http://trademark.i-assist.jp/data/china/image_1908th/79514930.pdf", "79514930")</f>
        <v>79514930</v>
      </c>
      <c r="F313" s="11" t="s">
        <v>1082</v>
      </c>
      <c r="G313" s="11" t="s">
        <v>1054</v>
      </c>
      <c r="H313" s="11" t="s">
        <v>1083</v>
      </c>
      <c r="I313" s="11" t="s">
        <v>65</v>
      </c>
    </row>
    <row r="314" spans="1:9" x14ac:dyDescent="0.15">
      <c r="A314" s="10">
        <v>313</v>
      </c>
      <c r="B314" s="11" t="s">
        <v>9</v>
      </c>
      <c r="C314" s="11" t="s">
        <v>179</v>
      </c>
      <c r="D314" s="11" t="s">
        <v>180</v>
      </c>
      <c r="E314" s="9" t="str">
        <f>+HYPERLINK("http://trademark.i-assist.jp/data/china/image_1908th/79516359.pdf", "79516359")</f>
        <v>79516359</v>
      </c>
      <c r="F314" s="11" t="s">
        <v>1084</v>
      </c>
      <c r="G314" s="11" t="s">
        <v>1085</v>
      </c>
      <c r="H314" s="11" t="s">
        <v>1086</v>
      </c>
      <c r="I314" s="11" t="s">
        <v>66</v>
      </c>
    </row>
    <row r="315" spans="1:9" x14ac:dyDescent="0.15">
      <c r="A315" s="10">
        <v>314</v>
      </c>
      <c r="B315" s="11" t="s">
        <v>9</v>
      </c>
      <c r="C315" s="11" t="s">
        <v>179</v>
      </c>
      <c r="D315" s="11" t="s">
        <v>180</v>
      </c>
      <c r="E315" s="9" t="str">
        <f>+HYPERLINK("http://trademark.i-assist.jp/data/china/image_1908th/79519181.pdf", "79519181")</f>
        <v>79519181</v>
      </c>
      <c r="F315" s="11" t="s">
        <v>1087</v>
      </c>
      <c r="G315" s="11" t="s">
        <v>1088</v>
      </c>
      <c r="H315" s="11" t="s">
        <v>1089</v>
      </c>
      <c r="I315" s="11" t="s">
        <v>66</v>
      </c>
    </row>
    <row r="316" spans="1:9" x14ac:dyDescent="0.15">
      <c r="A316" s="10">
        <v>315</v>
      </c>
      <c r="B316" s="11" t="s">
        <v>9</v>
      </c>
      <c r="C316" s="11" t="s">
        <v>179</v>
      </c>
      <c r="D316" s="11" t="s">
        <v>180</v>
      </c>
      <c r="E316" s="9" t="str">
        <f>+HYPERLINK("http://trademark.i-assist.jp/data/china/image_1908th/79520765.pdf", "79520765")</f>
        <v>79520765</v>
      </c>
      <c r="F316" s="11" t="s">
        <v>1090</v>
      </c>
      <c r="G316" s="11" t="s">
        <v>1091</v>
      </c>
      <c r="H316" s="11" t="s">
        <v>1092</v>
      </c>
      <c r="I316" s="11" t="s">
        <v>66</v>
      </c>
    </row>
    <row r="317" spans="1:9" x14ac:dyDescent="0.15">
      <c r="A317" s="10">
        <v>316</v>
      </c>
      <c r="B317" s="11" t="s">
        <v>9</v>
      </c>
      <c r="C317" s="11" t="s">
        <v>179</v>
      </c>
      <c r="D317" s="11" t="s">
        <v>180</v>
      </c>
      <c r="E317" s="9" t="str">
        <f>+HYPERLINK("http://trademark.i-assist.jp/data/china/image_1908th/79520978.pdf", "79520978")</f>
        <v>79520978</v>
      </c>
      <c r="F317" s="11" t="s">
        <v>10</v>
      </c>
      <c r="G317" s="11" t="s">
        <v>1093</v>
      </c>
      <c r="H317" s="11" t="s">
        <v>1094</v>
      </c>
      <c r="I317" s="11" t="s">
        <v>66</v>
      </c>
    </row>
    <row r="318" spans="1:9" x14ac:dyDescent="0.15">
      <c r="A318" s="10">
        <v>317</v>
      </c>
      <c r="B318" s="11" t="s">
        <v>9</v>
      </c>
      <c r="C318" s="11" t="s">
        <v>179</v>
      </c>
      <c r="D318" s="11" t="s">
        <v>180</v>
      </c>
      <c r="E318" s="9" t="str">
        <f>+HYPERLINK("http://trademark.i-assist.jp/data/china/image_1908th/79521383.pdf", "79521383")</f>
        <v>79521383</v>
      </c>
      <c r="F318" s="11" t="s">
        <v>1095</v>
      </c>
      <c r="G318" s="11" t="s">
        <v>1096</v>
      </c>
      <c r="H318" s="11" t="s">
        <v>1097</v>
      </c>
      <c r="I318" s="11" t="s">
        <v>66</v>
      </c>
    </row>
    <row r="319" spans="1:9" x14ac:dyDescent="0.15">
      <c r="A319" s="10">
        <v>318</v>
      </c>
      <c r="B319" s="11" t="s">
        <v>9</v>
      </c>
      <c r="C319" s="11" t="s">
        <v>179</v>
      </c>
      <c r="D319" s="11" t="s">
        <v>180</v>
      </c>
      <c r="E319" s="9" t="str">
        <f>+HYPERLINK("http://trademark.i-assist.jp/data/china/image_1908th/79524218.pdf", "79524218")</f>
        <v>79524218</v>
      </c>
      <c r="F319" s="11" t="s">
        <v>1098</v>
      </c>
      <c r="G319" s="11" t="s">
        <v>720</v>
      </c>
      <c r="H319" s="11" t="s">
        <v>1099</v>
      </c>
      <c r="I319" s="11" t="s">
        <v>67</v>
      </c>
    </row>
    <row r="320" spans="1:9" x14ac:dyDescent="0.15">
      <c r="A320" s="10">
        <v>319</v>
      </c>
      <c r="B320" s="11" t="s">
        <v>9</v>
      </c>
      <c r="C320" s="11" t="s">
        <v>179</v>
      </c>
      <c r="D320" s="11" t="s">
        <v>180</v>
      </c>
      <c r="E320" s="9" t="str">
        <f>+HYPERLINK("http://trademark.i-assist.jp/data/china/image_1908th/79524433.pdf", "79524433")</f>
        <v>79524433</v>
      </c>
      <c r="F320" s="11" t="s">
        <v>1100</v>
      </c>
      <c r="G320" s="11" t="s">
        <v>30</v>
      </c>
      <c r="H320" s="11" t="s">
        <v>1101</v>
      </c>
      <c r="I320" s="11" t="s">
        <v>67</v>
      </c>
    </row>
    <row r="321" spans="1:9" x14ac:dyDescent="0.15">
      <c r="A321" s="10">
        <v>320</v>
      </c>
      <c r="B321" s="11" t="s">
        <v>9</v>
      </c>
      <c r="C321" s="11" t="s">
        <v>179</v>
      </c>
      <c r="D321" s="11" t="s">
        <v>180</v>
      </c>
      <c r="E321" s="9" t="str">
        <f>+HYPERLINK("http://trademark.i-assist.jp/data/china/image_1908th/79525166.pdf", "79525166")</f>
        <v>79525166</v>
      </c>
      <c r="F321" s="11" t="s">
        <v>1102</v>
      </c>
      <c r="G321" s="11" t="s">
        <v>1103</v>
      </c>
      <c r="H321" s="11" t="s">
        <v>1104</v>
      </c>
      <c r="I321" s="11" t="s">
        <v>67</v>
      </c>
    </row>
    <row r="322" spans="1:9" x14ac:dyDescent="0.15">
      <c r="A322" s="10">
        <v>321</v>
      </c>
      <c r="B322" s="11" t="s">
        <v>9</v>
      </c>
      <c r="C322" s="11" t="s">
        <v>179</v>
      </c>
      <c r="D322" s="11" t="s">
        <v>180</v>
      </c>
      <c r="E322" s="9" t="str">
        <f>+HYPERLINK("http://trademark.i-assist.jp/data/china/image_1908th/79525457.pdf", "79525457")</f>
        <v>79525457</v>
      </c>
      <c r="F322" s="11" t="s">
        <v>1105</v>
      </c>
      <c r="G322" s="11" t="s">
        <v>1106</v>
      </c>
      <c r="H322" s="11" t="s">
        <v>1107</v>
      </c>
      <c r="I322" s="11" t="s">
        <v>67</v>
      </c>
    </row>
    <row r="323" spans="1:9" x14ac:dyDescent="0.15">
      <c r="A323" s="10">
        <v>322</v>
      </c>
      <c r="B323" s="11" t="s">
        <v>9</v>
      </c>
      <c r="C323" s="11" t="s">
        <v>179</v>
      </c>
      <c r="D323" s="11" t="s">
        <v>180</v>
      </c>
      <c r="E323" s="9" t="str">
        <f>+HYPERLINK("http://trademark.i-assist.jp/data/china/image_1908th/79527802.pdf", "79527802")</f>
        <v>79527802</v>
      </c>
      <c r="F323" s="11" t="s">
        <v>1108</v>
      </c>
      <c r="G323" s="11" t="s">
        <v>1109</v>
      </c>
      <c r="H323" s="11" t="s">
        <v>1110</v>
      </c>
      <c r="I323" s="11" t="s">
        <v>68</v>
      </c>
    </row>
    <row r="324" spans="1:9" x14ac:dyDescent="0.15">
      <c r="A324" s="10">
        <v>323</v>
      </c>
      <c r="B324" s="11" t="s">
        <v>9</v>
      </c>
      <c r="C324" s="11" t="s">
        <v>179</v>
      </c>
      <c r="D324" s="11" t="s">
        <v>180</v>
      </c>
      <c r="E324" s="9" t="str">
        <f>+HYPERLINK("http://trademark.i-assist.jp/data/china/image_1908th/79528274.pdf", "79528274")</f>
        <v>79528274</v>
      </c>
      <c r="F324" s="11" t="s">
        <v>1111</v>
      </c>
      <c r="G324" s="11" t="s">
        <v>1112</v>
      </c>
      <c r="H324" s="11" t="s">
        <v>1113</v>
      </c>
      <c r="I324" s="11" t="s">
        <v>68</v>
      </c>
    </row>
    <row r="325" spans="1:9" x14ac:dyDescent="0.15">
      <c r="A325" s="10">
        <v>324</v>
      </c>
      <c r="B325" s="11" t="s">
        <v>9</v>
      </c>
      <c r="C325" s="11" t="s">
        <v>179</v>
      </c>
      <c r="D325" s="11" t="s">
        <v>180</v>
      </c>
      <c r="E325" s="9" t="str">
        <f>+HYPERLINK("http://trademark.i-assist.jp/data/china/image_1908th/79529195.pdf", "79529195")</f>
        <v>79529195</v>
      </c>
      <c r="F325" s="11" t="s">
        <v>1114</v>
      </c>
      <c r="G325" s="11" t="s">
        <v>1115</v>
      </c>
      <c r="H325" s="11" t="s">
        <v>1116</v>
      </c>
      <c r="I325" s="11" t="s">
        <v>68</v>
      </c>
    </row>
    <row r="326" spans="1:9" x14ac:dyDescent="0.15">
      <c r="A326" s="10">
        <v>325</v>
      </c>
      <c r="B326" s="11" t="s">
        <v>9</v>
      </c>
      <c r="C326" s="11" t="s">
        <v>179</v>
      </c>
      <c r="D326" s="11" t="s">
        <v>180</v>
      </c>
      <c r="E326" s="9" t="str">
        <f>+HYPERLINK("http://trademark.i-assist.jp/data/china/image_1908th/79529292.pdf", "79529292")</f>
        <v>79529292</v>
      </c>
      <c r="F326" s="11" t="s">
        <v>1117</v>
      </c>
      <c r="G326" s="11" t="s">
        <v>1118</v>
      </c>
      <c r="H326" s="11" t="s">
        <v>1119</v>
      </c>
      <c r="I326" s="11" t="s">
        <v>68</v>
      </c>
    </row>
    <row r="327" spans="1:9" x14ac:dyDescent="0.15">
      <c r="A327" s="10">
        <v>326</v>
      </c>
      <c r="B327" s="11" t="s">
        <v>9</v>
      </c>
      <c r="C327" s="11" t="s">
        <v>179</v>
      </c>
      <c r="D327" s="11" t="s">
        <v>180</v>
      </c>
      <c r="E327" s="9" t="str">
        <f>+HYPERLINK("http://trademark.i-assist.jp/data/china/image_1908th/79531180.pdf", "79531180")</f>
        <v>79531180</v>
      </c>
      <c r="F327" s="11" t="s">
        <v>1120</v>
      </c>
      <c r="G327" s="11" t="s">
        <v>1121</v>
      </c>
      <c r="H327" s="11" t="s">
        <v>1122</v>
      </c>
      <c r="I327" s="11" t="s">
        <v>68</v>
      </c>
    </row>
    <row r="328" spans="1:9" x14ac:dyDescent="0.15">
      <c r="A328" s="10">
        <v>327</v>
      </c>
      <c r="B328" s="11" t="s">
        <v>9</v>
      </c>
      <c r="C328" s="11" t="s">
        <v>179</v>
      </c>
      <c r="D328" s="11" t="s">
        <v>180</v>
      </c>
      <c r="E328" s="9" t="str">
        <f>+HYPERLINK("http://trademark.i-assist.jp/data/china/image_1908th/79532537.pdf", "79532537")</f>
        <v>79532537</v>
      </c>
      <c r="F328" s="11" t="s">
        <v>10</v>
      </c>
      <c r="G328" s="11" t="s">
        <v>1123</v>
      </c>
      <c r="H328" s="11" t="s">
        <v>1124</v>
      </c>
      <c r="I328" s="11" t="s">
        <v>68</v>
      </c>
    </row>
    <row r="329" spans="1:9" x14ac:dyDescent="0.15">
      <c r="A329" s="10">
        <v>328</v>
      </c>
      <c r="B329" s="11" t="s">
        <v>9</v>
      </c>
      <c r="C329" s="11" t="s">
        <v>179</v>
      </c>
      <c r="D329" s="11" t="s">
        <v>180</v>
      </c>
      <c r="E329" s="9" t="str">
        <f>+HYPERLINK("http://trademark.i-assist.jp/data/china/image_1908th/79535345.pdf", "79535345")</f>
        <v>79535345</v>
      </c>
      <c r="F329" s="11" t="s">
        <v>1125</v>
      </c>
      <c r="G329" s="11" t="s">
        <v>1126</v>
      </c>
      <c r="H329" s="11" t="s">
        <v>1127</v>
      </c>
      <c r="I329" s="11" t="s">
        <v>68</v>
      </c>
    </row>
    <row r="330" spans="1:9" x14ac:dyDescent="0.15">
      <c r="A330" s="10">
        <v>329</v>
      </c>
      <c r="B330" s="11" t="s">
        <v>9</v>
      </c>
      <c r="C330" s="11" t="s">
        <v>179</v>
      </c>
      <c r="D330" s="11" t="s">
        <v>180</v>
      </c>
      <c r="E330" s="9" t="str">
        <f>+HYPERLINK("http://trademark.i-assist.jp/data/china/image_1908th/79539075.pdf", "79539075")</f>
        <v>79539075</v>
      </c>
      <c r="F330" s="11" t="s">
        <v>1128</v>
      </c>
      <c r="G330" s="11" t="s">
        <v>1129</v>
      </c>
      <c r="H330" s="11" t="s">
        <v>1130</v>
      </c>
      <c r="I330" s="11" t="s">
        <v>68</v>
      </c>
    </row>
    <row r="331" spans="1:9" x14ac:dyDescent="0.15">
      <c r="A331" s="10">
        <v>330</v>
      </c>
      <c r="B331" s="11" t="s">
        <v>9</v>
      </c>
      <c r="C331" s="11" t="s">
        <v>179</v>
      </c>
      <c r="D331" s="11" t="s">
        <v>180</v>
      </c>
      <c r="E331" s="9" t="str">
        <f>+HYPERLINK("http://trademark.i-assist.jp/data/china/image_1908th/79539516.pdf", "79539516")</f>
        <v>79539516</v>
      </c>
      <c r="F331" s="11" t="s">
        <v>1131</v>
      </c>
      <c r="G331" s="11" t="s">
        <v>1109</v>
      </c>
      <c r="H331" s="11" t="s">
        <v>1132</v>
      </c>
      <c r="I331" s="11" t="s">
        <v>68</v>
      </c>
    </row>
    <row r="332" spans="1:9" x14ac:dyDescent="0.15">
      <c r="A332" s="10">
        <v>331</v>
      </c>
      <c r="B332" s="11" t="s">
        <v>9</v>
      </c>
      <c r="C332" s="11" t="s">
        <v>179</v>
      </c>
      <c r="D332" s="11" t="s">
        <v>180</v>
      </c>
      <c r="E332" s="9" t="str">
        <f>+HYPERLINK("http://trademark.i-assist.jp/data/china/image_1908th/79539553.pdf", "79539553")</f>
        <v>79539553</v>
      </c>
      <c r="F332" s="11" t="s">
        <v>1133</v>
      </c>
      <c r="G332" s="11" t="s">
        <v>109</v>
      </c>
      <c r="H332" s="11" t="s">
        <v>1134</v>
      </c>
      <c r="I332" s="11" t="s">
        <v>68</v>
      </c>
    </row>
    <row r="333" spans="1:9" x14ac:dyDescent="0.15">
      <c r="A333" s="10">
        <v>332</v>
      </c>
      <c r="B333" s="11" t="s">
        <v>9</v>
      </c>
      <c r="C333" s="11" t="s">
        <v>179</v>
      </c>
      <c r="D333" s="11" t="s">
        <v>180</v>
      </c>
      <c r="E333" s="9" t="str">
        <f>+HYPERLINK("http://trademark.i-assist.jp/data/china/image_1908th/79540545.pdf", "79540545")</f>
        <v>79540545</v>
      </c>
      <c r="F333" s="11" t="s">
        <v>1135</v>
      </c>
      <c r="G333" s="11" t="s">
        <v>1112</v>
      </c>
      <c r="H333" s="11" t="s">
        <v>1136</v>
      </c>
      <c r="I333" s="11" t="s">
        <v>68</v>
      </c>
    </row>
    <row r="334" spans="1:9" x14ac:dyDescent="0.15">
      <c r="A334" s="10">
        <v>333</v>
      </c>
      <c r="B334" s="11" t="s">
        <v>9</v>
      </c>
      <c r="C334" s="11" t="s">
        <v>179</v>
      </c>
      <c r="D334" s="11" t="s">
        <v>180</v>
      </c>
      <c r="E334" s="9" t="str">
        <f>+HYPERLINK("http://trademark.i-assist.jp/data/china/image_1908th/79541315.pdf", "79541315")</f>
        <v>79541315</v>
      </c>
      <c r="F334" s="11" t="s">
        <v>1137</v>
      </c>
      <c r="G334" s="11" t="s">
        <v>1138</v>
      </c>
      <c r="H334" s="11" t="s">
        <v>1139</v>
      </c>
      <c r="I334" s="11" t="s">
        <v>68</v>
      </c>
    </row>
    <row r="335" spans="1:9" x14ac:dyDescent="0.15">
      <c r="A335" s="10">
        <v>334</v>
      </c>
      <c r="B335" s="11" t="s">
        <v>9</v>
      </c>
      <c r="C335" s="11" t="s">
        <v>179</v>
      </c>
      <c r="D335" s="11" t="s">
        <v>180</v>
      </c>
      <c r="E335" s="9" t="str">
        <f>+HYPERLINK("http://trademark.i-assist.jp/data/china/image_1908th/79541925.pdf", "79541925")</f>
        <v>79541925</v>
      </c>
      <c r="F335" s="11" t="s">
        <v>1140</v>
      </c>
      <c r="G335" s="11" t="s">
        <v>1141</v>
      </c>
      <c r="H335" s="11" t="s">
        <v>1142</v>
      </c>
      <c r="I335" s="11" t="s">
        <v>68</v>
      </c>
    </row>
    <row r="336" spans="1:9" x14ac:dyDescent="0.15">
      <c r="A336" s="10">
        <v>335</v>
      </c>
      <c r="B336" s="11" t="s">
        <v>9</v>
      </c>
      <c r="C336" s="11" t="s">
        <v>179</v>
      </c>
      <c r="D336" s="11" t="s">
        <v>180</v>
      </c>
      <c r="E336" s="9" t="str">
        <f>+HYPERLINK("http://trademark.i-assist.jp/data/china/image_1908th/79542140.pdf", "79542140")</f>
        <v>79542140</v>
      </c>
      <c r="F336" s="11" t="s">
        <v>1143</v>
      </c>
      <c r="G336" s="11" t="s">
        <v>1144</v>
      </c>
      <c r="H336" s="11" t="s">
        <v>1145</v>
      </c>
      <c r="I336" s="11" t="s">
        <v>68</v>
      </c>
    </row>
    <row r="337" spans="1:9" x14ac:dyDescent="0.15">
      <c r="A337" s="10">
        <v>336</v>
      </c>
      <c r="B337" s="11" t="s">
        <v>9</v>
      </c>
      <c r="C337" s="11" t="s">
        <v>179</v>
      </c>
      <c r="D337" s="11" t="s">
        <v>180</v>
      </c>
      <c r="E337" s="9" t="str">
        <f>+HYPERLINK("http://trademark.i-assist.jp/data/china/image_1908th/79545644.pdf", "79545644")</f>
        <v>79545644</v>
      </c>
      <c r="F337" s="11" t="s">
        <v>1146</v>
      </c>
      <c r="G337" s="11" t="s">
        <v>1147</v>
      </c>
      <c r="H337" s="11" t="s">
        <v>1148</v>
      </c>
      <c r="I337" s="11" t="s">
        <v>68</v>
      </c>
    </row>
    <row r="338" spans="1:9" x14ac:dyDescent="0.15">
      <c r="A338" s="10">
        <v>337</v>
      </c>
      <c r="B338" s="11" t="s">
        <v>9</v>
      </c>
      <c r="C338" s="11" t="s">
        <v>179</v>
      </c>
      <c r="D338" s="11" t="s">
        <v>180</v>
      </c>
      <c r="E338" s="9" t="str">
        <f>+HYPERLINK("http://trademark.i-assist.jp/data/china/image_1908th/79546943.pdf", "79546943")</f>
        <v>79546943</v>
      </c>
      <c r="F338" s="11" t="s">
        <v>1149</v>
      </c>
      <c r="G338" s="11" t="s">
        <v>1150</v>
      </c>
      <c r="H338" s="11" t="s">
        <v>1151</v>
      </c>
      <c r="I338" s="11" t="s">
        <v>68</v>
      </c>
    </row>
    <row r="339" spans="1:9" x14ac:dyDescent="0.15">
      <c r="A339" s="10">
        <v>338</v>
      </c>
      <c r="B339" s="11" t="s">
        <v>9</v>
      </c>
      <c r="C339" s="11" t="s">
        <v>179</v>
      </c>
      <c r="D339" s="11" t="s">
        <v>180</v>
      </c>
      <c r="E339" s="9" t="str">
        <f>+HYPERLINK("http://trademark.i-assist.jp/data/china/image_1908th/79547031.pdf", "79547031")</f>
        <v>79547031</v>
      </c>
      <c r="F339" s="11" t="s">
        <v>1133</v>
      </c>
      <c r="G339" s="11" t="s">
        <v>109</v>
      </c>
      <c r="H339" s="11" t="s">
        <v>1152</v>
      </c>
      <c r="I339" s="11" t="s">
        <v>68</v>
      </c>
    </row>
    <row r="340" spans="1:9" x14ac:dyDescent="0.15">
      <c r="A340" s="10">
        <v>339</v>
      </c>
      <c r="B340" s="11" t="s">
        <v>9</v>
      </c>
      <c r="C340" s="11" t="s">
        <v>179</v>
      </c>
      <c r="D340" s="11" t="s">
        <v>180</v>
      </c>
      <c r="E340" s="9" t="str">
        <f>+HYPERLINK("http://trademark.i-assist.jp/data/china/image_1908th/79552516.pdf", "79552516")</f>
        <v>79552516</v>
      </c>
      <c r="F340" s="11" t="s">
        <v>1153</v>
      </c>
      <c r="G340" s="11" t="s">
        <v>1154</v>
      </c>
      <c r="H340" s="11" t="s">
        <v>1155</v>
      </c>
      <c r="I340" s="11" t="s">
        <v>69</v>
      </c>
    </row>
    <row r="341" spans="1:9" x14ac:dyDescent="0.15">
      <c r="A341" s="10">
        <v>340</v>
      </c>
      <c r="B341" s="11" t="s">
        <v>9</v>
      </c>
      <c r="C341" s="11" t="s">
        <v>179</v>
      </c>
      <c r="D341" s="11" t="s">
        <v>180</v>
      </c>
      <c r="E341" s="9" t="str">
        <f>+HYPERLINK("http://trademark.i-assist.jp/data/china/image_1908th/79555986.pdf", "79555986")</f>
        <v>79555986</v>
      </c>
      <c r="F341" s="11" t="s">
        <v>1156</v>
      </c>
      <c r="G341" s="11" t="s">
        <v>1157</v>
      </c>
      <c r="H341" s="11" t="s">
        <v>1158</v>
      </c>
      <c r="I341" s="11" t="s">
        <v>69</v>
      </c>
    </row>
    <row r="342" spans="1:9" x14ac:dyDescent="0.15">
      <c r="A342" s="10">
        <v>341</v>
      </c>
      <c r="B342" s="11" t="s">
        <v>9</v>
      </c>
      <c r="C342" s="11" t="s">
        <v>179</v>
      </c>
      <c r="D342" s="11" t="s">
        <v>180</v>
      </c>
      <c r="E342" s="9" t="str">
        <f>+HYPERLINK("http://trademark.i-assist.jp/data/china/image_1908th/79559939.pdf", "79559939")</f>
        <v>79559939</v>
      </c>
      <c r="F342" s="11" t="s">
        <v>1159</v>
      </c>
      <c r="G342" s="11" t="s">
        <v>1160</v>
      </c>
      <c r="H342" s="11" t="s">
        <v>1161</v>
      </c>
      <c r="I342" s="11" t="s">
        <v>69</v>
      </c>
    </row>
    <row r="343" spans="1:9" x14ac:dyDescent="0.15">
      <c r="A343" s="10">
        <v>342</v>
      </c>
      <c r="B343" s="11" t="s">
        <v>9</v>
      </c>
      <c r="C343" s="11" t="s">
        <v>179</v>
      </c>
      <c r="D343" s="11" t="s">
        <v>180</v>
      </c>
      <c r="E343" s="9" t="str">
        <f>+HYPERLINK("http://trademark.i-assist.jp/data/china/image_1908th/79562106.pdf", "79562106")</f>
        <v>79562106</v>
      </c>
      <c r="F343" s="11" t="s">
        <v>1162</v>
      </c>
      <c r="G343" s="11" t="s">
        <v>1163</v>
      </c>
      <c r="H343" s="11" t="s">
        <v>1164</v>
      </c>
      <c r="I343" s="11" t="s">
        <v>69</v>
      </c>
    </row>
    <row r="344" spans="1:9" x14ac:dyDescent="0.15">
      <c r="A344" s="10">
        <v>343</v>
      </c>
      <c r="B344" s="11" t="s">
        <v>9</v>
      </c>
      <c r="C344" s="11" t="s">
        <v>179</v>
      </c>
      <c r="D344" s="11" t="s">
        <v>180</v>
      </c>
      <c r="E344" s="9" t="str">
        <f>+HYPERLINK("http://trademark.i-assist.jp/data/china/image_1908th/79562977.pdf", "79562977")</f>
        <v>79562977</v>
      </c>
      <c r="F344" s="11" t="s">
        <v>1165</v>
      </c>
      <c r="G344" s="11" t="s">
        <v>1166</v>
      </c>
      <c r="H344" s="11" t="s">
        <v>1167</v>
      </c>
      <c r="I344" s="11" t="s">
        <v>69</v>
      </c>
    </row>
    <row r="345" spans="1:9" x14ac:dyDescent="0.15">
      <c r="A345" s="10">
        <v>344</v>
      </c>
      <c r="B345" s="11" t="s">
        <v>9</v>
      </c>
      <c r="C345" s="11" t="s">
        <v>179</v>
      </c>
      <c r="D345" s="11" t="s">
        <v>180</v>
      </c>
      <c r="E345" s="9" t="str">
        <f>+HYPERLINK("http://trademark.i-assist.jp/data/china/image_1908th/79565943.pdf", "79565943")</f>
        <v>79565943</v>
      </c>
      <c r="F345" s="11" t="s">
        <v>10</v>
      </c>
      <c r="G345" s="11" t="s">
        <v>1168</v>
      </c>
      <c r="H345" s="11" t="s">
        <v>1169</v>
      </c>
      <c r="I345" s="11" t="s">
        <v>69</v>
      </c>
    </row>
    <row r="346" spans="1:9" x14ac:dyDescent="0.15">
      <c r="A346" s="10">
        <v>345</v>
      </c>
      <c r="B346" s="11" t="s">
        <v>9</v>
      </c>
      <c r="C346" s="11" t="s">
        <v>179</v>
      </c>
      <c r="D346" s="11" t="s">
        <v>180</v>
      </c>
      <c r="E346" s="9" t="str">
        <f>+HYPERLINK("http://trademark.i-assist.jp/data/china/image_1908th/79566948.pdf", "79566948")</f>
        <v>79566948</v>
      </c>
      <c r="F346" s="11" t="s">
        <v>1170</v>
      </c>
      <c r="G346" s="11" t="s">
        <v>1171</v>
      </c>
      <c r="H346" s="11" t="s">
        <v>1172</v>
      </c>
      <c r="I346" s="11" t="s">
        <v>69</v>
      </c>
    </row>
    <row r="347" spans="1:9" x14ac:dyDescent="0.15">
      <c r="A347" s="10">
        <v>346</v>
      </c>
      <c r="B347" s="11" t="s">
        <v>9</v>
      </c>
      <c r="C347" s="11" t="s">
        <v>179</v>
      </c>
      <c r="D347" s="11" t="s">
        <v>180</v>
      </c>
      <c r="E347" s="9" t="str">
        <f>+HYPERLINK("http://trademark.i-assist.jp/data/china/image_1908th/79568566.pdf", "79568566")</f>
        <v>79568566</v>
      </c>
      <c r="F347" s="11" t="s">
        <v>1173</v>
      </c>
      <c r="G347" s="11" t="s">
        <v>1174</v>
      </c>
      <c r="H347" s="11" t="s">
        <v>1175</v>
      </c>
      <c r="I347" s="11" t="s">
        <v>69</v>
      </c>
    </row>
    <row r="348" spans="1:9" x14ac:dyDescent="0.15">
      <c r="A348" s="10">
        <v>347</v>
      </c>
      <c r="B348" s="11" t="s">
        <v>9</v>
      </c>
      <c r="C348" s="11" t="s">
        <v>179</v>
      </c>
      <c r="D348" s="11" t="s">
        <v>180</v>
      </c>
      <c r="E348" s="9" t="str">
        <f>+HYPERLINK("http://trademark.i-assist.jp/data/china/image_1908th/79569401.pdf", "79569401")</f>
        <v>79569401</v>
      </c>
      <c r="F348" s="11" t="s">
        <v>1176</v>
      </c>
      <c r="G348" s="11" t="s">
        <v>1171</v>
      </c>
      <c r="H348" s="11" t="s">
        <v>1177</v>
      </c>
      <c r="I348" s="11" t="s">
        <v>69</v>
      </c>
    </row>
    <row r="349" spans="1:9" x14ac:dyDescent="0.15">
      <c r="A349" s="10">
        <v>348</v>
      </c>
      <c r="B349" s="11" t="s">
        <v>9</v>
      </c>
      <c r="C349" s="11" t="s">
        <v>179</v>
      </c>
      <c r="D349" s="11" t="s">
        <v>180</v>
      </c>
      <c r="E349" s="9" t="str">
        <f>+HYPERLINK("http://trademark.i-assist.jp/data/china/image_1908th/79570838.pdf", "79570838")</f>
        <v>79570838</v>
      </c>
      <c r="F349" s="11" t="s">
        <v>1178</v>
      </c>
      <c r="G349" s="11" t="s">
        <v>1157</v>
      </c>
      <c r="H349" s="11" t="s">
        <v>1179</v>
      </c>
      <c r="I349" s="11" t="s">
        <v>69</v>
      </c>
    </row>
    <row r="350" spans="1:9" x14ac:dyDescent="0.15">
      <c r="A350" s="10">
        <v>349</v>
      </c>
      <c r="B350" s="11" t="s">
        <v>9</v>
      </c>
      <c r="C350" s="11" t="s">
        <v>179</v>
      </c>
      <c r="D350" s="11" t="s">
        <v>180</v>
      </c>
      <c r="E350" s="9" t="str">
        <f>+HYPERLINK("http://trademark.i-assist.jp/data/china/image_1908th/79574610.pdf", "79574610")</f>
        <v>79574610</v>
      </c>
      <c r="F350" s="11" t="s">
        <v>1180</v>
      </c>
      <c r="G350" s="11" t="s">
        <v>1181</v>
      </c>
      <c r="H350" s="11" t="s">
        <v>1182</v>
      </c>
      <c r="I350" s="11" t="s">
        <v>69</v>
      </c>
    </row>
    <row r="351" spans="1:9" x14ac:dyDescent="0.15">
      <c r="A351" s="10">
        <v>350</v>
      </c>
      <c r="B351" s="11" t="s">
        <v>9</v>
      </c>
      <c r="C351" s="11" t="s">
        <v>179</v>
      </c>
      <c r="D351" s="11" t="s">
        <v>180</v>
      </c>
      <c r="E351" s="9" t="str">
        <f>+HYPERLINK("http://trademark.i-assist.jp/data/china/image_1908th/79575766.pdf", "79575766")</f>
        <v>79575766</v>
      </c>
      <c r="F351" s="11" t="s">
        <v>1183</v>
      </c>
      <c r="G351" s="11" t="s">
        <v>1184</v>
      </c>
      <c r="H351" s="11" t="s">
        <v>1185</v>
      </c>
      <c r="I351" s="11" t="s">
        <v>69</v>
      </c>
    </row>
    <row r="352" spans="1:9" x14ac:dyDescent="0.15">
      <c r="A352" s="10">
        <v>351</v>
      </c>
      <c r="B352" s="11" t="s">
        <v>9</v>
      </c>
      <c r="C352" s="11" t="s">
        <v>179</v>
      </c>
      <c r="D352" s="11" t="s">
        <v>180</v>
      </c>
      <c r="E352" s="9" t="str">
        <f>+HYPERLINK("http://trademark.i-assist.jp/data/china/image_1908th/79577708.pdf", "79577708")</f>
        <v>79577708</v>
      </c>
      <c r="F352" s="11" t="s">
        <v>1186</v>
      </c>
      <c r="G352" s="11" t="s">
        <v>1187</v>
      </c>
      <c r="H352" s="11" t="s">
        <v>1188</v>
      </c>
      <c r="I352" s="11" t="s">
        <v>70</v>
      </c>
    </row>
    <row r="353" spans="1:9" x14ac:dyDescent="0.15">
      <c r="A353" s="10">
        <v>352</v>
      </c>
      <c r="B353" s="11" t="s">
        <v>9</v>
      </c>
      <c r="C353" s="11" t="s">
        <v>179</v>
      </c>
      <c r="D353" s="11" t="s">
        <v>180</v>
      </c>
      <c r="E353" s="9" t="str">
        <f>+HYPERLINK("http://trademark.i-assist.jp/data/china/image_1908th/79579375.pdf", "79579375")</f>
        <v>79579375</v>
      </c>
      <c r="F353" s="11" t="s">
        <v>1189</v>
      </c>
      <c r="G353" s="11" t="s">
        <v>1190</v>
      </c>
      <c r="H353" s="11" t="s">
        <v>1191</v>
      </c>
      <c r="I353" s="11" t="s">
        <v>70</v>
      </c>
    </row>
    <row r="354" spans="1:9" x14ac:dyDescent="0.15">
      <c r="A354" s="10">
        <v>353</v>
      </c>
      <c r="B354" s="11" t="s">
        <v>9</v>
      </c>
      <c r="C354" s="11" t="s">
        <v>179</v>
      </c>
      <c r="D354" s="11" t="s">
        <v>180</v>
      </c>
      <c r="E354" s="9" t="str">
        <f>+HYPERLINK("http://trademark.i-assist.jp/data/china/image_1908th/79579697.pdf", "79579697")</f>
        <v>79579697</v>
      </c>
      <c r="F354" s="11" t="s">
        <v>1192</v>
      </c>
      <c r="G354" s="11" t="s">
        <v>1193</v>
      </c>
      <c r="H354" s="11" t="s">
        <v>1194</v>
      </c>
      <c r="I354" s="11" t="s">
        <v>70</v>
      </c>
    </row>
    <row r="355" spans="1:9" x14ac:dyDescent="0.15">
      <c r="A355" s="10">
        <v>354</v>
      </c>
      <c r="B355" s="11" t="s">
        <v>9</v>
      </c>
      <c r="C355" s="11" t="s">
        <v>179</v>
      </c>
      <c r="D355" s="11" t="s">
        <v>180</v>
      </c>
      <c r="E355" s="9" t="str">
        <f>+HYPERLINK("http://trademark.i-assist.jp/data/china/image_1908th/79583203.pdf", "79583203")</f>
        <v>79583203</v>
      </c>
      <c r="F355" s="11" t="s">
        <v>1195</v>
      </c>
      <c r="G355" s="11" t="s">
        <v>1196</v>
      </c>
      <c r="H355" s="11" t="s">
        <v>1197</v>
      </c>
      <c r="I355" s="11" t="s">
        <v>70</v>
      </c>
    </row>
    <row r="356" spans="1:9" x14ac:dyDescent="0.15">
      <c r="A356" s="10">
        <v>355</v>
      </c>
      <c r="B356" s="11" t="s">
        <v>9</v>
      </c>
      <c r="C356" s="11" t="s">
        <v>179</v>
      </c>
      <c r="D356" s="11" t="s">
        <v>180</v>
      </c>
      <c r="E356" s="9" t="str">
        <f>+HYPERLINK("http://trademark.i-assist.jp/data/china/image_1908th/79584302.pdf", "79584302")</f>
        <v>79584302</v>
      </c>
      <c r="F356" s="11" t="s">
        <v>1198</v>
      </c>
      <c r="G356" s="11" t="s">
        <v>1199</v>
      </c>
      <c r="H356" s="11" t="s">
        <v>1200</v>
      </c>
      <c r="I356" s="11" t="s">
        <v>70</v>
      </c>
    </row>
    <row r="357" spans="1:9" x14ac:dyDescent="0.15">
      <c r="A357" s="10">
        <v>356</v>
      </c>
      <c r="B357" s="11" t="s">
        <v>9</v>
      </c>
      <c r="C357" s="11" t="s">
        <v>179</v>
      </c>
      <c r="D357" s="11" t="s">
        <v>180</v>
      </c>
      <c r="E357" s="9" t="str">
        <f>+HYPERLINK("http://trademark.i-assist.jp/data/china/image_1908th/79588261.pdf", "79588261")</f>
        <v>79588261</v>
      </c>
      <c r="F357" s="11" t="s">
        <v>1201</v>
      </c>
      <c r="G357" s="11" t="s">
        <v>1202</v>
      </c>
      <c r="H357" s="11" t="s">
        <v>1203</v>
      </c>
      <c r="I357" s="11" t="s">
        <v>70</v>
      </c>
    </row>
    <row r="358" spans="1:9" x14ac:dyDescent="0.15">
      <c r="A358" s="10">
        <v>357</v>
      </c>
      <c r="B358" s="11" t="s">
        <v>9</v>
      </c>
      <c r="C358" s="11" t="s">
        <v>179</v>
      </c>
      <c r="D358" s="11" t="s">
        <v>180</v>
      </c>
      <c r="E358" s="9" t="str">
        <f>+HYPERLINK("http://trademark.i-assist.jp/data/china/image_1908th/79589399.pdf", "79589399")</f>
        <v>79589399</v>
      </c>
      <c r="F358" s="11" t="s">
        <v>1204</v>
      </c>
      <c r="G358" s="11" t="s">
        <v>1205</v>
      </c>
      <c r="H358" s="11" t="s">
        <v>1206</v>
      </c>
      <c r="I358" s="11" t="s">
        <v>70</v>
      </c>
    </row>
    <row r="359" spans="1:9" x14ac:dyDescent="0.15">
      <c r="A359" s="10">
        <v>358</v>
      </c>
      <c r="B359" s="11" t="s">
        <v>9</v>
      </c>
      <c r="C359" s="11" t="s">
        <v>179</v>
      </c>
      <c r="D359" s="11" t="s">
        <v>180</v>
      </c>
      <c r="E359" s="9" t="str">
        <f>+HYPERLINK("http://trademark.i-assist.jp/data/china/image_1908th/79589877.pdf", "79589877")</f>
        <v>79589877</v>
      </c>
      <c r="F359" s="11" t="s">
        <v>10</v>
      </c>
      <c r="G359" s="11" t="s">
        <v>1207</v>
      </c>
      <c r="H359" s="11" t="s">
        <v>1208</v>
      </c>
      <c r="I359" s="11" t="s">
        <v>70</v>
      </c>
    </row>
    <row r="360" spans="1:9" x14ac:dyDescent="0.15">
      <c r="A360" s="10">
        <v>359</v>
      </c>
      <c r="B360" s="11" t="s">
        <v>9</v>
      </c>
      <c r="C360" s="11" t="s">
        <v>179</v>
      </c>
      <c r="D360" s="11" t="s">
        <v>180</v>
      </c>
      <c r="E360" s="9" t="str">
        <f>+HYPERLINK("http://trademark.i-assist.jp/data/china/image_1908th/79590507.pdf", "79590507")</f>
        <v>79590507</v>
      </c>
      <c r="F360" s="11" t="s">
        <v>1209</v>
      </c>
      <c r="G360" s="11" t="s">
        <v>1210</v>
      </c>
      <c r="H360" s="11" t="s">
        <v>1211</v>
      </c>
      <c r="I360" s="11" t="s">
        <v>70</v>
      </c>
    </row>
    <row r="361" spans="1:9" x14ac:dyDescent="0.15">
      <c r="A361" s="10">
        <v>360</v>
      </c>
      <c r="B361" s="11" t="s">
        <v>9</v>
      </c>
      <c r="C361" s="11" t="s">
        <v>179</v>
      </c>
      <c r="D361" s="11" t="s">
        <v>180</v>
      </c>
      <c r="E361" s="9" t="str">
        <f>+HYPERLINK("http://trademark.i-assist.jp/data/china/image_1908th/79590894.pdf", "79590894")</f>
        <v>79590894</v>
      </c>
      <c r="F361" s="11" t="s">
        <v>1212</v>
      </c>
      <c r="G361" s="11" t="s">
        <v>1213</v>
      </c>
      <c r="H361" s="11" t="s">
        <v>1214</v>
      </c>
      <c r="I361" s="11" t="s">
        <v>70</v>
      </c>
    </row>
    <row r="362" spans="1:9" x14ac:dyDescent="0.15">
      <c r="A362" s="10">
        <v>361</v>
      </c>
      <c r="B362" s="11" t="s">
        <v>9</v>
      </c>
      <c r="C362" s="11" t="s">
        <v>179</v>
      </c>
      <c r="D362" s="11" t="s">
        <v>180</v>
      </c>
      <c r="E362" s="9" t="str">
        <f>+HYPERLINK("http://trademark.i-assist.jp/data/china/image_1908th/79591025.pdf", "79591025")</f>
        <v>79591025</v>
      </c>
      <c r="F362" s="11" t="s">
        <v>1215</v>
      </c>
      <c r="G362" s="11" t="s">
        <v>1216</v>
      </c>
      <c r="H362" s="11" t="s">
        <v>1217</v>
      </c>
      <c r="I362" s="11" t="s">
        <v>70</v>
      </c>
    </row>
    <row r="363" spans="1:9" x14ac:dyDescent="0.15">
      <c r="A363" s="10">
        <v>362</v>
      </c>
      <c r="B363" s="11" t="s">
        <v>9</v>
      </c>
      <c r="C363" s="11" t="s">
        <v>179</v>
      </c>
      <c r="D363" s="11" t="s">
        <v>180</v>
      </c>
      <c r="E363" s="9" t="str">
        <f>+HYPERLINK("http://trademark.i-assist.jp/data/china/image_1908th/79593416.pdf", "79593416")</f>
        <v>79593416</v>
      </c>
      <c r="F363" s="11" t="s">
        <v>1218</v>
      </c>
      <c r="G363" s="11" t="s">
        <v>1219</v>
      </c>
      <c r="H363" s="11" t="s">
        <v>1220</v>
      </c>
      <c r="I363" s="11" t="s">
        <v>70</v>
      </c>
    </row>
    <row r="364" spans="1:9" x14ac:dyDescent="0.15">
      <c r="A364" s="10">
        <v>363</v>
      </c>
      <c r="B364" s="11" t="s">
        <v>9</v>
      </c>
      <c r="C364" s="11" t="s">
        <v>179</v>
      </c>
      <c r="D364" s="11" t="s">
        <v>180</v>
      </c>
      <c r="E364" s="9" t="str">
        <f>+HYPERLINK("http://trademark.i-assist.jp/data/china/image_1908th/79593905.pdf", "79593905")</f>
        <v>79593905</v>
      </c>
      <c r="F364" s="11" t="s">
        <v>1221</v>
      </c>
      <c r="G364" s="11" t="s">
        <v>1222</v>
      </c>
      <c r="H364" s="11" t="s">
        <v>1223</v>
      </c>
      <c r="I364" s="11" t="s">
        <v>70</v>
      </c>
    </row>
    <row r="365" spans="1:9" x14ac:dyDescent="0.15">
      <c r="A365" s="10">
        <v>364</v>
      </c>
      <c r="B365" s="11" t="s">
        <v>9</v>
      </c>
      <c r="C365" s="11" t="s">
        <v>179</v>
      </c>
      <c r="D365" s="11" t="s">
        <v>180</v>
      </c>
      <c r="E365" s="9" t="str">
        <f>+HYPERLINK("http://trademark.i-assist.jp/data/china/image_1908th/79594349.pdf", "79594349")</f>
        <v>79594349</v>
      </c>
      <c r="F365" s="11" t="s">
        <v>1224</v>
      </c>
      <c r="G365" s="11" t="s">
        <v>1225</v>
      </c>
      <c r="H365" s="11" t="s">
        <v>1226</v>
      </c>
      <c r="I365" s="11" t="s">
        <v>70</v>
      </c>
    </row>
    <row r="366" spans="1:9" x14ac:dyDescent="0.15">
      <c r="A366" s="10">
        <v>365</v>
      </c>
      <c r="B366" s="11" t="s">
        <v>9</v>
      </c>
      <c r="C366" s="11" t="s">
        <v>179</v>
      </c>
      <c r="D366" s="11" t="s">
        <v>180</v>
      </c>
      <c r="E366" s="9" t="str">
        <f>+HYPERLINK("http://trademark.i-assist.jp/data/china/image_1908th/79595856.pdf", "79595856")</f>
        <v>79595856</v>
      </c>
      <c r="F366" s="11" t="s">
        <v>1227</v>
      </c>
      <c r="G366" s="11" t="s">
        <v>1228</v>
      </c>
      <c r="H366" s="11" t="s">
        <v>1229</v>
      </c>
      <c r="I366" s="11" t="s">
        <v>70</v>
      </c>
    </row>
    <row r="367" spans="1:9" x14ac:dyDescent="0.15">
      <c r="A367" s="10">
        <v>366</v>
      </c>
      <c r="B367" s="11" t="s">
        <v>9</v>
      </c>
      <c r="C367" s="11" t="s">
        <v>179</v>
      </c>
      <c r="D367" s="11" t="s">
        <v>180</v>
      </c>
      <c r="E367" s="9" t="str">
        <f>+HYPERLINK("http://trademark.i-assist.jp/data/china/image_1908th/79596565.pdf", "79596565")</f>
        <v>79596565</v>
      </c>
      <c r="F367" s="11" t="s">
        <v>1230</v>
      </c>
      <c r="G367" s="11" t="s">
        <v>1231</v>
      </c>
      <c r="H367" s="11" t="s">
        <v>1232</v>
      </c>
      <c r="I367" s="11" t="s">
        <v>70</v>
      </c>
    </row>
    <row r="368" spans="1:9" x14ac:dyDescent="0.15">
      <c r="A368" s="10">
        <v>367</v>
      </c>
      <c r="B368" s="11" t="s">
        <v>9</v>
      </c>
      <c r="C368" s="11" t="s">
        <v>179</v>
      </c>
      <c r="D368" s="11" t="s">
        <v>180</v>
      </c>
      <c r="E368" s="9" t="str">
        <f>+HYPERLINK("http://trademark.i-assist.jp/data/china/image_1908th/79597687.pdf", "79597687")</f>
        <v>79597687</v>
      </c>
      <c r="F368" s="11" t="s">
        <v>1233</v>
      </c>
      <c r="G368" s="11" t="s">
        <v>1234</v>
      </c>
      <c r="H368" s="11" t="s">
        <v>1235</v>
      </c>
      <c r="I368" s="11" t="s">
        <v>70</v>
      </c>
    </row>
    <row r="369" spans="1:9" x14ac:dyDescent="0.15">
      <c r="A369" s="10">
        <v>368</v>
      </c>
      <c r="B369" s="11" t="s">
        <v>9</v>
      </c>
      <c r="C369" s="11" t="s">
        <v>179</v>
      </c>
      <c r="D369" s="11" t="s">
        <v>180</v>
      </c>
      <c r="E369" s="9" t="str">
        <f>+HYPERLINK("http://trademark.i-assist.jp/data/china/image_1908th/79598020.pdf", "79598020")</f>
        <v>79598020</v>
      </c>
      <c r="F369" s="11" t="s">
        <v>1236</v>
      </c>
      <c r="G369" s="11" t="s">
        <v>1237</v>
      </c>
      <c r="H369" s="11" t="s">
        <v>1238</v>
      </c>
      <c r="I369" s="11" t="s">
        <v>70</v>
      </c>
    </row>
    <row r="370" spans="1:9" x14ac:dyDescent="0.15">
      <c r="A370" s="10">
        <v>369</v>
      </c>
      <c r="B370" s="11" t="s">
        <v>9</v>
      </c>
      <c r="C370" s="11" t="s">
        <v>179</v>
      </c>
      <c r="D370" s="11" t="s">
        <v>180</v>
      </c>
      <c r="E370" s="9" t="str">
        <f>+HYPERLINK("http://trademark.i-assist.jp/data/china/image_1908th/79598688.pdf", "79598688")</f>
        <v>79598688</v>
      </c>
      <c r="F370" s="11" t="s">
        <v>1239</v>
      </c>
      <c r="G370" s="11" t="s">
        <v>1240</v>
      </c>
      <c r="H370" s="11" t="s">
        <v>1241</v>
      </c>
      <c r="I370" s="11" t="s">
        <v>70</v>
      </c>
    </row>
    <row r="371" spans="1:9" x14ac:dyDescent="0.15">
      <c r="A371" s="10">
        <v>370</v>
      </c>
      <c r="B371" s="11" t="s">
        <v>9</v>
      </c>
      <c r="C371" s="11" t="s">
        <v>179</v>
      </c>
      <c r="D371" s="11" t="s">
        <v>180</v>
      </c>
      <c r="E371" s="9" t="str">
        <f>+HYPERLINK("http://trademark.i-assist.jp/data/china/image_1908th/79599062.pdf", "79599062")</f>
        <v>79599062</v>
      </c>
      <c r="F371" s="11" t="s">
        <v>1242</v>
      </c>
      <c r="G371" s="11" t="s">
        <v>1196</v>
      </c>
      <c r="H371" s="11" t="s">
        <v>1243</v>
      </c>
      <c r="I371" s="11" t="s">
        <v>70</v>
      </c>
    </row>
    <row r="372" spans="1:9" x14ac:dyDescent="0.15">
      <c r="A372" s="10">
        <v>371</v>
      </c>
      <c r="B372" s="11" t="s">
        <v>9</v>
      </c>
      <c r="C372" s="11" t="s">
        <v>179</v>
      </c>
      <c r="D372" s="11" t="s">
        <v>180</v>
      </c>
      <c r="E372" s="9" t="str">
        <f>+HYPERLINK("http://trademark.i-assist.jp/data/china/image_1908th/79600470.pdf", "79600470")</f>
        <v>79600470</v>
      </c>
      <c r="F372" s="11" t="s">
        <v>1244</v>
      </c>
      <c r="G372" s="11" t="s">
        <v>1245</v>
      </c>
      <c r="H372" s="11" t="s">
        <v>1246</v>
      </c>
      <c r="I372" s="11" t="s">
        <v>72</v>
      </c>
    </row>
    <row r="373" spans="1:9" x14ac:dyDescent="0.15">
      <c r="A373" s="10">
        <v>372</v>
      </c>
      <c r="B373" s="11" t="s">
        <v>9</v>
      </c>
      <c r="C373" s="11" t="s">
        <v>179</v>
      </c>
      <c r="D373" s="11" t="s">
        <v>180</v>
      </c>
      <c r="E373" s="9" t="str">
        <f>+HYPERLINK("http://trademark.i-assist.jp/data/china/image_1908th/79602590.pdf", "79602590")</f>
        <v>79602590</v>
      </c>
      <c r="F373" s="11" t="s">
        <v>1247</v>
      </c>
      <c r="G373" s="11" t="s">
        <v>1248</v>
      </c>
      <c r="H373" s="11" t="s">
        <v>1249</v>
      </c>
      <c r="I373" s="11" t="s">
        <v>72</v>
      </c>
    </row>
    <row r="374" spans="1:9" x14ac:dyDescent="0.15">
      <c r="A374" s="10">
        <v>373</v>
      </c>
      <c r="B374" s="11" t="s">
        <v>9</v>
      </c>
      <c r="C374" s="11" t="s">
        <v>179</v>
      </c>
      <c r="D374" s="11" t="s">
        <v>180</v>
      </c>
      <c r="E374" s="9" t="str">
        <f>+HYPERLINK("http://trademark.i-assist.jp/data/china/image_1908th/79603152.pdf", "79603152")</f>
        <v>79603152</v>
      </c>
      <c r="F374" s="11" t="s">
        <v>1250</v>
      </c>
      <c r="G374" s="11" t="s">
        <v>1251</v>
      </c>
      <c r="H374" s="11" t="s">
        <v>1252</v>
      </c>
      <c r="I374" s="11" t="s">
        <v>72</v>
      </c>
    </row>
    <row r="375" spans="1:9" x14ac:dyDescent="0.15">
      <c r="A375" s="10">
        <v>374</v>
      </c>
      <c r="B375" s="11" t="s">
        <v>9</v>
      </c>
      <c r="C375" s="11" t="s">
        <v>179</v>
      </c>
      <c r="D375" s="11" t="s">
        <v>180</v>
      </c>
      <c r="E375" s="9" t="str">
        <f>+HYPERLINK("http://trademark.i-assist.jp/data/china/image_1908th/79608614.pdf", "79608614")</f>
        <v>79608614</v>
      </c>
      <c r="F375" s="11" t="s">
        <v>1253</v>
      </c>
      <c r="G375" s="11" t="s">
        <v>1254</v>
      </c>
      <c r="H375" s="11" t="s">
        <v>1255</v>
      </c>
      <c r="I375" s="11" t="s">
        <v>72</v>
      </c>
    </row>
    <row r="376" spans="1:9" x14ac:dyDescent="0.15">
      <c r="A376" s="10">
        <v>375</v>
      </c>
      <c r="B376" s="11" t="s">
        <v>9</v>
      </c>
      <c r="C376" s="11" t="s">
        <v>179</v>
      </c>
      <c r="D376" s="11" t="s">
        <v>180</v>
      </c>
      <c r="E376" s="9" t="str">
        <f>+HYPERLINK("http://trademark.i-assist.jp/data/china/image_1908th/79610454.pdf", "79610454")</f>
        <v>79610454</v>
      </c>
      <c r="F376" s="11" t="s">
        <v>1256</v>
      </c>
      <c r="G376" s="11" t="s">
        <v>1257</v>
      </c>
      <c r="H376" s="11" t="s">
        <v>1258</v>
      </c>
      <c r="I376" s="11" t="s">
        <v>72</v>
      </c>
    </row>
    <row r="377" spans="1:9" x14ac:dyDescent="0.15">
      <c r="A377" s="10">
        <v>376</v>
      </c>
      <c r="B377" s="11" t="s">
        <v>9</v>
      </c>
      <c r="C377" s="11" t="s">
        <v>179</v>
      </c>
      <c r="D377" s="11" t="s">
        <v>180</v>
      </c>
      <c r="E377" s="9" t="str">
        <f>+HYPERLINK("http://trademark.i-assist.jp/data/china/image_1908th/79612050.pdf", "79612050")</f>
        <v>79612050</v>
      </c>
      <c r="F377" s="11" t="s">
        <v>1259</v>
      </c>
      <c r="G377" s="11" t="s">
        <v>1260</v>
      </c>
      <c r="H377" s="11" t="s">
        <v>1261</v>
      </c>
      <c r="I377" s="11" t="s">
        <v>72</v>
      </c>
    </row>
    <row r="378" spans="1:9" x14ac:dyDescent="0.15">
      <c r="A378" s="10">
        <v>377</v>
      </c>
      <c r="B378" s="11" t="s">
        <v>9</v>
      </c>
      <c r="C378" s="11" t="s">
        <v>179</v>
      </c>
      <c r="D378" s="11" t="s">
        <v>180</v>
      </c>
      <c r="E378" s="9" t="str">
        <f>+HYPERLINK("http://trademark.i-assist.jp/data/china/image_1908th/79612127.pdf", "79612127")</f>
        <v>79612127</v>
      </c>
      <c r="F378" s="11" t="s">
        <v>1262</v>
      </c>
      <c r="G378" s="11" t="s">
        <v>97</v>
      </c>
      <c r="H378" s="11" t="s">
        <v>1263</v>
      </c>
      <c r="I378" s="11" t="s">
        <v>72</v>
      </c>
    </row>
    <row r="379" spans="1:9" x14ac:dyDescent="0.15">
      <c r="A379" s="10">
        <v>378</v>
      </c>
      <c r="B379" s="11" t="s">
        <v>9</v>
      </c>
      <c r="C379" s="11" t="s">
        <v>179</v>
      </c>
      <c r="D379" s="11" t="s">
        <v>180</v>
      </c>
      <c r="E379" s="9" t="str">
        <f>+HYPERLINK("http://trademark.i-assist.jp/data/china/image_1908th/79612377.pdf", "79612377")</f>
        <v>79612377</v>
      </c>
      <c r="F379" s="11" t="s">
        <v>1264</v>
      </c>
      <c r="G379" s="11" t="s">
        <v>1265</v>
      </c>
      <c r="H379" s="11" t="s">
        <v>1266</v>
      </c>
      <c r="I379" s="11" t="s">
        <v>72</v>
      </c>
    </row>
    <row r="380" spans="1:9" x14ac:dyDescent="0.15">
      <c r="A380" s="10">
        <v>379</v>
      </c>
      <c r="B380" s="11" t="s">
        <v>9</v>
      </c>
      <c r="C380" s="11" t="s">
        <v>179</v>
      </c>
      <c r="D380" s="11" t="s">
        <v>180</v>
      </c>
      <c r="E380" s="9" t="str">
        <f>+HYPERLINK("http://trademark.i-assist.jp/data/china/image_1908th/79612636.pdf", "79612636")</f>
        <v>79612636</v>
      </c>
      <c r="F380" s="11" t="s">
        <v>1267</v>
      </c>
      <c r="G380" s="11" t="s">
        <v>1268</v>
      </c>
      <c r="H380" s="11" t="s">
        <v>1269</v>
      </c>
      <c r="I380" s="11" t="s">
        <v>72</v>
      </c>
    </row>
    <row r="381" spans="1:9" x14ac:dyDescent="0.15">
      <c r="A381" s="10">
        <v>380</v>
      </c>
      <c r="B381" s="11" t="s">
        <v>9</v>
      </c>
      <c r="C381" s="11" t="s">
        <v>179</v>
      </c>
      <c r="D381" s="11" t="s">
        <v>180</v>
      </c>
      <c r="E381" s="9" t="str">
        <f>+HYPERLINK("http://trademark.i-assist.jp/data/china/image_1908th/79615326.pdf", "79615326")</f>
        <v>79615326</v>
      </c>
      <c r="F381" s="11" t="s">
        <v>1270</v>
      </c>
      <c r="G381" s="11" t="s">
        <v>1271</v>
      </c>
      <c r="H381" s="11" t="s">
        <v>1272</v>
      </c>
      <c r="I381" s="11" t="s">
        <v>72</v>
      </c>
    </row>
    <row r="382" spans="1:9" x14ac:dyDescent="0.15">
      <c r="A382" s="10">
        <v>381</v>
      </c>
      <c r="B382" s="11" t="s">
        <v>9</v>
      </c>
      <c r="C382" s="11" t="s">
        <v>179</v>
      </c>
      <c r="D382" s="11" t="s">
        <v>180</v>
      </c>
      <c r="E382" s="9" t="str">
        <f>+HYPERLINK("http://trademark.i-assist.jp/data/china/image_1908th/79615426.pdf", "79615426")</f>
        <v>79615426</v>
      </c>
      <c r="F382" s="11" t="s">
        <v>1273</v>
      </c>
      <c r="G382" s="11" t="s">
        <v>1274</v>
      </c>
      <c r="H382" s="11" t="s">
        <v>1275</v>
      </c>
      <c r="I382" s="11" t="s">
        <v>72</v>
      </c>
    </row>
    <row r="383" spans="1:9" x14ac:dyDescent="0.15">
      <c r="A383" s="10">
        <v>382</v>
      </c>
      <c r="B383" s="11" t="s">
        <v>9</v>
      </c>
      <c r="C383" s="11" t="s">
        <v>179</v>
      </c>
      <c r="D383" s="11" t="s">
        <v>180</v>
      </c>
      <c r="E383" s="9" t="str">
        <f>+HYPERLINK("http://trademark.i-assist.jp/data/china/image_1908th/79618257.pdf", "79618257")</f>
        <v>79618257</v>
      </c>
      <c r="F383" s="11" t="s">
        <v>1276</v>
      </c>
      <c r="G383" s="11" t="s">
        <v>1277</v>
      </c>
      <c r="H383" s="11" t="s">
        <v>1278</v>
      </c>
      <c r="I383" s="11" t="s">
        <v>72</v>
      </c>
    </row>
    <row r="384" spans="1:9" x14ac:dyDescent="0.15">
      <c r="A384" s="10">
        <v>383</v>
      </c>
      <c r="B384" s="11" t="s">
        <v>9</v>
      </c>
      <c r="C384" s="11" t="s">
        <v>179</v>
      </c>
      <c r="D384" s="11" t="s">
        <v>180</v>
      </c>
      <c r="E384" s="9" t="str">
        <f>+HYPERLINK("http://trademark.i-assist.jp/data/china/image_1908th/79618296.pdf", "79618296")</f>
        <v>79618296</v>
      </c>
      <c r="F384" s="11" t="s">
        <v>1279</v>
      </c>
      <c r="G384" s="11" t="s">
        <v>1280</v>
      </c>
      <c r="H384" s="11" t="s">
        <v>1281</v>
      </c>
      <c r="I384" s="11" t="s">
        <v>72</v>
      </c>
    </row>
    <row r="385" spans="1:9" x14ac:dyDescent="0.15">
      <c r="A385" s="10">
        <v>384</v>
      </c>
      <c r="B385" s="11" t="s">
        <v>9</v>
      </c>
      <c r="C385" s="11" t="s">
        <v>179</v>
      </c>
      <c r="D385" s="11" t="s">
        <v>180</v>
      </c>
      <c r="E385" s="9" t="str">
        <f>+HYPERLINK("http://trademark.i-assist.jp/data/china/image_1908th/79619354.pdf", "79619354")</f>
        <v>79619354</v>
      </c>
      <c r="F385" s="11" t="s">
        <v>1282</v>
      </c>
      <c r="G385" s="11" t="s">
        <v>1283</v>
      </c>
      <c r="H385" s="11" t="s">
        <v>1284</v>
      </c>
      <c r="I385" s="11" t="s">
        <v>72</v>
      </c>
    </row>
    <row r="386" spans="1:9" x14ac:dyDescent="0.15">
      <c r="A386" s="10">
        <v>385</v>
      </c>
      <c r="B386" s="11" t="s">
        <v>9</v>
      </c>
      <c r="C386" s="11" t="s">
        <v>179</v>
      </c>
      <c r="D386" s="11" t="s">
        <v>180</v>
      </c>
      <c r="E386" s="9" t="str">
        <f>+HYPERLINK("http://trademark.i-assist.jp/data/china/image_1908th/79621766.pdf", "79621766")</f>
        <v>79621766</v>
      </c>
      <c r="F386" s="11" t="s">
        <v>1285</v>
      </c>
      <c r="G386" s="11" t="s">
        <v>1286</v>
      </c>
      <c r="H386" s="11" t="s">
        <v>1287</v>
      </c>
      <c r="I386" s="11" t="s">
        <v>72</v>
      </c>
    </row>
    <row r="387" spans="1:9" x14ac:dyDescent="0.15">
      <c r="A387" s="10">
        <v>386</v>
      </c>
      <c r="B387" s="11" t="s">
        <v>9</v>
      </c>
      <c r="C387" s="11" t="s">
        <v>179</v>
      </c>
      <c r="D387" s="11" t="s">
        <v>180</v>
      </c>
      <c r="E387" s="9" t="str">
        <f>+HYPERLINK("http://trademark.i-assist.jp/data/china/image_1908th/79622343.pdf", "79622343")</f>
        <v>79622343</v>
      </c>
      <c r="F387" s="11" t="s">
        <v>1288</v>
      </c>
      <c r="G387" s="11" t="s">
        <v>1289</v>
      </c>
      <c r="H387" s="11" t="s">
        <v>1290</v>
      </c>
      <c r="I387" s="11" t="s">
        <v>72</v>
      </c>
    </row>
    <row r="388" spans="1:9" x14ac:dyDescent="0.15">
      <c r="A388" s="10">
        <v>387</v>
      </c>
      <c r="B388" s="11" t="s">
        <v>9</v>
      </c>
      <c r="C388" s="11" t="s">
        <v>179</v>
      </c>
      <c r="D388" s="11" t="s">
        <v>180</v>
      </c>
      <c r="E388" s="9" t="str">
        <f>+HYPERLINK("http://trademark.i-assist.jp/data/china/image_1908th/79623137.pdf", "79623137")</f>
        <v>79623137</v>
      </c>
      <c r="F388" s="11" t="s">
        <v>1291</v>
      </c>
      <c r="G388" s="11" t="s">
        <v>1292</v>
      </c>
      <c r="H388" s="11" t="s">
        <v>1293</v>
      </c>
      <c r="I388" s="11" t="s">
        <v>73</v>
      </c>
    </row>
    <row r="389" spans="1:9" x14ac:dyDescent="0.15">
      <c r="A389" s="10">
        <v>388</v>
      </c>
      <c r="B389" s="11" t="s">
        <v>9</v>
      </c>
      <c r="C389" s="11" t="s">
        <v>179</v>
      </c>
      <c r="D389" s="11" t="s">
        <v>180</v>
      </c>
      <c r="E389" s="9" t="str">
        <f>+HYPERLINK("http://trademark.i-assist.jp/data/china/image_1908th/79624497.pdf", "79624497")</f>
        <v>79624497</v>
      </c>
      <c r="F389" s="11" t="s">
        <v>1294</v>
      </c>
      <c r="G389" s="11" t="s">
        <v>1295</v>
      </c>
      <c r="H389" s="11" t="s">
        <v>1296</v>
      </c>
      <c r="I389" s="11" t="s">
        <v>73</v>
      </c>
    </row>
    <row r="390" spans="1:9" x14ac:dyDescent="0.15">
      <c r="A390" s="10">
        <v>389</v>
      </c>
      <c r="B390" s="11" t="s">
        <v>9</v>
      </c>
      <c r="C390" s="11" t="s">
        <v>179</v>
      </c>
      <c r="D390" s="11" t="s">
        <v>180</v>
      </c>
      <c r="E390" s="9" t="str">
        <f>+HYPERLINK("http://trademark.i-assist.jp/data/china/image_1908th/79624514.pdf", "79624514")</f>
        <v>79624514</v>
      </c>
      <c r="F390" s="11" t="s">
        <v>1297</v>
      </c>
      <c r="G390" s="11" t="s">
        <v>1295</v>
      </c>
      <c r="H390" s="11" t="s">
        <v>1298</v>
      </c>
      <c r="I390" s="11" t="s">
        <v>73</v>
      </c>
    </row>
    <row r="391" spans="1:9" x14ac:dyDescent="0.15">
      <c r="A391" s="10">
        <v>390</v>
      </c>
      <c r="B391" s="11" t="s">
        <v>9</v>
      </c>
      <c r="C391" s="11" t="s">
        <v>179</v>
      </c>
      <c r="D391" s="11" t="s">
        <v>180</v>
      </c>
      <c r="E391" s="9" t="str">
        <f>+HYPERLINK("http://trademark.i-assist.jp/data/china/image_1908th/79626033.pdf", "79626033")</f>
        <v>79626033</v>
      </c>
      <c r="F391" s="11" t="s">
        <v>1299</v>
      </c>
      <c r="G391" s="11" t="s">
        <v>1300</v>
      </c>
      <c r="H391" s="11" t="s">
        <v>1301</v>
      </c>
      <c r="I391" s="11" t="s">
        <v>73</v>
      </c>
    </row>
    <row r="392" spans="1:9" x14ac:dyDescent="0.15">
      <c r="A392" s="10">
        <v>391</v>
      </c>
      <c r="B392" s="11" t="s">
        <v>9</v>
      </c>
      <c r="C392" s="11" t="s">
        <v>179</v>
      </c>
      <c r="D392" s="11" t="s">
        <v>180</v>
      </c>
      <c r="E392" s="9" t="str">
        <f>+HYPERLINK("http://trademark.i-assist.jp/data/china/image_1908th/79626563.pdf", "79626563")</f>
        <v>79626563</v>
      </c>
      <c r="F392" s="11" t="s">
        <v>1302</v>
      </c>
      <c r="G392" s="11" t="s">
        <v>1303</v>
      </c>
      <c r="H392" s="11" t="s">
        <v>1304</v>
      </c>
      <c r="I392" s="11" t="s">
        <v>73</v>
      </c>
    </row>
    <row r="393" spans="1:9" x14ac:dyDescent="0.15">
      <c r="A393" s="10">
        <v>392</v>
      </c>
      <c r="B393" s="11" t="s">
        <v>9</v>
      </c>
      <c r="C393" s="11" t="s">
        <v>179</v>
      </c>
      <c r="D393" s="11" t="s">
        <v>180</v>
      </c>
      <c r="E393" s="9" t="str">
        <f>+HYPERLINK("http://trademark.i-assist.jp/data/china/image_1908th/79626603.pdf", "79626603")</f>
        <v>79626603</v>
      </c>
      <c r="F393" s="11" t="s">
        <v>1305</v>
      </c>
      <c r="G393" s="11" t="s">
        <v>1306</v>
      </c>
      <c r="H393" s="11" t="s">
        <v>1307</v>
      </c>
      <c r="I393" s="11" t="s">
        <v>73</v>
      </c>
    </row>
    <row r="394" spans="1:9" x14ac:dyDescent="0.15">
      <c r="A394" s="10">
        <v>393</v>
      </c>
      <c r="B394" s="11" t="s">
        <v>9</v>
      </c>
      <c r="C394" s="11" t="s">
        <v>179</v>
      </c>
      <c r="D394" s="11" t="s">
        <v>180</v>
      </c>
      <c r="E394" s="9" t="str">
        <f>+HYPERLINK("http://trademark.i-assist.jp/data/china/image_1908th/79628509.pdf", "79628509")</f>
        <v>79628509</v>
      </c>
      <c r="F394" s="11" t="s">
        <v>1308</v>
      </c>
      <c r="G394" s="11" t="s">
        <v>125</v>
      </c>
      <c r="H394" s="11" t="s">
        <v>1309</v>
      </c>
      <c r="I394" s="11" t="s">
        <v>73</v>
      </c>
    </row>
    <row r="395" spans="1:9" x14ac:dyDescent="0.15">
      <c r="A395" s="10">
        <v>394</v>
      </c>
      <c r="B395" s="11" t="s">
        <v>9</v>
      </c>
      <c r="C395" s="11" t="s">
        <v>179</v>
      </c>
      <c r="D395" s="11" t="s">
        <v>180</v>
      </c>
      <c r="E395" s="9" t="str">
        <f>+HYPERLINK("http://trademark.i-assist.jp/data/china/image_1908th/79628865.pdf", "79628865")</f>
        <v>79628865</v>
      </c>
      <c r="F395" s="11" t="s">
        <v>1310</v>
      </c>
      <c r="G395" s="11" t="s">
        <v>1311</v>
      </c>
      <c r="H395" s="11" t="s">
        <v>1312</v>
      </c>
      <c r="I395" s="11" t="s">
        <v>73</v>
      </c>
    </row>
    <row r="396" spans="1:9" x14ac:dyDescent="0.15">
      <c r="A396" s="10">
        <v>395</v>
      </c>
      <c r="B396" s="11" t="s">
        <v>9</v>
      </c>
      <c r="C396" s="11" t="s">
        <v>179</v>
      </c>
      <c r="D396" s="11" t="s">
        <v>180</v>
      </c>
      <c r="E396" s="9" t="str">
        <f>+HYPERLINK("http://trademark.i-assist.jp/data/china/image_1908th/79629053.pdf", "79629053")</f>
        <v>79629053</v>
      </c>
      <c r="F396" s="11" t="s">
        <v>1313</v>
      </c>
      <c r="G396" s="11" t="s">
        <v>1314</v>
      </c>
      <c r="H396" s="11" t="s">
        <v>1315</v>
      </c>
      <c r="I396" s="11" t="s">
        <v>73</v>
      </c>
    </row>
    <row r="397" spans="1:9" x14ac:dyDescent="0.15">
      <c r="A397" s="10">
        <v>396</v>
      </c>
      <c r="B397" s="11" t="s">
        <v>9</v>
      </c>
      <c r="C397" s="11" t="s">
        <v>179</v>
      </c>
      <c r="D397" s="11" t="s">
        <v>180</v>
      </c>
      <c r="E397" s="9" t="str">
        <f>+HYPERLINK("http://trademark.i-assist.jp/data/china/image_1908th/79631186.pdf", "79631186")</f>
        <v>79631186</v>
      </c>
      <c r="F397" s="11" t="s">
        <v>1316</v>
      </c>
      <c r="G397" s="11" t="s">
        <v>1317</v>
      </c>
      <c r="H397" s="11" t="s">
        <v>1318</v>
      </c>
      <c r="I397" s="11" t="s">
        <v>73</v>
      </c>
    </row>
    <row r="398" spans="1:9" x14ac:dyDescent="0.15">
      <c r="A398" s="10">
        <v>397</v>
      </c>
      <c r="B398" s="11" t="s">
        <v>9</v>
      </c>
      <c r="C398" s="11" t="s">
        <v>179</v>
      </c>
      <c r="D398" s="11" t="s">
        <v>180</v>
      </c>
      <c r="E398" s="9" t="str">
        <f>+HYPERLINK("http://trademark.i-assist.jp/data/china/image_1908th/79631492.pdf", "79631492")</f>
        <v>79631492</v>
      </c>
      <c r="F398" s="11" t="s">
        <v>1319</v>
      </c>
      <c r="G398" s="11" t="s">
        <v>1320</v>
      </c>
      <c r="H398" s="11" t="s">
        <v>1321</v>
      </c>
      <c r="I398" s="11" t="s">
        <v>73</v>
      </c>
    </row>
    <row r="399" spans="1:9" x14ac:dyDescent="0.15">
      <c r="A399" s="10">
        <v>398</v>
      </c>
      <c r="B399" s="11" t="s">
        <v>9</v>
      </c>
      <c r="C399" s="11" t="s">
        <v>179</v>
      </c>
      <c r="D399" s="11" t="s">
        <v>180</v>
      </c>
      <c r="E399" s="9" t="str">
        <f>+HYPERLINK("http://trademark.i-assist.jp/data/china/image_1908th/79632365.pdf", "79632365")</f>
        <v>79632365</v>
      </c>
      <c r="F399" s="11" t="s">
        <v>1322</v>
      </c>
      <c r="G399" s="11" t="s">
        <v>1323</v>
      </c>
      <c r="H399" s="11" t="s">
        <v>1324</v>
      </c>
      <c r="I399" s="11" t="s">
        <v>73</v>
      </c>
    </row>
    <row r="400" spans="1:9" x14ac:dyDescent="0.15">
      <c r="A400" s="10">
        <v>399</v>
      </c>
      <c r="B400" s="11" t="s">
        <v>9</v>
      </c>
      <c r="C400" s="11" t="s">
        <v>179</v>
      </c>
      <c r="D400" s="11" t="s">
        <v>180</v>
      </c>
      <c r="E400" s="9" t="str">
        <f>+HYPERLINK("http://trademark.i-assist.jp/data/china/image_1908th/79632634.pdf", "79632634")</f>
        <v>79632634</v>
      </c>
      <c r="F400" s="11" t="s">
        <v>1325</v>
      </c>
      <c r="G400" s="11" t="s">
        <v>1326</v>
      </c>
      <c r="H400" s="11" t="s">
        <v>1327</v>
      </c>
      <c r="I400" s="11" t="s">
        <v>73</v>
      </c>
    </row>
    <row r="401" spans="1:9" x14ac:dyDescent="0.15">
      <c r="A401" s="10">
        <v>400</v>
      </c>
      <c r="B401" s="11" t="s">
        <v>9</v>
      </c>
      <c r="C401" s="11" t="s">
        <v>179</v>
      </c>
      <c r="D401" s="11" t="s">
        <v>180</v>
      </c>
      <c r="E401" s="9" t="str">
        <f>+HYPERLINK("http://trademark.i-assist.jp/data/china/image_1908th/79632669.pdf", "79632669")</f>
        <v>79632669</v>
      </c>
      <c r="F401" s="11" t="s">
        <v>1328</v>
      </c>
      <c r="G401" s="11" t="s">
        <v>1329</v>
      </c>
      <c r="H401" s="11" t="s">
        <v>1330</v>
      </c>
      <c r="I401" s="11" t="s">
        <v>73</v>
      </c>
    </row>
    <row r="402" spans="1:9" x14ac:dyDescent="0.15">
      <c r="A402" s="10">
        <v>401</v>
      </c>
      <c r="B402" s="11" t="s">
        <v>9</v>
      </c>
      <c r="C402" s="11" t="s">
        <v>179</v>
      </c>
      <c r="D402" s="11" t="s">
        <v>180</v>
      </c>
      <c r="E402" s="9" t="str">
        <f>+HYPERLINK("http://trademark.i-assist.jp/data/china/image_1908th/79633497.pdf", "79633497")</f>
        <v>79633497</v>
      </c>
      <c r="F402" s="11" t="s">
        <v>1331</v>
      </c>
      <c r="G402" s="11" t="s">
        <v>1332</v>
      </c>
      <c r="H402" s="11" t="s">
        <v>1333</v>
      </c>
      <c r="I402" s="11" t="s">
        <v>73</v>
      </c>
    </row>
    <row r="403" spans="1:9" x14ac:dyDescent="0.15">
      <c r="A403" s="10">
        <v>402</v>
      </c>
      <c r="B403" s="11" t="s">
        <v>9</v>
      </c>
      <c r="C403" s="11" t="s">
        <v>179</v>
      </c>
      <c r="D403" s="11" t="s">
        <v>180</v>
      </c>
      <c r="E403" s="9" t="str">
        <f>+HYPERLINK("http://trademark.i-assist.jp/data/china/image_1908th/79634097.pdf", "79634097")</f>
        <v>79634097</v>
      </c>
      <c r="F403" s="11" t="s">
        <v>1334</v>
      </c>
      <c r="G403" s="11" t="s">
        <v>1335</v>
      </c>
      <c r="H403" s="11" t="s">
        <v>1336</v>
      </c>
      <c r="I403" s="11" t="s">
        <v>73</v>
      </c>
    </row>
    <row r="404" spans="1:9" x14ac:dyDescent="0.15">
      <c r="A404" s="10">
        <v>403</v>
      </c>
      <c r="B404" s="11" t="s">
        <v>9</v>
      </c>
      <c r="C404" s="11" t="s">
        <v>179</v>
      </c>
      <c r="D404" s="11" t="s">
        <v>180</v>
      </c>
      <c r="E404" s="9" t="str">
        <f>+HYPERLINK("http://trademark.i-assist.jp/data/china/image_1908th/79634977.pdf", "79634977")</f>
        <v>79634977</v>
      </c>
      <c r="F404" s="11" t="s">
        <v>1337</v>
      </c>
      <c r="G404" s="11" t="s">
        <v>1338</v>
      </c>
      <c r="H404" s="11" t="s">
        <v>1339</v>
      </c>
      <c r="I404" s="11" t="s">
        <v>73</v>
      </c>
    </row>
    <row r="405" spans="1:9" x14ac:dyDescent="0.15">
      <c r="A405" s="10">
        <v>404</v>
      </c>
      <c r="B405" s="11" t="s">
        <v>9</v>
      </c>
      <c r="C405" s="11" t="s">
        <v>179</v>
      </c>
      <c r="D405" s="11" t="s">
        <v>180</v>
      </c>
      <c r="E405" s="9" t="str">
        <f>+HYPERLINK("http://trademark.i-assist.jp/data/china/image_1908th/79635959.pdf", "79635959")</f>
        <v>79635959</v>
      </c>
      <c r="F405" s="11" t="s">
        <v>1340</v>
      </c>
      <c r="G405" s="11" t="s">
        <v>1335</v>
      </c>
      <c r="H405" s="11" t="s">
        <v>1341</v>
      </c>
      <c r="I405" s="11" t="s">
        <v>73</v>
      </c>
    </row>
    <row r="406" spans="1:9" x14ac:dyDescent="0.15">
      <c r="A406" s="10">
        <v>405</v>
      </c>
      <c r="B406" s="11" t="s">
        <v>9</v>
      </c>
      <c r="C406" s="11" t="s">
        <v>179</v>
      </c>
      <c r="D406" s="11" t="s">
        <v>180</v>
      </c>
      <c r="E406" s="9" t="str">
        <f>+HYPERLINK("http://trademark.i-assist.jp/data/china/image_1908th/79636053.pdf", "79636053")</f>
        <v>79636053</v>
      </c>
      <c r="F406" s="11" t="s">
        <v>1342</v>
      </c>
      <c r="G406" s="11" t="s">
        <v>1343</v>
      </c>
      <c r="H406" s="11" t="s">
        <v>1344</v>
      </c>
      <c r="I406" s="11" t="s">
        <v>73</v>
      </c>
    </row>
    <row r="407" spans="1:9" x14ac:dyDescent="0.15">
      <c r="A407" s="10">
        <v>406</v>
      </c>
      <c r="B407" s="11" t="s">
        <v>9</v>
      </c>
      <c r="C407" s="11" t="s">
        <v>179</v>
      </c>
      <c r="D407" s="11" t="s">
        <v>180</v>
      </c>
      <c r="E407" s="9" t="str">
        <f>+HYPERLINK("http://trademark.i-assist.jp/data/china/image_1908th/79636205.pdf", "79636205")</f>
        <v>79636205</v>
      </c>
      <c r="F407" s="11" t="s">
        <v>1345</v>
      </c>
      <c r="G407" s="11" t="s">
        <v>1346</v>
      </c>
      <c r="H407" s="11" t="s">
        <v>1347</v>
      </c>
      <c r="I407" s="11" t="s">
        <v>73</v>
      </c>
    </row>
    <row r="408" spans="1:9" x14ac:dyDescent="0.15">
      <c r="A408" s="10">
        <v>407</v>
      </c>
      <c r="B408" s="11" t="s">
        <v>9</v>
      </c>
      <c r="C408" s="11" t="s">
        <v>179</v>
      </c>
      <c r="D408" s="11" t="s">
        <v>180</v>
      </c>
      <c r="E408" s="9" t="str">
        <f>+HYPERLINK("http://trademark.i-assist.jp/data/china/image_1908th/79636746.pdf", "79636746")</f>
        <v>79636746</v>
      </c>
      <c r="F408" s="11" t="s">
        <v>1348</v>
      </c>
      <c r="G408" s="11" t="s">
        <v>1349</v>
      </c>
      <c r="H408" s="11" t="s">
        <v>1350</v>
      </c>
      <c r="I408" s="11" t="s">
        <v>73</v>
      </c>
    </row>
    <row r="409" spans="1:9" x14ac:dyDescent="0.15">
      <c r="A409" s="10">
        <v>408</v>
      </c>
      <c r="B409" s="11" t="s">
        <v>9</v>
      </c>
      <c r="C409" s="11" t="s">
        <v>179</v>
      </c>
      <c r="D409" s="11" t="s">
        <v>180</v>
      </c>
      <c r="E409" s="9" t="str">
        <f>+HYPERLINK("http://trademark.i-assist.jp/data/china/image_1908th/79636890.pdf", "79636890")</f>
        <v>79636890</v>
      </c>
      <c r="F409" s="11" t="s">
        <v>1351</v>
      </c>
      <c r="G409" s="11" t="s">
        <v>1352</v>
      </c>
      <c r="H409" s="11" t="s">
        <v>1353</v>
      </c>
      <c r="I409" s="11" t="s">
        <v>73</v>
      </c>
    </row>
    <row r="410" spans="1:9" x14ac:dyDescent="0.15">
      <c r="A410" s="10">
        <v>409</v>
      </c>
      <c r="B410" s="11" t="s">
        <v>9</v>
      </c>
      <c r="C410" s="11" t="s">
        <v>179</v>
      </c>
      <c r="D410" s="11" t="s">
        <v>180</v>
      </c>
      <c r="E410" s="9" t="str">
        <f>+HYPERLINK("http://trademark.i-assist.jp/data/china/image_1908th/79637459.pdf", "79637459")</f>
        <v>79637459</v>
      </c>
      <c r="F410" s="11" t="s">
        <v>1354</v>
      </c>
      <c r="G410" s="11" t="s">
        <v>1332</v>
      </c>
      <c r="H410" s="11" t="s">
        <v>1355</v>
      </c>
      <c r="I410" s="11" t="s">
        <v>73</v>
      </c>
    </row>
    <row r="411" spans="1:9" x14ac:dyDescent="0.15">
      <c r="A411" s="10">
        <v>410</v>
      </c>
      <c r="B411" s="11" t="s">
        <v>9</v>
      </c>
      <c r="C411" s="11" t="s">
        <v>179</v>
      </c>
      <c r="D411" s="11" t="s">
        <v>180</v>
      </c>
      <c r="E411" s="9" t="str">
        <f>+HYPERLINK("http://trademark.i-assist.jp/data/china/image_1908th/79639276.pdf", "79639276")</f>
        <v>79639276</v>
      </c>
      <c r="F411" s="11" t="s">
        <v>10</v>
      </c>
      <c r="G411" s="11" t="s">
        <v>1356</v>
      </c>
      <c r="H411" s="11" t="s">
        <v>1357</v>
      </c>
      <c r="I411" s="11" t="s">
        <v>73</v>
      </c>
    </row>
    <row r="412" spans="1:9" x14ac:dyDescent="0.15">
      <c r="A412" s="10">
        <v>411</v>
      </c>
      <c r="B412" s="11" t="s">
        <v>9</v>
      </c>
      <c r="C412" s="11" t="s">
        <v>179</v>
      </c>
      <c r="D412" s="11" t="s">
        <v>180</v>
      </c>
      <c r="E412" s="9" t="str">
        <f>+HYPERLINK("http://trademark.i-assist.jp/data/china/image_1908th/79639933.pdf", "79639933")</f>
        <v>79639933</v>
      </c>
      <c r="F412" s="11" t="s">
        <v>1358</v>
      </c>
      <c r="G412" s="11" t="s">
        <v>1359</v>
      </c>
      <c r="H412" s="11" t="s">
        <v>1360</v>
      </c>
      <c r="I412" s="11" t="s">
        <v>73</v>
      </c>
    </row>
    <row r="413" spans="1:9" x14ac:dyDescent="0.15">
      <c r="A413" s="10">
        <v>412</v>
      </c>
      <c r="B413" s="11" t="s">
        <v>9</v>
      </c>
      <c r="C413" s="11" t="s">
        <v>179</v>
      </c>
      <c r="D413" s="11" t="s">
        <v>180</v>
      </c>
      <c r="E413" s="9" t="str">
        <f>+HYPERLINK("http://trademark.i-assist.jp/data/china/image_1908th/79640861.pdf", "79640861")</f>
        <v>79640861</v>
      </c>
      <c r="F413" s="11" t="s">
        <v>1361</v>
      </c>
      <c r="G413" s="11" t="s">
        <v>1362</v>
      </c>
      <c r="H413" s="11" t="s">
        <v>1363</v>
      </c>
      <c r="I413" s="11" t="s">
        <v>73</v>
      </c>
    </row>
    <row r="414" spans="1:9" x14ac:dyDescent="0.15">
      <c r="A414" s="10">
        <v>413</v>
      </c>
      <c r="B414" s="11" t="s">
        <v>9</v>
      </c>
      <c r="C414" s="11" t="s">
        <v>179</v>
      </c>
      <c r="D414" s="11" t="s">
        <v>180</v>
      </c>
      <c r="E414" s="9" t="str">
        <f>+HYPERLINK("http://trademark.i-assist.jp/data/china/image_1908th/79643276.pdf", "79643276")</f>
        <v>79643276</v>
      </c>
      <c r="F414" s="11" t="s">
        <v>1364</v>
      </c>
      <c r="G414" s="11" t="s">
        <v>1365</v>
      </c>
      <c r="H414" s="11" t="s">
        <v>1366</v>
      </c>
      <c r="I414" s="11" t="s">
        <v>73</v>
      </c>
    </row>
    <row r="415" spans="1:9" x14ac:dyDescent="0.15">
      <c r="A415" s="10">
        <v>414</v>
      </c>
      <c r="B415" s="11" t="s">
        <v>9</v>
      </c>
      <c r="C415" s="11" t="s">
        <v>179</v>
      </c>
      <c r="D415" s="11" t="s">
        <v>180</v>
      </c>
      <c r="E415" s="9" t="str">
        <f>+HYPERLINK("http://trademark.i-assist.jp/data/china/image_1908th/79644279.pdf", "79644279")</f>
        <v>79644279</v>
      </c>
      <c r="F415" s="11" t="s">
        <v>1367</v>
      </c>
      <c r="G415" s="11" t="s">
        <v>1368</v>
      </c>
      <c r="H415" s="11" t="s">
        <v>1369</v>
      </c>
      <c r="I415" s="11" t="s">
        <v>73</v>
      </c>
    </row>
    <row r="416" spans="1:9" x14ac:dyDescent="0.15">
      <c r="A416" s="10">
        <v>415</v>
      </c>
      <c r="B416" s="11" t="s">
        <v>9</v>
      </c>
      <c r="C416" s="11" t="s">
        <v>179</v>
      </c>
      <c r="D416" s="11" t="s">
        <v>180</v>
      </c>
      <c r="E416" s="9" t="str">
        <f>+HYPERLINK("http://trademark.i-assist.jp/data/china/image_1908th/79644521.pdf", "79644521")</f>
        <v>79644521</v>
      </c>
      <c r="F416" s="11" t="s">
        <v>1370</v>
      </c>
      <c r="G416" s="11" t="s">
        <v>1332</v>
      </c>
      <c r="H416" s="11" t="s">
        <v>1371</v>
      </c>
      <c r="I416" s="11" t="s">
        <v>73</v>
      </c>
    </row>
    <row r="417" spans="1:9" x14ac:dyDescent="0.15">
      <c r="A417" s="10">
        <v>416</v>
      </c>
      <c r="B417" s="11" t="s">
        <v>9</v>
      </c>
      <c r="C417" s="11" t="s">
        <v>179</v>
      </c>
      <c r="D417" s="11" t="s">
        <v>180</v>
      </c>
      <c r="E417" s="9" t="str">
        <f>+HYPERLINK("http://trademark.i-assist.jp/data/china/image_1908th/79645841.pdf", "79645841")</f>
        <v>79645841</v>
      </c>
      <c r="F417" s="11" t="s">
        <v>1372</v>
      </c>
      <c r="G417" s="11" t="s">
        <v>1373</v>
      </c>
      <c r="H417" s="11" t="s">
        <v>1374</v>
      </c>
      <c r="I417" s="11" t="s">
        <v>73</v>
      </c>
    </row>
    <row r="418" spans="1:9" x14ac:dyDescent="0.15">
      <c r="A418" s="10">
        <v>417</v>
      </c>
      <c r="B418" s="11" t="s">
        <v>9</v>
      </c>
      <c r="C418" s="11" t="s">
        <v>179</v>
      </c>
      <c r="D418" s="11" t="s">
        <v>180</v>
      </c>
      <c r="E418" s="9" t="str">
        <f>+HYPERLINK("http://trademark.i-assist.jp/data/china/image_1908th/79646374.pdf", "79646374")</f>
        <v>79646374</v>
      </c>
      <c r="F418" s="11" t="s">
        <v>1375</v>
      </c>
      <c r="G418" s="11" t="s">
        <v>1335</v>
      </c>
      <c r="H418" s="11" t="s">
        <v>1376</v>
      </c>
      <c r="I418" s="11" t="s">
        <v>73</v>
      </c>
    </row>
    <row r="419" spans="1:9" x14ac:dyDescent="0.15">
      <c r="A419" s="10">
        <v>418</v>
      </c>
      <c r="B419" s="11" t="s">
        <v>9</v>
      </c>
      <c r="C419" s="11" t="s">
        <v>179</v>
      </c>
      <c r="D419" s="11" t="s">
        <v>180</v>
      </c>
      <c r="E419" s="9" t="str">
        <f>+HYPERLINK("http://trademark.i-assist.jp/data/china/image_1908th/79646383.pdf", "79646383")</f>
        <v>79646383</v>
      </c>
      <c r="F419" s="11" t="s">
        <v>1377</v>
      </c>
      <c r="G419" s="11" t="s">
        <v>1335</v>
      </c>
      <c r="H419" s="11" t="s">
        <v>1378</v>
      </c>
      <c r="I419" s="11" t="s">
        <v>73</v>
      </c>
    </row>
    <row r="420" spans="1:9" x14ac:dyDescent="0.15">
      <c r="A420" s="10">
        <v>419</v>
      </c>
      <c r="B420" s="11" t="s">
        <v>9</v>
      </c>
      <c r="C420" s="11" t="s">
        <v>179</v>
      </c>
      <c r="D420" s="11" t="s">
        <v>180</v>
      </c>
      <c r="E420" s="9" t="str">
        <f>+HYPERLINK("http://trademark.i-assist.jp/data/china/image_1908th/79647981.pdf", "79647981")</f>
        <v>79647981</v>
      </c>
      <c r="F420" s="11" t="s">
        <v>1379</v>
      </c>
      <c r="G420" s="11" t="s">
        <v>1380</v>
      </c>
      <c r="H420" s="11" t="s">
        <v>1381</v>
      </c>
      <c r="I420" s="11" t="s">
        <v>74</v>
      </c>
    </row>
    <row r="421" spans="1:9" x14ac:dyDescent="0.15">
      <c r="A421" s="10">
        <v>420</v>
      </c>
      <c r="B421" s="11" t="s">
        <v>9</v>
      </c>
      <c r="C421" s="11" t="s">
        <v>179</v>
      </c>
      <c r="D421" s="11" t="s">
        <v>180</v>
      </c>
      <c r="E421" s="9" t="str">
        <f>+HYPERLINK("http://trademark.i-assist.jp/data/china/image_1908th/79648181.pdf", "79648181")</f>
        <v>79648181</v>
      </c>
      <c r="F421" s="11" t="s">
        <v>1382</v>
      </c>
      <c r="G421" s="11" t="s">
        <v>1383</v>
      </c>
      <c r="H421" s="11" t="s">
        <v>1384</v>
      </c>
      <c r="I421" s="11" t="s">
        <v>74</v>
      </c>
    </row>
    <row r="422" spans="1:9" x14ac:dyDescent="0.15">
      <c r="A422" s="10">
        <v>421</v>
      </c>
      <c r="B422" s="11" t="s">
        <v>9</v>
      </c>
      <c r="C422" s="11" t="s">
        <v>179</v>
      </c>
      <c r="D422" s="11" t="s">
        <v>180</v>
      </c>
      <c r="E422" s="9" t="str">
        <f>+HYPERLINK("http://trademark.i-assist.jp/data/china/image_1908th/79648223.pdf", "79648223")</f>
        <v>79648223</v>
      </c>
      <c r="F422" s="11" t="s">
        <v>1385</v>
      </c>
      <c r="G422" s="11" t="s">
        <v>1386</v>
      </c>
      <c r="H422" s="11" t="s">
        <v>1387</v>
      </c>
      <c r="I422" s="11" t="s">
        <v>74</v>
      </c>
    </row>
    <row r="423" spans="1:9" x14ac:dyDescent="0.15">
      <c r="A423" s="10">
        <v>422</v>
      </c>
      <c r="B423" s="11" t="s">
        <v>9</v>
      </c>
      <c r="C423" s="11" t="s">
        <v>179</v>
      </c>
      <c r="D423" s="11" t="s">
        <v>180</v>
      </c>
      <c r="E423" s="9" t="str">
        <f>+HYPERLINK("http://trademark.i-assist.jp/data/china/image_1908th/79648924.pdf", "79648924")</f>
        <v>79648924</v>
      </c>
      <c r="F423" s="11" t="s">
        <v>1388</v>
      </c>
      <c r="G423" s="11" t="s">
        <v>1389</v>
      </c>
      <c r="H423" s="11" t="s">
        <v>1390</v>
      </c>
      <c r="I423" s="11" t="s">
        <v>74</v>
      </c>
    </row>
    <row r="424" spans="1:9" x14ac:dyDescent="0.15">
      <c r="A424" s="10">
        <v>423</v>
      </c>
      <c r="B424" s="11" t="s">
        <v>9</v>
      </c>
      <c r="C424" s="11" t="s">
        <v>179</v>
      </c>
      <c r="D424" s="11" t="s">
        <v>180</v>
      </c>
      <c r="E424" s="9" t="str">
        <f>+HYPERLINK("http://trademark.i-assist.jp/data/china/image_1908th/79649067.pdf", "79649067")</f>
        <v>79649067</v>
      </c>
      <c r="F424" s="11" t="s">
        <v>1391</v>
      </c>
      <c r="G424" s="11" t="s">
        <v>1392</v>
      </c>
      <c r="H424" s="11" t="s">
        <v>1393</v>
      </c>
      <c r="I424" s="11" t="s">
        <v>74</v>
      </c>
    </row>
    <row r="425" spans="1:9" x14ac:dyDescent="0.15">
      <c r="A425" s="10">
        <v>424</v>
      </c>
      <c r="B425" s="11" t="s">
        <v>9</v>
      </c>
      <c r="C425" s="11" t="s">
        <v>179</v>
      </c>
      <c r="D425" s="11" t="s">
        <v>180</v>
      </c>
      <c r="E425" s="9" t="str">
        <f>+HYPERLINK("http://trademark.i-assist.jp/data/china/image_1908th/79649618.pdf", "79649618")</f>
        <v>79649618</v>
      </c>
      <c r="F425" s="11" t="s">
        <v>1394</v>
      </c>
      <c r="G425" s="11" t="s">
        <v>1380</v>
      </c>
      <c r="H425" s="11" t="s">
        <v>1395</v>
      </c>
      <c r="I425" s="11" t="s">
        <v>74</v>
      </c>
    </row>
    <row r="426" spans="1:9" x14ac:dyDescent="0.15">
      <c r="A426" s="10">
        <v>425</v>
      </c>
      <c r="B426" s="11" t="s">
        <v>9</v>
      </c>
      <c r="C426" s="11" t="s">
        <v>179</v>
      </c>
      <c r="D426" s="11" t="s">
        <v>180</v>
      </c>
      <c r="E426" s="9" t="str">
        <f>+HYPERLINK("http://trademark.i-assist.jp/data/china/image_1908th/79649806.pdf", "79649806")</f>
        <v>79649806</v>
      </c>
      <c r="F426" s="11" t="s">
        <v>1396</v>
      </c>
      <c r="G426" s="11" t="s">
        <v>1397</v>
      </c>
      <c r="H426" s="11" t="s">
        <v>1398</v>
      </c>
      <c r="I426" s="11" t="s">
        <v>74</v>
      </c>
    </row>
    <row r="427" spans="1:9" x14ac:dyDescent="0.15">
      <c r="A427" s="10">
        <v>426</v>
      </c>
      <c r="B427" s="11" t="s">
        <v>9</v>
      </c>
      <c r="C427" s="11" t="s">
        <v>179</v>
      </c>
      <c r="D427" s="11" t="s">
        <v>180</v>
      </c>
      <c r="E427" s="9" t="str">
        <f>+HYPERLINK("http://trademark.i-assist.jp/data/china/image_1908th/79650574.pdf", "79650574")</f>
        <v>79650574</v>
      </c>
      <c r="F427" s="11" t="s">
        <v>1399</v>
      </c>
      <c r="G427" s="11" t="s">
        <v>71</v>
      </c>
      <c r="H427" s="11" t="s">
        <v>1400</v>
      </c>
      <c r="I427" s="11" t="s">
        <v>74</v>
      </c>
    </row>
    <row r="428" spans="1:9" x14ac:dyDescent="0.15">
      <c r="A428" s="10">
        <v>427</v>
      </c>
      <c r="B428" s="11" t="s">
        <v>9</v>
      </c>
      <c r="C428" s="11" t="s">
        <v>179</v>
      </c>
      <c r="D428" s="11" t="s">
        <v>180</v>
      </c>
      <c r="E428" s="9" t="str">
        <f>+HYPERLINK("http://trademark.i-assist.jp/data/china/image_1908th/79650918.pdf", "79650918")</f>
        <v>79650918</v>
      </c>
      <c r="F428" s="11" t="s">
        <v>1401</v>
      </c>
      <c r="G428" s="11" t="s">
        <v>1402</v>
      </c>
      <c r="H428" s="11" t="s">
        <v>1403</v>
      </c>
      <c r="I428" s="11" t="s">
        <v>74</v>
      </c>
    </row>
    <row r="429" spans="1:9" x14ac:dyDescent="0.15">
      <c r="A429" s="10">
        <v>428</v>
      </c>
      <c r="B429" s="11" t="s">
        <v>9</v>
      </c>
      <c r="C429" s="11" t="s">
        <v>179</v>
      </c>
      <c r="D429" s="11" t="s">
        <v>180</v>
      </c>
      <c r="E429" s="9" t="str">
        <f>+HYPERLINK("http://trademark.i-assist.jp/data/china/image_1908th/79651072.pdf", "79651072")</f>
        <v>79651072</v>
      </c>
      <c r="F429" s="11" t="s">
        <v>1404</v>
      </c>
      <c r="G429" s="11" t="s">
        <v>1405</v>
      </c>
      <c r="H429" s="11" t="s">
        <v>1406</v>
      </c>
      <c r="I429" s="11" t="s">
        <v>74</v>
      </c>
    </row>
    <row r="430" spans="1:9" x14ac:dyDescent="0.15">
      <c r="A430" s="10">
        <v>429</v>
      </c>
      <c r="B430" s="11" t="s">
        <v>9</v>
      </c>
      <c r="C430" s="11" t="s">
        <v>179</v>
      </c>
      <c r="D430" s="11" t="s">
        <v>180</v>
      </c>
      <c r="E430" s="9" t="str">
        <f>+HYPERLINK("http://trademark.i-assist.jp/data/china/image_1908th/79651103.pdf", "79651103")</f>
        <v>79651103</v>
      </c>
      <c r="F430" s="11" t="s">
        <v>10</v>
      </c>
      <c r="G430" s="11" t="s">
        <v>1407</v>
      </c>
      <c r="H430" s="11" t="s">
        <v>1408</v>
      </c>
      <c r="I430" s="11" t="s">
        <v>74</v>
      </c>
    </row>
    <row r="431" spans="1:9" x14ac:dyDescent="0.15">
      <c r="A431" s="10">
        <v>430</v>
      </c>
      <c r="B431" s="11" t="s">
        <v>9</v>
      </c>
      <c r="C431" s="11" t="s">
        <v>179</v>
      </c>
      <c r="D431" s="11" t="s">
        <v>180</v>
      </c>
      <c r="E431" s="9" t="str">
        <f>+HYPERLINK("http://trademark.i-assist.jp/data/china/image_1908th/79651488.pdf", "79651488")</f>
        <v>79651488</v>
      </c>
      <c r="F431" s="11" t="s">
        <v>1409</v>
      </c>
      <c r="G431" s="11" t="s">
        <v>1410</v>
      </c>
      <c r="H431" s="11" t="s">
        <v>1411</v>
      </c>
      <c r="I431" s="11" t="s">
        <v>74</v>
      </c>
    </row>
    <row r="432" spans="1:9" x14ac:dyDescent="0.15">
      <c r="A432" s="10">
        <v>431</v>
      </c>
      <c r="B432" s="11" t="s">
        <v>9</v>
      </c>
      <c r="C432" s="11" t="s">
        <v>179</v>
      </c>
      <c r="D432" s="11" t="s">
        <v>180</v>
      </c>
      <c r="E432" s="9" t="str">
        <f>+HYPERLINK("http://trademark.i-assist.jp/data/china/image_1908th/79651547.pdf", "79651547")</f>
        <v>79651547</v>
      </c>
      <c r="F432" s="11" t="s">
        <v>1412</v>
      </c>
      <c r="G432" s="11" t="s">
        <v>1413</v>
      </c>
      <c r="H432" s="11" t="s">
        <v>1414</v>
      </c>
      <c r="I432" s="11" t="s">
        <v>74</v>
      </c>
    </row>
    <row r="433" spans="1:9" x14ac:dyDescent="0.15">
      <c r="A433" s="10">
        <v>432</v>
      </c>
      <c r="B433" s="11" t="s">
        <v>9</v>
      </c>
      <c r="C433" s="11" t="s">
        <v>179</v>
      </c>
      <c r="D433" s="11" t="s">
        <v>180</v>
      </c>
      <c r="E433" s="9" t="str">
        <f>+HYPERLINK("http://trademark.i-assist.jp/data/china/image_1908th/79651734.pdf", "79651734")</f>
        <v>79651734</v>
      </c>
      <c r="F433" s="11" t="s">
        <v>1415</v>
      </c>
      <c r="G433" s="11" t="s">
        <v>1416</v>
      </c>
      <c r="H433" s="11" t="s">
        <v>1417</v>
      </c>
      <c r="I433" s="11" t="s">
        <v>74</v>
      </c>
    </row>
    <row r="434" spans="1:9" x14ac:dyDescent="0.15">
      <c r="A434" s="10">
        <v>433</v>
      </c>
      <c r="B434" s="11" t="s">
        <v>9</v>
      </c>
      <c r="C434" s="11" t="s">
        <v>179</v>
      </c>
      <c r="D434" s="11" t="s">
        <v>180</v>
      </c>
      <c r="E434" s="9" t="str">
        <f>+HYPERLINK("http://trademark.i-assist.jp/data/china/image_1908th/79652058.pdf", "79652058")</f>
        <v>79652058</v>
      </c>
      <c r="F434" s="11" t="s">
        <v>1418</v>
      </c>
      <c r="G434" s="11" t="s">
        <v>1419</v>
      </c>
      <c r="H434" s="11" t="s">
        <v>1420</v>
      </c>
      <c r="I434" s="11" t="s">
        <v>74</v>
      </c>
    </row>
    <row r="435" spans="1:9" x14ac:dyDescent="0.15">
      <c r="A435" s="10">
        <v>434</v>
      </c>
      <c r="B435" s="11" t="s">
        <v>9</v>
      </c>
      <c r="C435" s="11" t="s">
        <v>179</v>
      </c>
      <c r="D435" s="11" t="s">
        <v>180</v>
      </c>
      <c r="E435" s="9" t="str">
        <f>+HYPERLINK("http://trademark.i-assist.jp/data/china/image_1908th/79652319.pdf", "79652319")</f>
        <v>79652319</v>
      </c>
      <c r="F435" s="11" t="s">
        <v>1421</v>
      </c>
      <c r="G435" s="11" t="s">
        <v>1422</v>
      </c>
      <c r="H435" s="11" t="s">
        <v>1423</v>
      </c>
      <c r="I435" s="11" t="s">
        <v>74</v>
      </c>
    </row>
    <row r="436" spans="1:9" x14ac:dyDescent="0.15">
      <c r="A436" s="10">
        <v>435</v>
      </c>
      <c r="B436" s="11" t="s">
        <v>9</v>
      </c>
      <c r="C436" s="11" t="s">
        <v>179</v>
      </c>
      <c r="D436" s="11" t="s">
        <v>180</v>
      </c>
      <c r="E436" s="9" t="str">
        <f>+HYPERLINK("http://trademark.i-assist.jp/data/china/image_1908th/79652547.pdf", "79652547")</f>
        <v>79652547</v>
      </c>
      <c r="F436" s="11" t="s">
        <v>1424</v>
      </c>
      <c r="G436" s="11" t="s">
        <v>1425</v>
      </c>
      <c r="H436" s="11" t="s">
        <v>1426</v>
      </c>
      <c r="I436" s="11" t="s">
        <v>74</v>
      </c>
    </row>
    <row r="437" spans="1:9" x14ac:dyDescent="0.15">
      <c r="A437" s="10">
        <v>436</v>
      </c>
      <c r="B437" s="11" t="s">
        <v>9</v>
      </c>
      <c r="C437" s="11" t="s">
        <v>179</v>
      </c>
      <c r="D437" s="11" t="s">
        <v>180</v>
      </c>
      <c r="E437" s="9" t="str">
        <f>+HYPERLINK("http://trademark.i-assist.jp/data/china/image_1908th/79652802.pdf", "79652802")</f>
        <v>79652802</v>
      </c>
      <c r="F437" s="11" t="s">
        <v>1427</v>
      </c>
      <c r="G437" s="11" t="s">
        <v>1428</v>
      </c>
      <c r="H437" s="11" t="s">
        <v>1429</v>
      </c>
      <c r="I437" s="11" t="s">
        <v>75</v>
      </c>
    </row>
    <row r="438" spans="1:9" x14ac:dyDescent="0.15">
      <c r="A438" s="10">
        <v>437</v>
      </c>
      <c r="B438" s="11" t="s">
        <v>9</v>
      </c>
      <c r="C438" s="11" t="s">
        <v>179</v>
      </c>
      <c r="D438" s="11" t="s">
        <v>180</v>
      </c>
      <c r="E438" s="9" t="str">
        <f>+HYPERLINK("http://trademark.i-assist.jp/data/china/image_1908th/79653572.pdf", "79653572")</f>
        <v>79653572</v>
      </c>
      <c r="F438" s="11" t="s">
        <v>1430</v>
      </c>
      <c r="G438" s="11" t="s">
        <v>1431</v>
      </c>
      <c r="H438" s="11" t="s">
        <v>1432</v>
      </c>
      <c r="I438" s="11" t="s">
        <v>75</v>
      </c>
    </row>
    <row r="439" spans="1:9" x14ac:dyDescent="0.15">
      <c r="A439" s="10">
        <v>438</v>
      </c>
      <c r="B439" s="11" t="s">
        <v>9</v>
      </c>
      <c r="C439" s="11" t="s">
        <v>179</v>
      </c>
      <c r="D439" s="11" t="s">
        <v>180</v>
      </c>
      <c r="E439" s="9" t="str">
        <f>+HYPERLINK("http://trademark.i-assist.jp/data/china/image_1908th/79653591.pdf", "79653591")</f>
        <v>79653591</v>
      </c>
      <c r="F439" s="11" t="s">
        <v>1433</v>
      </c>
      <c r="G439" s="11" t="s">
        <v>1434</v>
      </c>
      <c r="H439" s="11" t="s">
        <v>1435</v>
      </c>
      <c r="I439" s="11" t="s">
        <v>75</v>
      </c>
    </row>
    <row r="440" spans="1:9" x14ac:dyDescent="0.15">
      <c r="A440" s="10">
        <v>439</v>
      </c>
      <c r="B440" s="11" t="s">
        <v>9</v>
      </c>
      <c r="C440" s="11" t="s">
        <v>179</v>
      </c>
      <c r="D440" s="11" t="s">
        <v>180</v>
      </c>
      <c r="E440" s="9" t="str">
        <f>+HYPERLINK("http://trademark.i-assist.jp/data/china/image_1908th/79653871.pdf", "79653871")</f>
        <v>79653871</v>
      </c>
      <c r="F440" s="11" t="s">
        <v>1436</v>
      </c>
      <c r="G440" s="11" t="s">
        <v>1437</v>
      </c>
      <c r="H440" s="11" t="s">
        <v>1438</v>
      </c>
      <c r="I440" s="11" t="s">
        <v>75</v>
      </c>
    </row>
    <row r="441" spans="1:9" x14ac:dyDescent="0.15">
      <c r="A441" s="10">
        <v>440</v>
      </c>
      <c r="B441" s="11" t="s">
        <v>9</v>
      </c>
      <c r="C441" s="11" t="s">
        <v>179</v>
      </c>
      <c r="D441" s="11" t="s">
        <v>180</v>
      </c>
      <c r="E441" s="9" t="str">
        <f>+HYPERLINK("http://trademark.i-assist.jp/data/china/image_1908th/79654777.pdf", "79654777")</f>
        <v>79654777</v>
      </c>
      <c r="F441" s="11" t="s">
        <v>1439</v>
      </c>
      <c r="G441" s="11" t="s">
        <v>1440</v>
      </c>
      <c r="H441" s="11" t="s">
        <v>1441</v>
      </c>
      <c r="I441" s="11" t="s">
        <v>75</v>
      </c>
    </row>
    <row r="442" spans="1:9" x14ac:dyDescent="0.15">
      <c r="A442" s="10">
        <v>441</v>
      </c>
      <c r="B442" s="11" t="s">
        <v>9</v>
      </c>
      <c r="C442" s="11" t="s">
        <v>179</v>
      </c>
      <c r="D442" s="11" t="s">
        <v>180</v>
      </c>
      <c r="E442" s="9" t="str">
        <f>+HYPERLINK("http://trademark.i-assist.jp/data/china/image_1908th/79654828.pdf", "79654828")</f>
        <v>79654828</v>
      </c>
      <c r="F442" s="11" t="s">
        <v>1442</v>
      </c>
      <c r="G442" s="11" t="s">
        <v>1443</v>
      </c>
      <c r="H442" s="11" t="s">
        <v>1444</v>
      </c>
      <c r="I442" s="11" t="s">
        <v>75</v>
      </c>
    </row>
    <row r="443" spans="1:9" x14ac:dyDescent="0.15">
      <c r="A443" s="10">
        <v>442</v>
      </c>
      <c r="B443" s="11" t="s">
        <v>9</v>
      </c>
      <c r="C443" s="11" t="s">
        <v>179</v>
      </c>
      <c r="D443" s="11" t="s">
        <v>180</v>
      </c>
      <c r="E443" s="9" t="str">
        <f>+HYPERLINK("http://trademark.i-assist.jp/data/china/image_1908th/79655744.pdf", "79655744")</f>
        <v>79655744</v>
      </c>
      <c r="F443" s="11" t="s">
        <v>10</v>
      </c>
      <c r="G443" s="11" t="s">
        <v>1445</v>
      </c>
      <c r="H443" s="11" t="s">
        <v>1446</v>
      </c>
      <c r="I443" s="11" t="s">
        <v>75</v>
      </c>
    </row>
    <row r="444" spans="1:9" x14ac:dyDescent="0.15">
      <c r="A444" s="10">
        <v>443</v>
      </c>
      <c r="B444" s="11" t="s">
        <v>9</v>
      </c>
      <c r="C444" s="11" t="s">
        <v>179</v>
      </c>
      <c r="D444" s="11" t="s">
        <v>180</v>
      </c>
      <c r="E444" s="9" t="str">
        <f>+HYPERLINK("http://trademark.i-assist.jp/data/china/image_1908th/79655778.pdf", "79655778")</f>
        <v>79655778</v>
      </c>
      <c r="F444" s="11" t="s">
        <v>1447</v>
      </c>
      <c r="G444" s="11" t="s">
        <v>1448</v>
      </c>
      <c r="H444" s="11" t="s">
        <v>1449</v>
      </c>
      <c r="I444" s="11" t="s">
        <v>75</v>
      </c>
    </row>
    <row r="445" spans="1:9" x14ac:dyDescent="0.15">
      <c r="A445" s="10">
        <v>444</v>
      </c>
      <c r="B445" s="11" t="s">
        <v>9</v>
      </c>
      <c r="C445" s="11" t="s">
        <v>179</v>
      </c>
      <c r="D445" s="11" t="s">
        <v>180</v>
      </c>
      <c r="E445" s="9" t="str">
        <f>+HYPERLINK("http://trademark.i-assist.jp/data/china/image_1908th/79656400.pdf", "79656400")</f>
        <v>79656400</v>
      </c>
      <c r="F445" s="11" t="s">
        <v>10</v>
      </c>
      <c r="G445" s="11" t="s">
        <v>1450</v>
      </c>
      <c r="H445" s="11" t="s">
        <v>1451</v>
      </c>
      <c r="I445" s="11" t="s">
        <v>76</v>
      </c>
    </row>
    <row r="446" spans="1:9" x14ac:dyDescent="0.15">
      <c r="A446" s="10">
        <v>445</v>
      </c>
      <c r="B446" s="11" t="s">
        <v>9</v>
      </c>
      <c r="C446" s="11" t="s">
        <v>179</v>
      </c>
      <c r="D446" s="11" t="s">
        <v>180</v>
      </c>
      <c r="E446" s="9" t="str">
        <f>+HYPERLINK("http://trademark.i-assist.jp/data/china/image_1908th/79658858.pdf", "79658858")</f>
        <v>79658858</v>
      </c>
      <c r="F446" s="11" t="s">
        <v>1452</v>
      </c>
      <c r="G446" s="11" t="s">
        <v>1453</v>
      </c>
      <c r="H446" s="11" t="s">
        <v>1454</v>
      </c>
      <c r="I446" s="11" t="s">
        <v>76</v>
      </c>
    </row>
    <row r="447" spans="1:9" x14ac:dyDescent="0.15">
      <c r="A447" s="10">
        <v>446</v>
      </c>
      <c r="B447" s="11" t="s">
        <v>9</v>
      </c>
      <c r="C447" s="11" t="s">
        <v>179</v>
      </c>
      <c r="D447" s="11" t="s">
        <v>180</v>
      </c>
      <c r="E447" s="9" t="str">
        <f>+HYPERLINK("http://trademark.i-assist.jp/data/china/image_1908th/79659566.pdf", "79659566")</f>
        <v>79659566</v>
      </c>
      <c r="F447" s="11" t="s">
        <v>1455</v>
      </c>
      <c r="G447" s="11" t="s">
        <v>1456</v>
      </c>
      <c r="H447" s="11" t="s">
        <v>1457</v>
      </c>
      <c r="I447" s="11" t="s">
        <v>76</v>
      </c>
    </row>
    <row r="448" spans="1:9" x14ac:dyDescent="0.15">
      <c r="A448" s="10">
        <v>447</v>
      </c>
      <c r="B448" s="11" t="s">
        <v>9</v>
      </c>
      <c r="C448" s="11" t="s">
        <v>179</v>
      </c>
      <c r="D448" s="11" t="s">
        <v>180</v>
      </c>
      <c r="E448" s="9" t="str">
        <f>+HYPERLINK("http://trademark.i-assist.jp/data/china/image_1908th/79659792.pdf", "79659792")</f>
        <v>79659792</v>
      </c>
      <c r="F448" s="11" t="s">
        <v>1458</v>
      </c>
      <c r="G448" s="11" t="s">
        <v>1459</v>
      </c>
      <c r="H448" s="11" t="s">
        <v>1460</v>
      </c>
      <c r="I448" s="11" t="s">
        <v>76</v>
      </c>
    </row>
    <row r="449" spans="1:9" x14ac:dyDescent="0.15">
      <c r="A449" s="10">
        <v>448</v>
      </c>
      <c r="B449" s="11" t="s">
        <v>9</v>
      </c>
      <c r="C449" s="11" t="s">
        <v>179</v>
      </c>
      <c r="D449" s="11" t="s">
        <v>180</v>
      </c>
      <c r="E449" s="9" t="str">
        <f>+HYPERLINK("http://trademark.i-assist.jp/data/china/image_1908th/79659996.pdf", "79659996")</f>
        <v>79659996</v>
      </c>
      <c r="F449" s="11" t="s">
        <v>1461</v>
      </c>
      <c r="G449" s="11" t="s">
        <v>1462</v>
      </c>
      <c r="H449" s="11" t="s">
        <v>1463</v>
      </c>
      <c r="I449" s="11" t="s">
        <v>76</v>
      </c>
    </row>
    <row r="450" spans="1:9" x14ac:dyDescent="0.15">
      <c r="A450" s="10">
        <v>449</v>
      </c>
      <c r="B450" s="11" t="s">
        <v>9</v>
      </c>
      <c r="C450" s="11" t="s">
        <v>179</v>
      </c>
      <c r="D450" s="11" t="s">
        <v>180</v>
      </c>
      <c r="E450" s="9" t="str">
        <f>+HYPERLINK("http://trademark.i-assist.jp/data/china/image_1908th/79660311.pdf", "79660311")</f>
        <v>79660311</v>
      </c>
      <c r="F450" s="11" t="s">
        <v>1464</v>
      </c>
      <c r="G450" s="11" t="s">
        <v>1465</v>
      </c>
      <c r="H450" s="11" t="s">
        <v>1466</v>
      </c>
      <c r="I450" s="11" t="s">
        <v>76</v>
      </c>
    </row>
    <row r="451" spans="1:9" x14ac:dyDescent="0.15">
      <c r="A451" s="10">
        <v>450</v>
      </c>
      <c r="B451" s="11" t="s">
        <v>9</v>
      </c>
      <c r="C451" s="11" t="s">
        <v>179</v>
      </c>
      <c r="D451" s="11" t="s">
        <v>180</v>
      </c>
      <c r="E451" s="9" t="str">
        <f>+HYPERLINK("http://trademark.i-assist.jp/data/china/image_1908th/79660472.pdf", "79660472")</f>
        <v>79660472</v>
      </c>
      <c r="F451" s="11" t="s">
        <v>1467</v>
      </c>
      <c r="G451" s="11" t="s">
        <v>1468</v>
      </c>
      <c r="H451" s="11" t="s">
        <v>1469</v>
      </c>
      <c r="I451" s="11" t="s">
        <v>76</v>
      </c>
    </row>
    <row r="452" spans="1:9" x14ac:dyDescent="0.15">
      <c r="A452" s="10">
        <v>451</v>
      </c>
      <c r="B452" s="11" t="s">
        <v>9</v>
      </c>
      <c r="C452" s="11" t="s">
        <v>179</v>
      </c>
      <c r="D452" s="11" t="s">
        <v>180</v>
      </c>
      <c r="E452" s="9" t="str">
        <f>+HYPERLINK("http://trademark.i-assist.jp/data/china/image_1908th/79661344.pdf", "79661344")</f>
        <v>79661344</v>
      </c>
      <c r="F452" s="11" t="s">
        <v>1470</v>
      </c>
      <c r="G452" s="11" t="s">
        <v>1471</v>
      </c>
      <c r="H452" s="11" t="s">
        <v>1472</v>
      </c>
      <c r="I452" s="11" t="s">
        <v>76</v>
      </c>
    </row>
    <row r="453" spans="1:9" x14ac:dyDescent="0.15">
      <c r="A453" s="10">
        <v>452</v>
      </c>
      <c r="B453" s="11" t="s">
        <v>9</v>
      </c>
      <c r="C453" s="11" t="s">
        <v>179</v>
      </c>
      <c r="D453" s="11" t="s">
        <v>180</v>
      </c>
      <c r="E453" s="9" t="str">
        <f>+HYPERLINK("http://trademark.i-assist.jp/data/china/image_1908th/79661621.pdf", "79661621")</f>
        <v>79661621</v>
      </c>
      <c r="F453" s="11" t="s">
        <v>1473</v>
      </c>
      <c r="G453" s="11" t="s">
        <v>1474</v>
      </c>
      <c r="H453" s="11" t="s">
        <v>1475</v>
      </c>
      <c r="I453" s="11" t="s">
        <v>76</v>
      </c>
    </row>
    <row r="454" spans="1:9" x14ac:dyDescent="0.15">
      <c r="A454" s="10">
        <v>453</v>
      </c>
      <c r="B454" s="11" t="s">
        <v>9</v>
      </c>
      <c r="C454" s="11" t="s">
        <v>179</v>
      </c>
      <c r="D454" s="11" t="s">
        <v>180</v>
      </c>
      <c r="E454" s="9" t="str">
        <f>+HYPERLINK("http://trademark.i-assist.jp/data/china/image_1908th/79661746.pdf", "79661746")</f>
        <v>79661746</v>
      </c>
      <c r="F454" s="11" t="s">
        <v>1476</v>
      </c>
      <c r="G454" s="11" t="s">
        <v>1477</v>
      </c>
      <c r="H454" s="11" t="s">
        <v>1478</v>
      </c>
      <c r="I454" s="11" t="s">
        <v>76</v>
      </c>
    </row>
    <row r="455" spans="1:9" x14ac:dyDescent="0.15">
      <c r="A455" s="10">
        <v>454</v>
      </c>
      <c r="B455" s="11" t="s">
        <v>9</v>
      </c>
      <c r="C455" s="11" t="s">
        <v>179</v>
      </c>
      <c r="D455" s="11" t="s">
        <v>180</v>
      </c>
      <c r="E455" s="9" t="str">
        <f>+HYPERLINK("http://trademark.i-assist.jp/data/china/image_1908th/79662882.pdf", "79662882")</f>
        <v>79662882</v>
      </c>
      <c r="F455" s="11" t="s">
        <v>1479</v>
      </c>
      <c r="G455" s="11" t="s">
        <v>1480</v>
      </c>
      <c r="H455" s="11" t="s">
        <v>1481</v>
      </c>
      <c r="I455" s="11" t="s">
        <v>76</v>
      </c>
    </row>
    <row r="456" spans="1:9" x14ac:dyDescent="0.15">
      <c r="A456" s="10">
        <v>455</v>
      </c>
      <c r="B456" s="11" t="s">
        <v>9</v>
      </c>
      <c r="C456" s="11" t="s">
        <v>179</v>
      </c>
      <c r="D456" s="11" t="s">
        <v>180</v>
      </c>
      <c r="E456" s="9" t="str">
        <f>+HYPERLINK("http://trademark.i-assist.jp/data/china/image_1908th/79665783.pdf", "79665783")</f>
        <v>79665783</v>
      </c>
      <c r="F456" s="11" t="s">
        <v>1482</v>
      </c>
      <c r="G456" s="11" t="s">
        <v>1483</v>
      </c>
      <c r="H456" s="11" t="s">
        <v>1484</v>
      </c>
      <c r="I456" s="11" t="s">
        <v>76</v>
      </c>
    </row>
    <row r="457" spans="1:9" x14ac:dyDescent="0.15">
      <c r="A457" s="10">
        <v>456</v>
      </c>
      <c r="B457" s="11" t="s">
        <v>9</v>
      </c>
      <c r="C457" s="11" t="s">
        <v>179</v>
      </c>
      <c r="D457" s="11" t="s">
        <v>180</v>
      </c>
      <c r="E457" s="9" t="str">
        <f>+HYPERLINK("http://trademark.i-assist.jp/data/china/image_1908th/79667137.pdf", "79667137")</f>
        <v>79667137</v>
      </c>
      <c r="F457" s="11" t="s">
        <v>1485</v>
      </c>
      <c r="G457" s="11" t="s">
        <v>1486</v>
      </c>
      <c r="H457" s="11" t="s">
        <v>1487</v>
      </c>
      <c r="I457" s="11" t="s">
        <v>76</v>
      </c>
    </row>
    <row r="458" spans="1:9" x14ac:dyDescent="0.15">
      <c r="A458" s="10">
        <v>457</v>
      </c>
      <c r="B458" s="11" t="s">
        <v>9</v>
      </c>
      <c r="C458" s="11" t="s">
        <v>179</v>
      </c>
      <c r="D458" s="11" t="s">
        <v>180</v>
      </c>
      <c r="E458" s="9" t="str">
        <f>+HYPERLINK("http://trademark.i-assist.jp/data/china/image_1908th/79667647.pdf", "79667647")</f>
        <v>79667647</v>
      </c>
      <c r="F458" s="11" t="s">
        <v>1488</v>
      </c>
      <c r="G458" s="11" t="s">
        <v>1489</v>
      </c>
      <c r="H458" s="11" t="s">
        <v>1490</v>
      </c>
      <c r="I458" s="11" t="s">
        <v>76</v>
      </c>
    </row>
    <row r="459" spans="1:9" x14ac:dyDescent="0.15">
      <c r="A459" s="10">
        <v>458</v>
      </c>
      <c r="B459" s="11" t="s">
        <v>9</v>
      </c>
      <c r="C459" s="11" t="s">
        <v>179</v>
      </c>
      <c r="D459" s="11" t="s">
        <v>180</v>
      </c>
      <c r="E459" s="9" t="str">
        <f>+HYPERLINK("http://trademark.i-assist.jp/data/china/image_1908th/79668023.pdf", "79668023")</f>
        <v>79668023</v>
      </c>
      <c r="F459" s="11" t="s">
        <v>1491</v>
      </c>
      <c r="G459" s="11" t="s">
        <v>1492</v>
      </c>
      <c r="H459" s="11" t="s">
        <v>1493</v>
      </c>
      <c r="I459" s="11" t="s">
        <v>76</v>
      </c>
    </row>
    <row r="460" spans="1:9" x14ac:dyDescent="0.15">
      <c r="A460" s="10">
        <v>459</v>
      </c>
      <c r="B460" s="11" t="s">
        <v>9</v>
      </c>
      <c r="C460" s="11" t="s">
        <v>179</v>
      </c>
      <c r="D460" s="11" t="s">
        <v>180</v>
      </c>
      <c r="E460" s="9" t="str">
        <f>+HYPERLINK("http://trademark.i-assist.jp/data/china/image_1908th/79668987.pdf", "79668987")</f>
        <v>79668987</v>
      </c>
      <c r="F460" s="11" t="s">
        <v>1494</v>
      </c>
      <c r="G460" s="11" t="s">
        <v>1495</v>
      </c>
      <c r="H460" s="11" t="s">
        <v>1496</v>
      </c>
      <c r="I460" s="11" t="s">
        <v>76</v>
      </c>
    </row>
    <row r="461" spans="1:9" x14ac:dyDescent="0.15">
      <c r="A461" s="10">
        <v>460</v>
      </c>
      <c r="B461" s="11" t="s">
        <v>9</v>
      </c>
      <c r="C461" s="11" t="s">
        <v>179</v>
      </c>
      <c r="D461" s="11" t="s">
        <v>180</v>
      </c>
      <c r="E461" s="9" t="str">
        <f>+HYPERLINK("http://trademark.i-assist.jp/data/china/image_1908th/79670385.pdf", "79670385")</f>
        <v>79670385</v>
      </c>
      <c r="F461" s="11" t="s">
        <v>1497</v>
      </c>
      <c r="G461" s="11" t="s">
        <v>1480</v>
      </c>
      <c r="H461" s="11" t="s">
        <v>1498</v>
      </c>
      <c r="I461" s="11" t="s">
        <v>76</v>
      </c>
    </row>
    <row r="462" spans="1:9" x14ac:dyDescent="0.15">
      <c r="A462" s="10">
        <v>461</v>
      </c>
      <c r="B462" s="11" t="s">
        <v>9</v>
      </c>
      <c r="C462" s="11" t="s">
        <v>179</v>
      </c>
      <c r="D462" s="11" t="s">
        <v>180</v>
      </c>
      <c r="E462" s="9" t="str">
        <f>+HYPERLINK("http://trademark.i-assist.jp/data/china/image_1908th/79672749.pdf", "79672749")</f>
        <v>79672749</v>
      </c>
      <c r="F462" s="11" t="s">
        <v>1499</v>
      </c>
      <c r="G462" s="11" t="s">
        <v>119</v>
      </c>
      <c r="H462" s="11" t="s">
        <v>1500</v>
      </c>
      <c r="I462" s="11" t="s">
        <v>76</v>
      </c>
    </row>
    <row r="463" spans="1:9" x14ac:dyDescent="0.15">
      <c r="A463" s="10">
        <v>462</v>
      </c>
      <c r="B463" s="11" t="s">
        <v>9</v>
      </c>
      <c r="C463" s="11" t="s">
        <v>179</v>
      </c>
      <c r="D463" s="11" t="s">
        <v>180</v>
      </c>
      <c r="E463" s="9" t="str">
        <f>+HYPERLINK("http://trademark.i-assist.jp/data/china/image_1908th/79673568.pdf", "79673568")</f>
        <v>79673568</v>
      </c>
      <c r="F463" s="11" t="s">
        <v>1501</v>
      </c>
      <c r="G463" s="11" t="s">
        <v>1502</v>
      </c>
      <c r="H463" s="11" t="s">
        <v>1503</v>
      </c>
      <c r="I463" s="11" t="s">
        <v>76</v>
      </c>
    </row>
    <row r="464" spans="1:9" x14ac:dyDescent="0.15">
      <c r="A464" s="10">
        <v>463</v>
      </c>
      <c r="B464" s="11" t="s">
        <v>9</v>
      </c>
      <c r="C464" s="11" t="s">
        <v>179</v>
      </c>
      <c r="D464" s="11" t="s">
        <v>180</v>
      </c>
      <c r="E464" s="9" t="str">
        <f>+HYPERLINK("http://trademark.i-assist.jp/data/china/image_1908th/79674288.pdf", "79674288")</f>
        <v>79674288</v>
      </c>
      <c r="F464" s="11" t="s">
        <v>1504</v>
      </c>
      <c r="G464" s="11" t="s">
        <v>1505</v>
      </c>
      <c r="H464" s="11" t="s">
        <v>1506</v>
      </c>
      <c r="I464" s="11" t="s">
        <v>76</v>
      </c>
    </row>
    <row r="465" spans="1:9" x14ac:dyDescent="0.15">
      <c r="A465" s="10">
        <v>464</v>
      </c>
      <c r="B465" s="11" t="s">
        <v>9</v>
      </c>
      <c r="C465" s="11" t="s">
        <v>179</v>
      </c>
      <c r="D465" s="11" t="s">
        <v>180</v>
      </c>
      <c r="E465" s="9" t="str">
        <f>+HYPERLINK("http://trademark.i-assist.jp/data/china/image_1908th/79674398.pdf", "79674398")</f>
        <v>79674398</v>
      </c>
      <c r="F465" s="11" t="s">
        <v>1507</v>
      </c>
      <c r="G465" s="11" t="s">
        <v>1508</v>
      </c>
      <c r="H465" s="11" t="s">
        <v>1509</v>
      </c>
      <c r="I465" s="11" t="s">
        <v>76</v>
      </c>
    </row>
    <row r="466" spans="1:9" x14ac:dyDescent="0.15">
      <c r="A466" s="10">
        <v>465</v>
      </c>
      <c r="B466" s="11" t="s">
        <v>9</v>
      </c>
      <c r="C466" s="11" t="s">
        <v>179</v>
      </c>
      <c r="D466" s="11" t="s">
        <v>180</v>
      </c>
      <c r="E466" s="9" t="str">
        <f>+HYPERLINK("http://trademark.i-assist.jp/data/china/image_1908th/79674410.pdf", "79674410")</f>
        <v>79674410</v>
      </c>
      <c r="F466" s="11" t="s">
        <v>1510</v>
      </c>
      <c r="G466" s="11" t="s">
        <v>1511</v>
      </c>
      <c r="H466" s="11" t="s">
        <v>1512</v>
      </c>
      <c r="I466" s="11" t="s">
        <v>76</v>
      </c>
    </row>
    <row r="467" spans="1:9" x14ac:dyDescent="0.15">
      <c r="A467" s="10">
        <v>466</v>
      </c>
      <c r="B467" s="11" t="s">
        <v>9</v>
      </c>
      <c r="C467" s="11" t="s">
        <v>179</v>
      </c>
      <c r="D467" s="11" t="s">
        <v>180</v>
      </c>
      <c r="E467" s="9" t="str">
        <f>+HYPERLINK("http://trademark.i-assist.jp/data/china/image_1908th/79674592.pdf", "79674592")</f>
        <v>79674592</v>
      </c>
      <c r="F467" s="11" t="s">
        <v>1513</v>
      </c>
      <c r="G467" s="11" t="s">
        <v>126</v>
      </c>
      <c r="H467" s="11" t="s">
        <v>1514</v>
      </c>
      <c r="I467" s="11" t="s">
        <v>76</v>
      </c>
    </row>
    <row r="468" spans="1:9" x14ac:dyDescent="0.15">
      <c r="A468" s="10">
        <v>467</v>
      </c>
      <c r="B468" s="11" t="s">
        <v>9</v>
      </c>
      <c r="C468" s="11" t="s">
        <v>179</v>
      </c>
      <c r="D468" s="11" t="s">
        <v>180</v>
      </c>
      <c r="E468" s="9" t="str">
        <f>+HYPERLINK("http://trademark.i-assist.jp/data/china/image_1908th/79674618.pdf", "79674618")</f>
        <v>79674618</v>
      </c>
      <c r="F468" s="11" t="s">
        <v>1515</v>
      </c>
      <c r="G468" s="11" t="s">
        <v>1516</v>
      </c>
      <c r="H468" s="11" t="s">
        <v>1517</v>
      </c>
      <c r="I468" s="11" t="s">
        <v>76</v>
      </c>
    </row>
    <row r="469" spans="1:9" x14ac:dyDescent="0.15">
      <c r="A469" s="10">
        <v>468</v>
      </c>
      <c r="B469" s="11" t="s">
        <v>9</v>
      </c>
      <c r="C469" s="11" t="s">
        <v>179</v>
      </c>
      <c r="D469" s="11" t="s">
        <v>180</v>
      </c>
      <c r="E469" s="9" t="str">
        <f>+HYPERLINK("http://trademark.i-assist.jp/data/china/image_1908th/79675016.pdf", "79675016")</f>
        <v>79675016</v>
      </c>
      <c r="F469" s="11" t="s">
        <v>1518</v>
      </c>
      <c r="G469" s="11" t="s">
        <v>1519</v>
      </c>
      <c r="H469" s="11" t="s">
        <v>1520</v>
      </c>
      <c r="I469" s="11" t="s">
        <v>76</v>
      </c>
    </row>
    <row r="470" spans="1:9" x14ac:dyDescent="0.15">
      <c r="A470" s="10">
        <v>469</v>
      </c>
      <c r="B470" s="11" t="s">
        <v>9</v>
      </c>
      <c r="C470" s="11" t="s">
        <v>179</v>
      </c>
      <c r="D470" s="11" t="s">
        <v>180</v>
      </c>
      <c r="E470" s="9" t="str">
        <f>+HYPERLINK("http://trademark.i-assist.jp/data/china/image_1908th/79675436.pdf", "79675436")</f>
        <v>79675436</v>
      </c>
      <c r="F470" s="11" t="s">
        <v>1521</v>
      </c>
      <c r="G470" s="11" t="s">
        <v>1522</v>
      </c>
      <c r="H470" s="11" t="s">
        <v>1523</v>
      </c>
      <c r="I470" s="11" t="s">
        <v>76</v>
      </c>
    </row>
    <row r="471" spans="1:9" x14ac:dyDescent="0.15">
      <c r="A471" s="10">
        <v>470</v>
      </c>
      <c r="B471" s="11" t="s">
        <v>9</v>
      </c>
      <c r="C471" s="11" t="s">
        <v>179</v>
      </c>
      <c r="D471" s="11" t="s">
        <v>180</v>
      </c>
      <c r="E471" s="9" t="str">
        <f>+HYPERLINK("http://trademark.i-assist.jp/data/china/image_1908th/79675641.pdf", "79675641")</f>
        <v>79675641</v>
      </c>
      <c r="F471" s="11" t="s">
        <v>1524</v>
      </c>
      <c r="G471" s="11" t="s">
        <v>1525</v>
      </c>
      <c r="H471" s="11" t="s">
        <v>1526</v>
      </c>
      <c r="I471" s="11" t="s">
        <v>76</v>
      </c>
    </row>
    <row r="472" spans="1:9" x14ac:dyDescent="0.15">
      <c r="A472" s="10">
        <v>471</v>
      </c>
      <c r="B472" s="11" t="s">
        <v>9</v>
      </c>
      <c r="C472" s="11" t="s">
        <v>179</v>
      </c>
      <c r="D472" s="11" t="s">
        <v>180</v>
      </c>
      <c r="E472" s="9" t="str">
        <f>+HYPERLINK("http://trademark.i-assist.jp/data/china/image_1908th/79675709.pdf", "79675709")</f>
        <v>79675709</v>
      </c>
      <c r="F472" s="11" t="s">
        <v>1527</v>
      </c>
      <c r="G472" s="11" t="s">
        <v>1528</v>
      </c>
      <c r="H472" s="11" t="s">
        <v>1529</v>
      </c>
      <c r="I472" s="11" t="s">
        <v>76</v>
      </c>
    </row>
    <row r="473" spans="1:9" x14ac:dyDescent="0.15">
      <c r="A473" s="10">
        <v>472</v>
      </c>
      <c r="B473" s="11" t="s">
        <v>9</v>
      </c>
      <c r="C473" s="11" t="s">
        <v>179</v>
      </c>
      <c r="D473" s="11" t="s">
        <v>180</v>
      </c>
      <c r="E473" s="9" t="str">
        <f>+HYPERLINK("http://trademark.i-assist.jp/data/china/image_1908th/79678023.pdf", "79678023")</f>
        <v>79678023</v>
      </c>
      <c r="F473" s="11" t="s">
        <v>1530</v>
      </c>
      <c r="G473" s="11" t="s">
        <v>1465</v>
      </c>
      <c r="H473" s="11" t="s">
        <v>1531</v>
      </c>
      <c r="I473" s="11" t="s">
        <v>76</v>
      </c>
    </row>
    <row r="474" spans="1:9" x14ac:dyDescent="0.15">
      <c r="A474" s="10">
        <v>473</v>
      </c>
      <c r="B474" s="11" t="s">
        <v>9</v>
      </c>
      <c r="C474" s="11" t="s">
        <v>179</v>
      </c>
      <c r="D474" s="11" t="s">
        <v>180</v>
      </c>
      <c r="E474" s="9" t="str">
        <f>+HYPERLINK("http://trademark.i-assist.jp/data/china/image_1908th/79678206.pdf", "79678206")</f>
        <v>79678206</v>
      </c>
      <c r="F474" s="11" t="s">
        <v>10</v>
      </c>
      <c r="G474" s="11" t="s">
        <v>1532</v>
      </c>
      <c r="H474" s="11" t="s">
        <v>1533</v>
      </c>
      <c r="I474" s="11" t="s">
        <v>76</v>
      </c>
    </row>
    <row r="475" spans="1:9" x14ac:dyDescent="0.15">
      <c r="A475" s="10">
        <v>474</v>
      </c>
      <c r="B475" s="11" t="s">
        <v>9</v>
      </c>
      <c r="C475" s="11" t="s">
        <v>179</v>
      </c>
      <c r="D475" s="11" t="s">
        <v>180</v>
      </c>
      <c r="E475" s="9" t="str">
        <f>+HYPERLINK("http://trademark.i-assist.jp/data/china/image_1908th/79678430.pdf", "79678430")</f>
        <v>79678430</v>
      </c>
      <c r="F475" s="11" t="s">
        <v>1534</v>
      </c>
      <c r="G475" s="11" t="s">
        <v>1535</v>
      </c>
      <c r="H475" s="11" t="s">
        <v>1536</v>
      </c>
      <c r="I475" s="11" t="s">
        <v>76</v>
      </c>
    </row>
    <row r="476" spans="1:9" x14ac:dyDescent="0.15">
      <c r="A476" s="10">
        <v>475</v>
      </c>
      <c r="B476" s="11" t="s">
        <v>9</v>
      </c>
      <c r="C476" s="11" t="s">
        <v>179</v>
      </c>
      <c r="D476" s="11" t="s">
        <v>180</v>
      </c>
      <c r="E476" s="9" t="str">
        <f>+HYPERLINK("http://trademark.i-assist.jp/data/china/image_1908th/79679002.pdf", "79679002")</f>
        <v>79679002</v>
      </c>
      <c r="F476" s="11" t="s">
        <v>1537</v>
      </c>
      <c r="G476" s="11" t="s">
        <v>1538</v>
      </c>
      <c r="H476" s="11" t="s">
        <v>1539</v>
      </c>
      <c r="I476" s="11" t="s">
        <v>76</v>
      </c>
    </row>
    <row r="477" spans="1:9" x14ac:dyDescent="0.15">
      <c r="A477" s="10">
        <v>476</v>
      </c>
      <c r="B477" s="11" t="s">
        <v>9</v>
      </c>
      <c r="C477" s="11" t="s">
        <v>179</v>
      </c>
      <c r="D477" s="11" t="s">
        <v>180</v>
      </c>
      <c r="E477" s="9" t="str">
        <f>+HYPERLINK("http://trademark.i-assist.jp/data/china/image_1908th/79679142.pdf", "79679142")</f>
        <v>79679142</v>
      </c>
      <c r="F477" s="11" t="s">
        <v>1540</v>
      </c>
      <c r="G477" s="11" t="s">
        <v>1541</v>
      </c>
      <c r="H477" s="11" t="s">
        <v>1542</v>
      </c>
      <c r="I477" s="11" t="s">
        <v>76</v>
      </c>
    </row>
    <row r="478" spans="1:9" x14ac:dyDescent="0.15">
      <c r="A478" s="10">
        <v>477</v>
      </c>
      <c r="B478" s="11" t="s">
        <v>9</v>
      </c>
      <c r="C478" s="11" t="s">
        <v>179</v>
      </c>
      <c r="D478" s="11" t="s">
        <v>180</v>
      </c>
      <c r="E478" s="9" t="str">
        <f>+HYPERLINK("http://trademark.i-assist.jp/data/china/image_1908th/79681361.pdf", "79681361")</f>
        <v>79681361</v>
      </c>
      <c r="F478" s="11" t="s">
        <v>1543</v>
      </c>
      <c r="G478" s="11" t="s">
        <v>1544</v>
      </c>
      <c r="H478" s="11" t="s">
        <v>1545</v>
      </c>
      <c r="I478" s="11" t="s">
        <v>77</v>
      </c>
    </row>
    <row r="479" spans="1:9" x14ac:dyDescent="0.15">
      <c r="A479" s="10">
        <v>478</v>
      </c>
      <c r="B479" s="11" t="s">
        <v>9</v>
      </c>
      <c r="C479" s="11" t="s">
        <v>179</v>
      </c>
      <c r="D479" s="11" t="s">
        <v>180</v>
      </c>
      <c r="E479" s="9" t="str">
        <f>+HYPERLINK("http://trademark.i-assist.jp/data/china/image_1908th/79681382.pdf", "79681382")</f>
        <v>79681382</v>
      </c>
      <c r="F479" s="11" t="s">
        <v>1546</v>
      </c>
      <c r="G479" s="11" t="s">
        <v>1547</v>
      </c>
      <c r="H479" s="11" t="s">
        <v>1548</v>
      </c>
      <c r="I479" s="11" t="s">
        <v>77</v>
      </c>
    </row>
    <row r="480" spans="1:9" x14ac:dyDescent="0.15">
      <c r="A480" s="10">
        <v>479</v>
      </c>
      <c r="B480" s="11" t="s">
        <v>9</v>
      </c>
      <c r="C480" s="11" t="s">
        <v>179</v>
      </c>
      <c r="D480" s="11" t="s">
        <v>180</v>
      </c>
      <c r="E480" s="9" t="str">
        <f>+HYPERLINK("http://trademark.i-assist.jp/data/china/image_1908th/79681530.pdf", "79681530")</f>
        <v>79681530</v>
      </c>
      <c r="F480" s="11" t="s">
        <v>1549</v>
      </c>
      <c r="G480" s="11" t="s">
        <v>1550</v>
      </c>
      <c r="H480" s="11" t="s">
        <v>1551</v>
      </c>
      <c r="I480" s="11" t="s">
        <v>77</v>
      </c>
    </row>
    <row r="481" spans="1:9" x14ac:dyDescent="0.15">
      <c r="A481" s="10">
        <v>480</v>
      </c>
      <c r="B481" s="11" t="s">
        <v>9</v>
      </c>
      <c r="C481" s="11" t="s">
        <v>179</v>
      </c>
      <c r="D481" s="11" t="s">
        <v>180</v>
      </c>
      <c r="E481" s="9" t="str">
        <f>+HYPERLINK("http://trademark.i-assist.jp/data/china/image_1908th/79682668.pdf", "79682668")</f>
        <v>79682668</v>
      </c>
      <c r="F481" s="11" t="s">
        <v>1552</v>
      </c>
      <c r="G481" s="11" t="s">
        <v>1553</v>
      </c>
      <c r="H481" s="11" t="s">
        <v>1554</v>
      </c>
      <c r="I481" s="11" t="s">
        <v>77</v>
      </c>
    </row>
    <row r="482" spans="1:9" x14ac:dyDescent="0.15">
      <c r="A482" s="10">
        <v>481</v>
      </c>
      <c r="B482" s="11" t="s">
        <v>9</v>
      </c>
      <c r="C482" s="11" t="s">
        <v>179</v>
      </c>
      <c r="D482" s="11" t="s">
        <v>180</v>
      </c>
      <c r="E482" s="9" t="str">
        <f>+HYPERLINK("http://trademark.i-assist.jp/data/china/image_1908th/79683065.pdf", "79683065")</f>
        <v>79683065</v>
      </c>
      <c r="F482" s="11" t="s">
        <v>1555</v>
      </c>
      <c r="G482" s="11" t="s">
        <v>1556</v>
      </c>
      <c r="H482" s="11" t="s">
        <v>1557</v>
      </c>
      <c r="I482" s="11" t="s">
        <v>77</v>
      </c>
    </row>
    <row r="483" spans="1:9" x14ac:dyDescent="0.15">
      <c r="A483" s="10">
        <v>482</v>
      </c>
      <c r="B483" s="11" t="s">
        <v>9</v>
      </c>
      <c r="C483" s="11" t="s">
        <v>179</v>
      </c>
      <c r="D483" s="11" t="s">
        <v>180</v>
      </c>
      <c r="E483" s="9" t="str">
        <f>+HYPERLINK("http://trademark.i-assist.jp/data/china/image_1908th/79684101.pdf", "79684101")</f>
        <v>79684101</v>
      </c>
      <c r="F483" s="11" t="s">
        <v>1558</v>
      </c>
      <c r="G483" s="11" t="s">
        <v>1559</v>
      </c>
      <c r="H483" s="11" t="s">
        <v>1560</v>
      </c>
      <c r="I483" s="11" t="s">
        <v>77</v>
      </c>
    </row>
    <row r="484" spans="1:9" x14ac:dyDescent="0.15">
      <c r="A484" s="10">
        <v>483</v>
      </c>
      <c r="B484" s="11" t="s">
        <v>9</v>
      </c>
      <c r="C484" s="11" t="s">
        <v>179</v>
      </c>
      <c r="D484" s="11" t="s">
        <v>180</v>
      </c>
      <c r="E484" s="9" t="str">
        <f>+HYPERLINK("http://trademark.i-assist.jp/data/china/image_1908th/79684252.pdf", "79684252")</f>
        <v>79684252</v>
      </c>
      <c r="F484" s="11" t="s">
        <v>1561</v>
      </c>
      <c r="G484" s="11" t="s">
        <v>123</v>
      </c>
      <c r="H484" s="11" t="s">
        <v>1562</v>
      </c>
      <c r="I484" s="11" t="s">
        <v>77</v>
      </c>
    </row>
    <row r="485" spans="1:9" x14ac:dyDescent="0.15">
      <c r="A485" s="10">
        <v>484</v>
      </c>
      <c r="B485" s="11" t="s">
        <v>9</v>
      </c>
      <c r="C485" s="11" t="s">
        <v>179</v>
      </c>
      <c r="D485" s="11" t="s">
        <v>180</v>
      </c>
      <c r="E485" s="9" t="str">
        <f>+HYPERLINK("http://trademark.i-assist.jp/data/china/image_1908th/79684420.pdf", "79684420")</f>
        <v>79684420</v>
      </c>
      <c r="F485" s="11" t="s">
        <v>1563</v>
      </c>
      <c r="G485" s="11" t="s">
        <v>1564</v>
      </c>
      <c r="H485" s="11" t="s">
        <v>1565</v>
      </c>
      <c r="I485" s="11" t="s">
        <v>77</v>
      </c>
    </row>
    <row r="486" spans="1:9" x14ac:dyDescent="0.15">
      <c r="A486" s="10">
        <v>485</v>
      </c>
      <c r="B486" s="11" t="s">
        <v>9</v>
      </c>
      <c r="C486" s="11" t="s">
        <v>179</v>
      </c>
      <c r="D486" s="11" t="s">
        <v>180</v>
      </c>
      <c r="E486" s="9" t="str">
        <f>+HYPERLINK("http://trademark.i-assist.jp/data/china/image_1908th/79684889.pdf", "79684889")</f>
        <v>79684889</v>
      </c>
      <c r="F486" s="11" t="s">
        <v>10</v>
      </c>
      <c r="G486" s="11" t="s">
        <v>1566</v>
      </c>
      <c r="H486" s="11" t="s">
        <v>1567</v>
      </c>
      <c r="I486" s="11" t="s">
        <v>77</v>
      </c>
    </row>
    <row r="487" spans="1:9" x14ac:dyDescent="0.15">
      <c r="A487" s="10">
        <v>486</v>
      </c>
      <c r="B487" s="11" t="s">
        <v>9</v>
      </c>
      <c r="C487" s="11" t="s">
        <v>179</v>
      </c>
      <c r="D487" s="11" t="s">
        <v>180</v>
      </c>
      <c r="E487" s="9" t="str">
        <f>+HYPERLINK("http://trademark.i-assist.jp/data/china/image_1908th/79685136.pdf", "79685136")</f>
        <v>79685136</v>
      </c>
      <c r="F487" s="11" t="s">
        <v>1568</v>
      </c>
      <c r="G487" s="11" t="s">
        <v>78</v>
      </c>
      <c r="H487" s="11" t="s">
        <v>1569</v>
      </c>
      <c r="I487" s="11" t="s">
        <v>77</v>
      </c>
    </row>
    <row r="488" spans="1:9" x14ac:dyDescent="0.15">
      <c r="A488" s="10">
        <v>487</v>
      </c>
      <c r="B488" s="11" t="s">
        <v>9</v>
      </c>
      <c r="C488" s="11" t="s">
        <v>179</v>
      </c>
      <c r="D488" s="11" t="s">
        <v>180</v>
      </c>
      <c r="E488" s="9" t="str">
        <f>+HYPERLINK("http://trademark.i-assist.jp/data/china/image_1908th/79685582.pdf", "79685582")</f>
        <v>79685582</v>
      </c>
      <c r="F488" s="11" t="s">
        <v>121</v>
      </c>
      <c r="G488" s="11" t="s">
        <v>122</v>
      </c>
      <c r="H488" s="11" t="s">
        <v>1570</v>
      </c>
      <c r="I488" s="11" t="s">
        <v>77</v>
      </c>
    </row>
    <row r="489" spans="1:9" x14ac:dyDescent="0.15">
      <c r="A489" s="10">
        <v>488</v>
      </c>
      <c r="B489" s="11" t="s">
        <v>9</v>
      </c>
      <c r="C489" s="11" t="s">
        <v>179</v>
      </c>
      <c r="D489" s="11" t="s">
        <v>180</v>
      </c>
      <c r="E489" s="9" t="str">
        <f>+HYPERLINK("http://trademark.i-assist.jp/data/china/image_1908th/79685604.pdf", "79685604")</f>
        <v>79685604</v>
      </c>
      <c r="F489" s="11" t="s">
        <v>1571</v>
      </c>
      <c r="G489" s="11" t="s">
        <v>122</v>
      </c>
      <c r="H489" s="11" t="s">
        <v>1572</v>
      </c>
      <c r="I489" s="11" t="s">
        <v>77</v>
      </c>
    </row>
    <row r="490" spans="1:9" x14ac:dyDescent="0.15">
      <c r="A490" s="10">
        <v>489</v>
      </c>
      <c r="B490" s="11" t="s">
        <v>9</v>
      </c>
      <c r="C490" s="11" t="s">
        <v>179</v>
      </c>
      <c r="D490" s="11" t="s">
        <v>180</v>
      </c>
      <c r="E490" s="9" t="str">
        <f>+HYPERLINK("http://trademark.i-assist.jp/data/china/image_1908th/79685967.pdf", "79685967")</f>
        <v>79685967</v>
      </c>
      <c r="F490" s="11" t="s">
        <v>10</v>
      </c>
      <c r="G490" s="11" t="s">
        <v>1573</v>
      </c>
      <c r="H490" s="11" t="s">
        <v>1574</v>
      </c>
      <c r="I490" s="11" t="s">
        <v>77</v>
      </c>
    </row>
    <row r="491" spans="1:9" x14ac:dyDescent="0.15">
      <c r="A491" s="10">
        <v>490</v>
      </c>
      <c r="B491" s="11" t="s">
        <v>9</v>
      </c>
      <c r="C491" s="11" t="s">
        <v>179</v>
      </c>
      <c r="D491" s="11" t="s">
        <v>180</v>
      </c>
      <c r="E491" s="9" t="str">
        <f>+HYPERLINK("http://trademark.i-assist.jp/data/china/image_1908th/79687250.pdf", "79687250")</f>
        <v>79687250</v>
      </c>
      <c r="F491" s="11" t="s">
        <v>1575</v>
      </c>
      <c r="G491" s="11" t="s">
        <v>1576</v>
      </c>
      <c r="H491" s="11" t="s">
        <v>1577</v>
      </c>
      <c r="I491" s="11" t="s">
        <v>77</v>
      </c>
    </row>
    <row r="492" spans="1:9" x14ac:dyDescent="0.15">
      <c r="A492" s="10">
        <v>491</v>
      </c>
      <c r="B492" s="11" t="s">
        <v>9</v>
      </c>
      <c r="C492" s="11" t="s">
        <v>179</v>
      </c>
      <c r="D492" s="11" t="s">
        <v>180</v>
      </c>
      <c r="E492" s="9" t="str">
        <f>+HYPERLINK("http://trademark.i-assist.jp/data/china/image_1908th/79687472.pdf", "79687472")</f>
        <v>79687472</v>
      </c>
      <c r="F492" s="11" t="s">
        <v>1578</v>
      </c>
      <c r="G492" s="11" t="s">
        <v>1579</v>
      </c>
      <c r="H492" s="11" t="s">
        <v>1580</v>
      </c>
      <c r="I492" s="11" t="s">
        <v>77</v>
      </c>
    </row>
    <row r="493" spans="1:9" x14ac:dyDescent="0.15">
      <c r="A493" s="10">
        <v>492</v>
      </c>
      <c r="B493" s="11" t="s">
        <v>9</v>
      </c>
      <c r="C493" s="11" t="s">
        <v>179</v>
      </c>
      <c r="D493" s="11" t="s">
        <v>180</v>
      </c>
      <c r="E493" s="9" t="str">
        <f>+HYPERLINK("http://trademark.i-assist.jp/data/china/image_1908th/79687548.pdf", "79687548")</f>
        <v>79687548</v>
      </c>
      <c r="F493" s="11" t="s">
        <v>1581</v>
      </c>
      <c r="G493" s="11" t="s">
        <v>834</v>
      </c>
      <c r="H493" s="11" t="s">
        <v>1582</v>
      </c>
      <c r="I493" s="11" t="s">
        <v>77</v>
      </c>
    </row>
    <row r="494" spans="1:9" x14ac:dyDescent="0.15">
      <c r="A494" s="10">
        <v>493</v>
      </c>
      <c r="B494" s="11" t="s">
        <v>9</v>
      </c>
      <c r="C494" s="11" t="s">
        <v>179</v>
      </c>
      <c r="D494" s="11" t="s">
        <v>180</v>
      </c>
      <c r="E494" s="9" t="str">
        <f>+HYPERLINK("http://trademark.i-assist.jp/data/china/image_1908th/79687827.pdf", "79687827")</f>
        <v>79687827</v>
      </c>
      <c r="F494" s="11" t="s">
        <v>1583</v>
      </c>
      <c r="G494" s="11" t="s">
        <v>1584</v>
      </c>
      <c r="H494" s="11" t="s">
        <v>1585</v>
      </c>
      <c r="I494" s="11" t="s">
        <v>77</v>
      </c>
    </row>
    <row r="495" spans="1:9" x14ac:dyDescent="0.15">
      <c r="A495" s="10">
        <v>494</v>
      </c>
      <c r="B495" s="11" t="s">
        <v>9</v>
      </c>
      <c r="C495" s="11" t="s">
        <v>179</v>
      </c>
      <c r="D495" s="11" t="s">
        <v>180</v>
      </c>
      <c r="E495" s="9" t="str">
        <f>+HYPERLINK("http://trademark.i-assist.jp/data/china/image_1908th/79688217.pdf", "79688217")</f>
        <v>79688217</v>
      </c>
      <c r="F495" s="11" t="s">
        <v>1586</v>
      </c>
      <c r="G495" s="11" t="s">
        <v>1587</v>
      </c>
      <c r="H495" s="11" t="s">
        <v>1588</v>
      </c>
      <c r="I495" s="11" t="s">
        <v>77</v>
      </c>
    </row>
    <row r="496" spans="1:9" x14ac:dyDescent="0.15">
      <c r="A496" s="10">
        <v>495</v>
      </c>
      <c r="B496" s="11" t="s">
        <v>9</v>
      </c>
      <c r="C496" s="11" t="s">
        <v>179</v>
      </c>
      <c r="D496" s="11" t="s">
        <v>180</v>
      </c>
      <c r="E496" s="9" t="str">
        <f>+HYPERLINK("http://trademark.i-assist.jp/data/china/image_1908th/79688292.pdf", "79688292")</f>
        <v>79688292</v>
      </c>
      <c r="F496" s="11" t="s">
        <v>1589</v>
      </c>
      <c r="G496" s="11" t="s">
        <v>1590</v>
      </c>
      <c r="H496" s="11" t="s">
        <v>1591</v>
      </c>
      <c r="I496" s="11" t="s">
        <v>77</v>
      </c>
    </row>
    <row r="497" spans="1:9" x14ac:dyDescent="0.15">
      <c r="A497" s="10">
        <v>496</v>
      </c>
      <c r="B497" s="11" t="s">
        <v>9</v>
      </c>
      <c r="C497" s="11" t="s">
        <v>179</v>
      </c>
      <c r="D497" s="11" t="s">
        <v>180</v>
      </c>
      <c r="E497" s="9" t="str">
        <f>+HYPERLINK("http://trademark.i-assist.jp/data/china/image_1908th/79688306.pdf", "79688306")</f>
        <v>79688306</v>
      </c>
      <c r="F497" s="11" t="s">
        <v>1592</v>
      </c>
      <c r="G497" s="11" t="s">
        <v>1590</v>
      </c>
      <c r="H497" s="11" t="s">
        <v>1593</v>
      </c>
      <c r="I497" s="11" t="s">
        <v>77</v>
      </c>
    </row>
    <row r="498" spans="1:9" x14ac:dyDescent="0.15">
      <c r="A498" s="10">
        <v>497</v>
      </c>
      <c r="B498" s="11" t="s">
        <v>9</v>
      </c>
      <c r="C498" s="11" t="s">
        <v>179</v>
      </c>
      <c r="D498" s="11" t="s">
        <v>180</v>
      </c>
      <c r="E498" s="9" t="str">
        <f>+HYPERLINK("http://trademark.i-assist.jp/data/china/image_1908th/79688929.pdf", "79688929")</f>
        <v>79688929</v>
      </c>
      <c r="F498" s="11" t="s">
        <v>1594</v>
      </c>
      <c r="G498" s="11" t="s">
        <v>122</v>
      </c>
      <c r="H498" s="11" t="s">
        <v>1595</v>
      </c>
      <c r="I498" s="11" t="s">
        <v>77</v>
      </c>
    </row>
    <row r="499" spans="1:9" x14ac:dyDescent="0.15">
      <c r="A499" s="10">
        <v>498</v>
      </c>
      <c r="B499" s="11" t="s">
        <v>9</v>
      </c>
      <c r="C499" s="11" t="s">
        <v>179</v>
      </c>
      <c r="D499" s="11" t="s">
        <v>180</v>
      </c>
      <c r="E499" s="9" t="str">
        <f>+HYPERLINK("http://trademark.i-assist.jp/data/china/image_1908th/79689490.pdf", "79689490")</f>
        <v>79689490</v>
      </c>
      <c r="F499" s="11" t="s">
        <v>1596</v>
      </c>
      <c r="G499" s="11" t="s">
        <v>1597</v>
      </c>
      <c r="H499" s="11" t="s">
        <v>1598</v>
      </c>
      <c r="I499" s="11" t="s">
        <v>77</v>
      </c>
    </row>
    <row r="500" spans="1:9" x14ac:dyDescent="0.15">
      <c r="A500" s="10">
        <v>499</v>
      </c>
      <c r="B500" s="11" t="s">
        <v>9</v>
      </c>
      <c r="C500" s="11" t="s">
        <v>179</v>
      </c>
      <c r="D500" s="11" t="s">
        <v>180</v>
      </c>
      <c r="E500" s="9" t="str">
        <f>+HYPERLINK("http://trademark.i-assist.jp/data/china/image_1908th/79689650.pdf", "79689650")</f>
        <v>79689650</v>
      </c>
      <c r="F500" s="11" t="s">
        <v>1599</v>
      </c>
      <c r="G500" s="11" t="s">
        <v>1600</v>
      </c>
      <c r="H500" s="11" t="s">
        <v>1601</v>
      </c>
      <c r="I500" s="11" t="s">
        <v>77</v>
      </c>
    </row>
    <row r="501" spans="1:9" x14ac:dyDescent="0.15">
      <c r="A501" s="10">
        <v>500</v>
      </c>
      <c r="B501" s="11" t="s">
        <v>9</v>
      </c>
      <c r="C501" s="11" t="s">
        <v>179</v>
      </c>
      <c r="D501" s="11" t="s">
        <v>180</v>
      </c>
      <c r="E501" s="9" t="str">
        <f>+HYPERLINK("http://trademark.i-assist.jp/data/china/image_1908th/79690829.pdf", "79690829")</f>
        <v>79690829</v>
      </c>
      <c r="F501" s="11" t="s">
        <v>1602</v>
      </c>
      <c r="G501" s="11" t="s">
        <v>1603</v>
      </c>
      <c r="H501" s="11" t="s">
        <v>1604</v>
      </c>
      <c r="I501" s="11" t="s">
        <v>77</v>
      </c>
    </row>
    <row r="502" spans="1:9" x14ac:dyDescent="0.15">
      <c r="A502" s="10">
        <v>501</v>
      </c>
      <c r="B502" s="11" t="s">
        <v>9</v>
      </c>
      <c r="C502" s="11" t="s">
        <v>179</v>
      </c>
      <c r="D502" s="11" t="s">
        <v>180</v>
      </c>
      <c r="E502" s="9" t="str">
        <f>+HYPERLINK("http://trademark.i-assist.jp/data/china/image_1908th/79691094.pdf", "79691094")</f>
        <v>79691094</v>
      </c>
      <c r="F502" s="11" t="s">
        <v>1605</v>
      </c>
      <c r="G502" s="11" t="s">
        <v>1606</v>
      </c>
      <c r="H502" s="11" t="s">
        <v>1607</v>
      </c>
      <c r="I502" s="11" t="s">
        <v>77</v>
      </c>
    </row>
    <row r="503" spans="1:9" x14ac:dyDescent="0.15">
      <c r="A503" s="10">
        <v>502</v>
      </c>
      <c r="B503" s="11" t="s">
        <v>9</v>
      </c>
      <c r="C503" s="11" t="s">
        <v>179</v>
      </c>
      <c r="D503" s="11" t="s">
        <v>180</v>
      </c>
      <c r="E503" s="9" t="str">
        <f>+HYPERLINK("http://trademark.i-assist.jp/data/china/image_1908th/79691871.pdf", "79691871")</f>
        <v>79691871</v>
      </c>
      <c r="F503" s="11" t="s">
        <v>10</v>
      </c>
      <c r="G503" s="11" t="s">
        <v>1608</v>
      </c>
      <c r="H503" s="11" t="s">
        <v>1609</v>
      </c>
      <c r="I503" s="11" t="s">
        <v>77</v>
      </c>
    </row>
    <row r="504" spans="1:9" x14ac:dyDescent="0.15">
      <c r="A504" s="10">
        <v>503</v>
      </c>
      <c r="B504" s="11" t="s">
        <v>9</v>
      </c>
      <c r="C504" s="11" t="s">
        <v>179</v>
      </c>
      <c r="D504" s="11" t="s">
        <v>180</v>
      </c>
      <c r="E504" s="9" t="str">
        <f>+HYPERLINK("http://trademark.i-assist.jp/data/china/image_1908th/79692668.pdf", "79692668")</f>
        <v>79692668</v>
      </c>
      <c r="F504" s="11" t="s">
        <v>1610</v>
      </c>
      <c r="G504" s="11" t="s">
        <v>1611</v>
      </c>
      <c r="H504" s="11" t="s">
        <v>1612</v>
      </c>
      <c r="I504" s="11" t="s">
        <v>77</v>
      </c>
    </row>
    <row r="505" spans="1:9" x14ac:dyDescent="0.15">
      <c r="A505" s="10">
        <v>504</v>
      </c>
      <c r="B505" s="11" t="s">
        <v>9</v>
      </c>
      <c r="C505" s="11" t="s">
        <v>179</v>
      </c>
      <c r="D505" s="11" t="s">
        <v>180</v>
      </c>
      <c r="E505" s="9" t="str">
        <f>+HYPERLINK("http://trademark.i-assist.jp/data/china/image_1908th/79693323.pdf", "79693323")</f>
        <v>79693323</v>
      </c>
      <c r="F505" s="11" t="s">
        <v>1613</v>
      </c>
      <c r="G505" s="11" t="s">
        <v>1614</v>
      </c>
      <c r="H505" s="11" t="s">
        <v>1615</v>
      </c>
      <c r="I505" s="11" t="s">
        <v>77</v>
      </c>
    </row>
    <row r="506" spans="1:9" x14ac:dyDescent="0.15">
      <c r="A506" s="10">
        <v>505</v>
      </c>
      <c r="B506" s="11" t="s">
        <v>9</v>
      </c>
      <c r="C506" s="11" t="s">
        <v>179</v>
      </c>
      <c r="D506" s="11" t="s">
        <v>180</v>
      </c>
      <c r="E506" s="9" t="str">
        <f>+HYPERLINK("http://trademark.i-assist.jp/data/china/image_1908th/79693412.pdf", "79693412")</f>
        <v>79693412</v>
      </c>
      <c r="F506" s="11" t="s">
        <v>1616</v>
      </c>
      <c r="G506" s="11" t="s">
        <v>1617</v>
      </c>
      <c r="H506" s="11" t="s">
        <v>1618</v>
      </c>
      <c r="I506" s="11" t="s">
        <v>77</v>
      </c>
    </row>
    <row r="507" spans="1:9" x14ac:dyDescent="0.15">
      <c r="A507" s="10">
        <v>506</v>
      </c>
      <c r="B507" s="11" t="s">
        <v>9</v>
      </c>
      <c r="C507" s="11" t="s">
        <v>179</v>
      </c>
      <c r="D507" s="11" t="s">
        <v>180</v>
      </c>
      <c r="E507" s="9" t="str">
        <f>+HYPERLINK("http://trademark.i-assist.jp/data/china/image_1908th/79693649.pdf", "79693649")</f>
        <v>79693649</v>
      </c>
      <c r="F507" s="11" t="s">
        <v>1619</v>
      </c>
      <c r="G507" s="11" t="s">
        <v>1620</v>
      </c>
      <c r="H507" s="11" t="s">
        <v>1621</v>
      </c>
      <c r="I507" s="11" t="s">
        <v>77</v>
      </c>
    </row>
    <row r="508" spans="1:9" x14ac:dyDescent="0.15">
      <c r="A508" s="10">
        <v>507</v>
      </c>
      <c r="B508" s="11" t="s">
        <v>9</v>
      </c>
      <c r="C508" s="11" t="s">
        <v>179</v>
      </c>
      <c r="D508" s="11" t="s">
        <v>180</v>
      </c>
      <c r="E508" s="9" t="str">
        <f>+HYPERLINK("http://trademark.i-assist.jp/data/china/image_1908th/79694121.pdf", "79694121")</f>
        <v>79694121</v>
      </c>
      <c r="F508" s="11" t="s">
        <v>1622</v>
      </c>
      <c r="G508" s="11" t="s">
        <v>1623</v>
      </c>
      <c r="H508" s="11" t="s">
        <v>1624</v>
      </c>
      <c r="I508" s="11" t="s">
        <v>77</v>
      </c>
    </row>
    <row r="509" spans="1:9" x14ac:dyDescent="0.15">
      <c r="A509" s="10">
        <v>508</v>
      </c>
      <c r="B509" s="11" t="s">
        <v>9</v>
      </c>
      <c r="C509" s="11" t="s">
        <v>179</v>
      </c>
      <c r="D509" s="11" t="s">
        <v>180</v>
      </c>
      <c r="E509" s="9" t="str">
        <f>+HYPERLINK("http://trademark.i-assist.jp/data/china/image_1908th/79695433.pdf", "79695433")</f>
        <v>79695433</v>
      </c>
      <c r="F509" s="11" t="s">
        <v>1625</v>
      </c>
      <c r="G509" s="11" t="s">
        <v>1626</v>
      </c>
      <c r="H509" s="11" t="s">
        <v>1627</v>
      </c>
      <c r="I509" s="11" t="s">
        <v>77</v>
      </c>
    </row>
    <row r="510" spans="1:9" x14ac:dyDescent="0.15">
      <c r="A510" s="10">
        <v>509</v>
      </c>
      <c r="B510" s="11" t="s">
        <v>9</v>
      </c>
      <c r="C510" s="11" t="s">
        <v>179</v>
      </c>
      <c r="D510" s="11" t="s">
        <v>180</v>
      </c>
      <c r="E510" s="9" t="str">
        <f>+HYPERLINK("http://trademark.i-assist.jp/data/china/image_1908th/79696357.pdf", "79696357")</f>
        <v>79696357</v>
      </c>
      <c r="F510" s="11" t="s">
        <v>1628</v>
      </c>
      <c r="G510" s="11" t="s">
        <v>1629</v>
      </c>
      <c r="H510" s="11" t="s">
        <v>1630</v>
      </c>
      <c r="I510" s="11" t="s">
        <v>77</v>
      </c>
    </row>
    <row r="511" spans="1:9" x14ac:dyDescent="0.15">
      <c r="A511" s="10">
        <v>510</v>
      </c>
      <c r="B511" s="11" t="s">
        <v>9</v>
      </c>
      <c r="C511" s="11" t="s">
        <v>179</v>
      </c>
      <c r="D511" s="11" t="s">
        <v>180</v>
      </c>
      <c r="E511" s="9" t="str">
        <f>+HYPERLINK("http://trademark.i-assist.jp/data/china/image_1908th/79696399.pdf", "79696399")</f>
        <v>79696399</v>
      </c>
      <c r="F511" s="11" t="s">
        <v>1631</v>
      </c>
      <c r="G511" s="11" t="s">
        <v>1632</v>
      </c>
      <c r="H511" s="11" t="s">
        <v>1633</v>
      </c>
      <c r="I511" s="11" t="s">
        <v>77</v>
      </c>
    </row>
    <row r="512" spans="1:9" x14ac:dyDescent="0.15">
      <c r="A512" s="10">
        <v>511</v>
      </c>
      <c r="B512" s="11" t="s">
        <v>9</v>
      </c>
      <c r="C512" s="11" t="s">
        <v>179</v>
      </c>
      <c r="D512" s="11" t="s">
        <v>180</v>
      </c>
      <c r="E512" s="9" t="str">
        <f>+HYPERLINK("http://trademark.i-assist.jp/data/china/image_1908th/79696515.pdf", "79696515")</f>
        <v>79696515</v>
      </c>
      <c r="F512" s="11" t="s">
        <v>1571</v>
      </c>
      <c r="G512" s="11" t="s">
        <v>122</v>
      </c>
      <c r="H512" s="11" t="s">
        <v>1634</v>
      </c>
      <c r="I512" s="11" t="s">
        <v>77</v>
      </c>
    </row>
    <row r="513" spans="1:9" x14ac:dyDescent="0.15">
      <c r="A513" s="10">
        <v>512</v>
      </c>
      <c r="B513" s="11" t="s">
        <v>9</v>
      </c>
      <c r="C513" s="11" t="s">
        <v>179</v>
      </c>
      <c r="D513" s="11" t="s">
        <v>180</v>
      </c>
      <c r="E513" s="9" t="str">
        <f>+HYPERLINK("http://trademark.i-assist.jp/data/china/image_1908th/79696610.pdf", "79696610")</f>
        <v>79696610</v>
      </c>
      <c r="F513" s="11" t="s">
        <v>10</v>
      </c>
      <c r="G513" s="11" t="s">
        <v>1635</v>
      </c>
      <c r="H513" s="11" t="s">
        <v>1636</v>
      </c>
      <c r="I513" s="11" t="s">
        <v>77</v>
      </c>
    </row>
    <row r="514" spans="1:9" x14ac:dyDescent="0.15">
      <c r="A514" s="10">
        <v>513</v>
      </c>
      <c r="B514" s="11" t="s">
        <v>9</v>
      </c>
      <c r="C514" s="11" t="s">
        <v>179</v>
      </c>
      <c r="D514" s="11" t="s">
        <v>180</v>
      </c>
      <c r="E514" s="9" t="str">
        <f>+HYPERLINK("http://trademark.i-assist.jp/data/china/image_1908th/79697162.pdf", "79697162")</f>
        <v>79697162</v>
      </c>
      <c r="F514" s="11" t="s">
        <v>1637</v>
      </c>
      <c r="G514" s="11" t="s">
        <v>1638</v>
      </c>
      <c r="H514" s="11" t="s">
        <v>1639</v>
      </c>
      <c r="I514" s="11" t="s">
        <v>77</v>
      </c>
    </row>
    <row r="515" spans="1:9" x14ac:dyDescent="0.15">
      <c r="A515" s="10">
        <v>514</v>
      </c>
      <c r="B515" s="11" t="s">
        <v>9</v>
      </c>
      <c r="C515" s="11" t="s">
        <v>179</v>
      </c>
      <c r="D515" s="11" t="s">
        <v>180</v>
      </c>
      <c r="E515" s="9" t="str">
        <f>+HYPERLINK("http://trademark.i-assist.jp/data/china/image_1908th/79697363.pdf", "79697363")</f>
        <v>79697363</v>
      </c>
      <c r="F515" s="11" t="s">
        <v>1640</v>
      </c>
      <c r="G515" s="11" t="s">
        <v>1641</v>
      </c>
      <c r="H515" s="11" t="s">
        <v>1642</v>
      </c>
      <c r="I515" s="11" t="s">
        <v>77</v>
      </c>
    </row>
    <row r="516" spans="1:9" x14ac:dyDescent="0.15">
      <c r="A516" s="10">
        <v>515</v>
      </c>
      <c r="B516" s="11" t="s">
        <v>9</v>
      </c>
      <c r="C516" s="11" t="s">
        <v>179</v>
      </c>
      <c r="D516" s="11" t="s">
        <v>180</v>
      </c>
      <c r="E516" s="9" t="str">
        <f>+HYPERLINK("http://trademark.i-assist.jp/data/china/image_1908th/79697883.pdf", "79697883")</f>
        <v>79697883</v>
      </c>
      <c r="F516" s="11" t="s">
        <v>1643</v>
      </c>
      <c r="G516" s="11" t="s">
        <v>1644</v>
      </c>
      <c r="H516" s="11" t="s">
        <v>1645</v>
      </c>
      <c r="I516" s="11" t="s">
        <v>77</v>
      </c>
    </row>
    <row r="517" spans="1:9" x14ac:dyDescent="0.15">
      <c r="A517" s="10">
        <v>516</v>
      </c>
      <c r="B517" s="11" t="s">
        <v>9</v>
      </c>
      <c r="C517" s="11" t="s">
        <v>179</v>
      </c>
      <c r="D517" s="11" t="s">
        <v>180</v>
      </c>
      <c r="E517" s="9" t="str">
        <f>+HYPERLINK("http://trademark.i-assist.jp/data/china/image_1908th/79698185.pdf", "79698185")</f>
        <v>79698185</v>
      </c>
      <c r="F517" s="11" t="s">
        <v>10</v>
      </c>
      <c r="G517" s="11" t="s">
        <v>1584</v>
      </c>
      <c r="H517" s="11" t="s">
        <v>1646</v>
      </c>
      <c r="I517" s="11" t="s">
        <v>77</v>
      </c>
    </row>
    <row r="518" spans="1:9" x14ac:dyDescent="0.15">
      <c r="A518" s="10">
        <v>517</v>
      </c>
      <c r="B518" s="11" t="s">
        <v>9</v>
      </c>
      <c r="C518" s="11" t="s">
        <v>179</v>
      </c>
      <c r="D518" s="11" t="s">
        <v>180</v>
      </c>
      <c r="E518" s="9" t="str">
        <f>+HYPERLINK("http://trademark.i-assist.jp/data/china/image_1908th/79699073.pdf", "79699073")</f>
        <v>79699073</v>
      </c>
      <c r="F518" s="11" t="s">
        <v>1647</v>
      </c>
      <c r="G518" s="11" t="s">
        <v>129</v>
      </c>
      <c r="H518" s="11" t="s">
        <v>1648</v>
      </c>
      <c r="I518" s="11" t="s">
        <v>77</v>
      </c>
    </row>
    <row r="519" spans="1:9" x14ac:dyDescent="0.15">
      <c r="A519" s="10">
        <v>518</v>
      </c>
      <c r="B519" s="11" t="s">
        <v>9</v>
      </c>
      <c r="C519" s="11" t="s">
        <v>179</v>
      </c>
      <c r="D519" s="11" t="s">
        <v>180</v>
      </c>
      <c r="E519" s="9" t="str">
        <f>+HYPERLINK("http://trademark.i-assist.jp/data/china/image_1908th/79699228.pdf", "79699228")</f>
        <v>79699228</v>
      </c>
      <c r="F519" s="11" t="s">
        <v>1649</v>
      </c>
      <c r="G519" s="11" t="s">
        <v>1650</v>
      </c>
      <c r="H519" s="11" t="s">
        <v>1651</v>
      </c>
      <c r="I519" s="11" t="s">
        <v>77</v>
      </c>
    </row>
    <row r="520" spans="1:9" x14ac:dyDescent="0.15">
      <c r="A520" s="10">
        <v>519</v>
      </c>
      <c r="B520" s="11" t="s">
        <v>9</v>
      </c>
      <c r="C520" s="11" t="s">
        <v>179</v>
      </c>
      <c r="D520" s="11" t="s">
        <v>180</v>
      </c>
      <c r="E520" s="9" t="str">
        <f>+HYPERLINK("http://trademark.i-assist.jp/data/china/image_1908th/79699305.pdf", "79699305")</f>
        <v>79699305</v>
      </c>
      <c r="F520" s="11" t="s">
        <v>1594</v>
      </c>
      <c r="G520" s="11" t="s">
        <v>122</v>
      </c>
      <c r="H520" s="11" t="s">
        <v>1652</v>
      </c>
      <c r="I520" s="11" t="s">
        <v>77</v>
      </c>
    </row>
    <row r="521" spans="1:9" x14ac:dyDescent="0.15">
      <c r="A521" s="10">
        <v>520</v>
      </c>
      <c r="B521" s="11" t="s">
        <v>9</v>
      </c>
      <c r="C521" s="11" t="s">
        <v>179</v>
      </c>
      <c r="D521" s="11" t="s">
        <v>180</v>
      </c>
      <c r="E521" s="9" t="str">
        <f>+HYPERLINK("http://trademark.i-assist.jp/data/china/image_1908th/79699552.pdf", "79699552")</f>
        <v>79699552</v>
      </c>
      <c r="F521" s="11" t="s">
        <v>1653</v>
      </c>
      <c r="G521" s="11" t="s">
        <v>1654</v>
      </c>
      <c r="H521" s="11" t="s">
        <v>1655</v>
      </c>
      <c r="I521" s="11" t="s">
        <v>77</v>
      </c>
    </row>
    <row r="522" spans="1:9" x14ac:dyDescent="0.15">
      <c r="A522" s="10">
        <v>521</v>
      </c>
      <c r="B522" s="11" t="s">
        <v>9</v>
      </c>
      <c r="C522" s="11" t="s">
        <v>179</v>
      </c>
      <c r="D522" s="11" t="s">
        <v>180</v>
      </c>
      <c r="E522" s="9" t="str">
        <f>+HYPERLINK("http://trademark.i-assist.jp/data/china/image_1908th/79700038.pdf", "79700038")</f>
        <v>79700038</v>
      </c>
      <c r="F522" s="11" t="s">
        <v>1656</v>
      </c>
      <c r="G522" s="11" t="s">
        <v>1657</v>
      </c>
      <c r="H522" s="11" t="s">
        <v>1658</v>
      </c>
      <c r="I522" s="11" t="s">
        <v>77</v>
      </c>
    </row>
    <row r="523" spans="1:9" x14ac:dyDescent="0.15">
      <c r="A523" s="10">
        <v>522</v>
      </c>
      <c r="B523" s="11" t="s">
        <v>9</v>
      </c>
      <c r="C523" s="11" t="s">
        <v>179</v>
      </c>
      <c r="D523" s="11" t="s">
        <v>180</v>
      </c>
      <c r="E523" s="9" t="str">
        <f>+HYPERLINK("http://trademark.i-assist.jp/data/china/image_1908th/79700043.pdf", "79700043")</f>
        <v>79700043</v>
      </c>
      <c r="F523" s="11" t="s">
        <v>1659</v>
      </c>
      <c r="G523" s="11" t="s">
        <v>1657</v>
      </c>
      <c r="H523" s="11" t="s">
        <v>1660</v>
      </c>
      <c r="I523" s="11" t="s">
        <v>77</v>
      </c>
    </row>
    <row r="524" spans="1:9" x14ac:dyDescent="0.15">
      <c r="A524" s="10">
        <v>523</v>
      </c>
      <c r="B524" s="11" t="s">
        <v>9</v>
      </c>
      <c r="C524" s="11" t="s">
        <v>179</v>
      </c>
      <c r="D524" s="11" t="s">
        <v>180</v>
      </c>
      <c r="E524" s="9" t="str">
        <f>+HYPERLINK("http://trademark.i-assist.jp/data/china/image_1908th/79700358.pdf", "79700358")</f>
        <v>79700358</v>
      </c>
      <c r="F524" s="11" t="s">
        <v>1661</v>
      </c>
      <c r="G524" s="11" t="s">
        <v>1662</v>
      </c>
      <c r="H524" s="11" t="s">
        <v>1663</v>
      </c>
      <c r="I524" s="11" t="s">
        <v>77</v>
      </c>
    </row>
    <row r="525" spans="1:9" x14ac:dyDescent="0.15">
      <c r="A525" s="10">
        <v>524</v>
      </c>
      <c r="B525" s="11" t="s">
        <v>9</v>
      </c>
      <c r="C525" s="11" t="s">
        <v>179</v>
      </c>
      <c r="D525" s="11" t="s">
        <v>180</v>
      </c>
      <c r="E525" s="9" t="str">
        <f>+HYPERLINK("http://trademark.i-assist.jp/data/china/image_1908th/79700560.pdf", "79700560")</f>
        <v>79700560</v>
      </c>
      <c r="F525" s="11" t="s">
        <v>1664</v>
      </c>
      <c r="G525" s="11" t="s">
        <v>1665</v>
      </c>
      <c r="H525" s="11" t="s">
        <v>1666</v>
      </c>
      <c r="I525" s="11" t="s">
        <v>77</v>
      </c>
    </row>
    <row r="526" spans="1:9" x14ac:dyDescent="0.15">
      <c r="A526" s="10">
        <v>525</v>
      </c>
      <c r="B526" s="11" t="s">
        <v>9</v>
      </c>
      <c r="C526" s="11" t="s">
        <v>179</v>
      </c>
      <c r="D526" s="11" t="s">
        <v>180</v>
      </c>
      <c r="E526" s="9" t="str">
        <f>+HYPERLINK("http://trademark.i-assist.jp/data/china/image_1908th/79701714.pdf", "79701714")</f>
        <v>79701714</v>
      </c>
      <c r="F526" s="11" t="s">
        <v>10</v>
      </c>
      <c r="G526" s="11" t="s">
        <v>1667</v>
      </c>
      <c r="H526" s="11" t="s">
        <v>1668</v>
      </c>
      <c r="I526" s="11" t="s">
        <v>77</v>
      </c>
    </row>
    <row r="527" spans="1:9" x14ac:dyDescent="0.15">
      <c r="A527" s="10">
        <v>526</v>
      </c>
      <c r="B527" s="11" t="s">
        <v>9</v>
      </c>
      <c r="C527" s="11" t="s">
        <v>179</v>
      </c>
      <c r="D527" s="11" t="s">
        <v>180</v>
      </c>
      <c r="E527" s="9" t="str">
        <f>+HYPERLINK("http://trademark.i-assist.jp/data/china/image_1908th/79701769.pdf", "79701769")</f>
        <v>79701769</v>
      </c>
      <c r="F527" s="11" t="s">
        <v>1669</v>
      </c>
      <c r="G527" s="11" t="s">
        <v>1600</v>
      </c>
      <c r="H527" s="11" t="s">
        <v>1670</v>
      </c>
      <c r="I527" s="11" t="s">
        <v>77</v>
      </c>
    </row>
    <row r="528" spans="1:9" x14ac:dyDescent="0.15">
      <c r="A528" s="10">
        <v>527</v>
      </c>
      <c r="B528" s="11" t="s">
        <v>9</v>
      </c>
      <c r="C528" s="11" t="s">
        <v>179</v>
      </c>
      <c r="D528" s="11" t="s">
        <v>180</v>
      </c>
      <c r="E528" s="9" t="str">
        <f>+HYPERLINK("http://trademark.i-assist.jp/data/china/image_1908th/79702397.pdf", "79702397")</f>
        <v>79702397</v>
      </c>
      <c r="F528" s="11" t="s">
        <v>1671</v>
      </c>
      <c r="G528" s="11" t="s">
        <v>1626</v>
      </c>
      <c r="H528" s="11" t="s">
        <v>1672</v>
      </c>
      <c r="I528" s="11" t="s">
        <v>77</v>
      </c>
    </row>
    <row r="529" spans="1:9" x14ac:dyDescent="0.15">
      <c r="A529" s="10">
        <v>528</v>
      </c>
      <c r="B529" s="11" t="s">
        <v>9</v>
      </c>
      <c r="C529" s="11" t="s">
        <v>179</v>
      </c>
      <c r="D529" s="11" t="s">
        <v>180</v>
      </c>
      <c r="E529" s="9" t="str">
        <f>+HYPERLINK("http://trademark.i-assist.jp/data/china/image_1908th/79702412.pdf", "79702412")</f>
        <v>79702412</v>
      </c>
      <c r="F529" s="11" t="s">
        <v>10</v>
      </c>
      <c r="G529" s="11" t="s">
        <v>1673</v>
      </c>
      <c r="H529" s="11" t="s">
        <v>1674</v>
      </c>
      <c r="I529" s="11" t="s">
        <v>77</v>
      </c>
    </row>
    <row r="530" spans="1:9" x14ac:dyDescent="0.15">
      <c r="A530" s="10">
        <v>529</v>
      </c>
      <c r="B530" s="11" t="s">
        <v>9</v>
      </c>
      <c r="C530" s="11" t="s">
        <v>179</v>
      </c>
      <c r="D530" s="11" t="s">
        <v>180</v>
      </c>
      <c r="E530" s="9" t="str">
        <f>+HYPERLINK("http://trademark.i-assist.jp/data/china/image_1908th/79703419.pdf", "79703419")</f>
        <v>79703419</v>
      </c>
      <c r="F530" s="11" t="s">
        <v>10</v>
      </c>
      <c r="G530" s="11" t="s">
        <v>1675</v>
      </c>
      <c r="H530" s="11" t="s">
        <v>1676</v>
      </c>
      <c r="I530" s="11" t="s">
        <v>77</v>
      </c>
    </row>
    <row r="531" spans="1:9" x14ac:dyDescent="0.15">
      <c r="A531" s="10">
        <v>530</v>
      </c>
      <c r="B531" s="11" t="s">
        <v>9</v>
      </c>
      <c r="C531" s="11" t="s">
        <v>179</v>
      </c>
      <c r="D531" s="11" t="s">
        <v>180</v>
      </c>
      <c r="E531" s="9" t="str">
        <f>+HYPERLINK("http://trademark.i-assist.jp/data/china/image_1908th/79704559.pdf", "79704559")</f>
        <v>79704559</v>
      </c>
      <c r="F531" s="11" t="s">
        <v>1677</v>
      </c>
      <c r="G531" s="11" t="s">
        <v>1678</v>
      </c>
      <c r="H531" s="11" t="s">
        <v>1679</v>
      </c>
      <c r="I531" s="11" t="s">
        <v>77</v>
      </c>
    </row>
    <row r="532" spans="1:9" x14ac:dyDescent="0.15">
      <c r="A532" s="10">
        <v>531</v>
      </c>
      <c r="B532" s="11" t="s">
        <v>9</v>
      </c>
      <c r="C532" s="11" t="s">
        <v>179</v>
      </c>
      <c r="D532" s="11" t="s">
        <v>180</v>
      </c>
      <c r="E532" s="9" t="str">
        <f>+HYPERLINK("http://trademark.i-assist.jp/data/china/image_1908th/79704761.pdf", "79704761")</f>
        <v>79704761</v>
      </c>
      <c r="F532" s="11" t="s">
        <v>1680</v>
      </c>
      <c r="G532" s="11" t="s">
        <v>1681</v>
      </c>
      <c r="H532" s="11" t="s">
        <v>1682</v>
      </c>
      <c r="I532" s="11" t="s">
        <v>79</v>
      </c>
    </row>
    <row r="533" spans="1:9" x14ac:dyDescent="0.15">
      <c r="A533" s="10">
        <v>532</v>
      </c>
      <c r="B533" s="11" t="s">
        <v>9</v>
      </c>
      <c r="C533" s="11" t="s">
        <v>179</v>
      </c>
      <c r="D533" s="11" t="s">
        <v>180</v>
      </c>
      <c r="E533" s="9" t="str">
        <f>+HYPERLINK("http://trademark.i-assist.jp/data/china/image_1908th/79705093.pdf", "79705093")</f>
        <v>79705093</v>
      </c>
      <c r="F533" s="11" t="s">
        <v>1683</v>
      </c>
      <c r="G533" s="11" t="s">
        <v>1684</v>
      </c>
      <c r="H533" s="11" t="s">
        <v>1685</v>
      </c>
      <c r="I533" s="11" t="s">
        <v>79</v>
      </c>
    </row>
    <row r="534" spans="1:9" x14ac:dyDescent="0.15">
      <c r="A534" s="10">
        <v>533</v>
      </c>
      <c r="B534" s="11" t="s">
        <v>9</v>
      </c>
      <c r="C534" s="11" t="s">
        <v>179</v>
      </c>
      <c r="D534" s="11" t="s">
        <v>180</v>
      </c>
      <c r="E534" s="9" t="str">
        <f>+HYPERLINK("http://trademark.i-assist.jp/data/china/image_1908th/79705614.pdf", "79705614")</f>
        <v>79705614</v>
      </c>
      <c r="F534" s="11" t="s">
        <v>1686</v>
      </c>
      <c r="G534" s="11" t="s">
        <v>1687</v>
      </c>
      <c r="H534" s="11" t="s">
        <v>1688</v>
      </c>
      <c r="I534" s="11" t="s">
        <v>79</v>
      </c>
    </row>
    <row r="535" spans="1:9" x14ac:dyDescent="0.15">
      <c r="A535" s="10">
        <v>534</v>
      </c>
      <c r="B535" s="11" t="s">
        <v>9</v>
      </c>
      <c r="C535" s="11" t="s">
        <v>179</v>
      </c>
      <c r="D535" s="11" t="s">
        <v>180</v>
      </c>
      <c r="E535" s="9" t="str">
        <f>+HYPERLINK("http://trademark.i-assist.jp/data/china/image_1908th/79707083.pdf", "79707083")</f>
        <v>79707083</v>
      </c>
      <c r="F535" s="11" t="s">
        <v>1689</v>
      </c>
      <c r="G535" s="11" t="s">
        <v>1690</v>
      </c>
      <c r="H535" s="11" t="s">
        <v>1691</v>
      </c>
      <c r="I535" s="11" t="s">
        <v>79</v>
      </c>
    </row>
    <row r="536" spans="1:9" x14ac:dyDescent="0.15">
      <c r="A536" s="10">
        <v>535</v>
      </c>
      <c r="B536" s="11" t="s">
        <v>9</v>
      </c>
      <c r="C536" s="11" t="s">
        <v>179</v>
      </c>
      <c r="D536" s="11" t="s">
        <v>180</v>
      </c>
      <c r="E536" s="9" t="str">
        <f>+HYPERLINK("http://trademark.i-assist.jp/data/china/image_1908th/79707105.pdf", "79707105")</f>
        <v>79707105</v>
      </c>
      <c r="F536" s="11" t="s">
        <v>1692</v>
      </c>
      <c r="G536" s="11" t="s">
        <v>1693</v>
      </c>
      <c r="H536" s="11" t="s">
        <v>1694</v>
      </c>
      <c r="I536" s="11" t="s">
        <v>79</v>
      </c>
    </row>
    <row r="537" spans="1:9" x14ac:dyDescent="0.15">
      <c r="A537" s="10">
        <v>536</v>
      </c>
      <c r="B537" s="11" t="s">
        <v>9</v>
      </c>
      <c r="C537" s="11" t="s">
        <v>179</v>
      </c>
      <c r="D537" s="11" t="s">
        <v>180</v>
      </c>
      <c r="E537" s="9" t="str">
        <f>+HYPERLINK("http://trademark.i-assist.jp/data/china/image_1908th/79708022.pdf", "79708022")</f>
        <v>79708022</v>
      </c>
      <c r="F537" s="11" t="s">
        <v>1695</v>
      </c>
      <c r="G537" s="11" t="s">
        <v>1696</v>
      </c>
      <c r="H537" s="11" t="s">
        <v>1697</v>
      </c>
      <c r="I537" s="11" t="s">
        <v>79</v>
      </c>
    </row>
    <row r="538" spans="1:9" x14ac:dyDescent="0.15">
      <c r="A538" s="10">
        <v>537</v>
      </c>
      <c r="B538" s="11" t="s">
        <v>9</v>
      </c>
      <c r="C538" s="11" t="s">
        <v>179</v>
      </c>
      <c r="D538" s="11" t="s">
        <v>180</v>
      </c>
      <c r="E538" s="9" t="str">
        <f>+HYPERLINK("http://trademark.i-assist.jp/data/china/image_1908th/79709810.pdf", "79709810")</f>
        <v>79709810</v>
      </c>
      <c r="F538" s="11" t="s">
        <v>1698</v>
      </c>
      <c r="G538" s="11" t="s">
        <v>1699</v>
      </c>
      <c r="H538" s="11" t="s">
        <v>1700</v>
      </c>
      <c r="I538" s="11" t="s">
        <v>79</v>
      </c>
    </row>
    <row r="539" spans="1:9" x14ac:dyDescent="0.15">
      <c r="A539" s="10">
        <v>538</v>
      </c>
      <c r="B539" s="11" t="s">
        <v>9</v>
      </c>
      <c r="C539" s="11" t="s">
        <v>179</v>
      </c>
      <c r="D539" s="11" t="s">
        <v>180</v>
      </c>
      <c r="E539" s="9" t="str">
        <f>+HYPERLINK("http://trademark.i-assist.jp/data/china/image_1908th/79711364.pdf", "79711364")</f>
        <v>79711364</v>
      </c>
      <c r="F539" s="11" t="s">
        <v>1701</v>
      </c>
      <c r="G539" s="11" t="s">
        <v>1702</v>
      </c>
      <c r="H539" s="11" t="s">
        <v>1703</v>
      </c>
      <c r="I539" s="11" t="s">
        <v>79</v>
      </c>
    </row>
    <row r="540" spans="1:9" x14ac:dyDescent="0.15">
      <c r="A540" s="10">
        <v>539</v>
      </c>
      <c r="B540" s="11" t="s">
        <v>9</v>
      </c>
      <c r="C540" s="11" t="s">
        <v>179</v>
      </c>
      <c r="D540" s="11" t="s">
        <v>180</v>
      </c>
      <c r="E540" s="9" t="str">
        <f>+HYPERLINK("http://trademark.i-assist.jp/data/china/image_1908th/79711370.pdf", "79711370")</f>
        <v>79711370</v>
      </c>
      <c r="F540" s="11" t="s">
        <v>1704</v>
      </c>
      <c r="G540" s="11" t="s">
        <v>1702</v>
      </c>
      <c r="H540" s="11" t="s">
        <v>1705</v>
      </c>
      <c r="I540" s="11" t="s">
        <v>79</v>
      </c>
    </row>
    <row r="541" spans="1:9" x14ac:dyDescent="0.15">
      <c r="A541" s="10">
        <v>540</v>
      </c>
      <c r="B541" s="11" t="s">
        <v>9</v>
      </c>
      <c r="C541" s="11" t="s">
        <v>179</v>
      </c>
      <c r="D541" s="11" t="s">
        <v>180</v>
      </c>
      <c r="E541" s="9" t="str">
        <f>+HYPERLINK("http://trademark.i-assist.jp/data/china/image_1908th/79712426.pdf", "79712426")</f>
        <v>79712426</v>
      </c>
      <c r="F541" s="11" t="s">
        <v>1706</v>
      </c>
      <c r="G541" s="11" t="s">
        <v>1707</v>
      </c>
      <c r="H541" s="11" t="s">
        <v>1708</v>
      </c>
      <c r="I541" s="11" t="s">
        <v>79</v>
      </c>
    </row>
    <row r="542" spans="1:9" x14ac:dyDescent="0.15">
      <c r="A542" s="10">
        <v>541</v>
      </c>
      <c r="B542" s="11" t="s">
        <v>9</v>
      </c>
      <c r="C542" s="11" t="s">
        <v>179</v>
      </c>
      <c r="D542" s="11" t="s">
        <v>180</v>
      </c>
      <c r="E542" s="9" t="str">
        <f>+HYPERLINK("http://trademark.i-assist.jp/data/china/image_1908th/79712794.pdf", "79712794")</f>
        <v>79712794</v>
      </c>
      <c r="F542" s="11" t="s">
        <v>1709</v>
      </c>
      <c r="G542" s="11" t="s">
        <v>80</v>
      </c>
      <c r="H542" s="11" t="s">
        <v>1710</v>
      </c>
      <c r="I542" s="11" t="s">
        <v>79</v>
      </c>
    </row>
    <row r="543" spans="1:9" x14ac:dyDescent="0.15">
      <c r="A543" s="10">
        <v>542</v>
      </c>
      <c r="B543" s="11" t="s">
        <v>9</v>
      </c>
      <c r="C543" s="11" t="s">
        <v>179</v>
      </c>
      <c r="D543" s="11" t="s">
        <v>180</v>
      </c>
      <c r="E543" s="9" t="str">
        <f>+HYPERLINK("http://trademark.i-assist.jp/data/china/image_1908th/79712802.pdf", "79712802")</f>
        <v>79712802</v>
      </c>
      <c r="F543" s="11" t="s">
        <v>1711</v>
      </c>
      <c r="G543" s="11" t="s">
        <v>80</v>
      </c>
      <c r="H543" s="11" t="s">
        <v>1712</v>
      </c>
      <c r="I543" s="11" t="s">
        <v>79</v>
      </c>
    </row>
    <row r="544" spans="1:9" x14ac:dyDescent="0.15">
      <c r="A544" s="10">
        <v>543</v>
      </c>
      <c r="B544" s="11" t="s">
        <v>9</v>
      </c>
      <c r="C544" s="11" t="s">
        <v>179</v>
      </c>
      <c r="D544" s="11" t="s">
        <v>180</v>
      </c>
      <c r="E544" s="9" t="str">
        <f>+HYPERLINK("http://trademark.i-assist.jp/data/china/image_1908th/79713173.pdf", "79713173")</f>
        <v>79713173</v>
      </c>
      <c r="F544" s="11" t="s">
        <v>1713</v>
      </c>
      <c r="G544" s="11" t="s">
        <v>1714</v>
      </c>
      <c r="H544" s="11" t="s">
        <v>220</v>
      </c>
      <c r="I544" s="11" t="s">
        <v>79</v>
      </c>
    </row>
    <row r="545" spans="1:9" x14ac:dyDescent="0.15">
      <c r="A545" s="10">
        <v>544</v>
      </c>
      <c r="B545" s="11" t="s">
        <v>9</v>
      </c>
      <c r="C545" s="11" t="s">
        <v>179</v>
      </c>
      <c r="D545" s="11" t="s">
        <v>180</v>
      </c>
      <c r="E545" s="9" t="str">
        <f>+HYPERLINK("http://trademark.i-assist.jp/data/china/image_1908th/79713825.pdf", "79713825")</f>
        <v>79713825</v>
      </c>
      <c r="F545" s="11" t="s">
        <v>1715</v>
      </c>
      <c r="G545" s="11" t="s">
        <v>1716</v>
      </c>
      <c r="H545" s="11" t="s">
        <v>1717</v>
      </c>
      <c r="I545" s="11" t="s">
        <v>79</v>
      </c>
    </row>
    <row r="546" spans="1:9" x14ac:dyDescent="0.15">
      <c r="A546" s="10">
        <v>545</v>
      </c>
      <c r="B546" s="11" t="s">
        <v>9</v>
      </c>
      <c r="C546" s="11" t="s">
        <v>179</v>
      </c>
      <c r="D546" s="11" t="s">
        <v>180</v>
      </c>
      <c r="E546" s="9" t="str">
        <f>+HYPERLINK("http://trademark.i-assist.jp/data/china/image_1908th/79714638.pdf", "79714638")</f>
        <v>79714638</v>
      </c>
      <c r="F546" s="11" t="s">
        <v>10</v>
      </c>
      <c r="G546" s="11" t="s">
        <v>1718</v>
      </c>
      <c r="H546" s="11" t="s">
        <v>1719</v>
      </c>
      <c r="I546" s="11" t="s">
        <v>79</v>
      </c>
    </row>
    <row r="547" spans="1:9" x14ac:dyDescent="0.15">
      <c r="A547" s="10">
        <v>546</v>
      </c>
      <c r="B547" s="11" t="s">
        <v>9</v>
      </c>
      <c r="C547" s="11" t="s">
        <v>179</v>
      </c>
      <c r="D547" s="11" t="s">
        <v>180</v>
      </c>
      <c r="E547" s="9" t="str">
        <f>+HYPERLINK("http://trademark.i-assist.jp/data/china/image_1908th/79714721.pdf", "79714721")</f>
        <v>79714721</v>
      </c>
      <c r="F547" s="11" t="s">
        <v>1720</v>
      </c>
      <c r="G547" s="11" t="s">
        <v>1721</v>
      </c>
      <c r="H547" s="11" t="s">
        <v>1722</v>
      </c>
      <c r="I547" s="11" t="s">
        <v>79</v>
      </c>
    </row>
    <row r="548" spans="1:9" x14ac:dyDescent="0.15">
      <c r="A548" s="10">
        <v>547</v>
      </c>
      <c r="B548" s="11" t="s">
        <v>9</v>
      </c>
      <c r="C548" s="11" t="s">
        <v>179</v>
      </c>
      <c r="D548" s="11" t="s">
        <v>180</v>
      </c>
      <c r="E548" s="9" t="str">
        <f>+HYPERLINK("http://trademark.i-assist.jp/data/china/image_1908th/79715081.pdf", "79715081")</f>
        <v>79715081</v>
      </c>
      <c r="F548" s="11" t="s">
        <v>1723</v>
      </c>
      <c r="G548" s="11" t="s">
        <v>1724</v>
      </c>
      <c r="H548" s="11" t="s">
        <v>1725</v>
      </c>
      <c r="I548" s="11" t="s">
        <v>79</v>
      </c>
    </row>
    <row r="549" spans="1:9" x14ac:dyDescent="0.15">
      <c r="A549" s="10">
        <v>548</v>
      </c>
      <c r="B549" s="11" t="s">
        <v>9</v>
      </c>
      <c r="C549" s="11" t="s">
        <v>179</v>
      </c>
      <c r="D549" s="11" t="s">
        <v>180</v>
      </c>
      <c r="E549" s="9" t="str">
        <f>+HYPERLINK("http://trademark.i-assist.jp/data/china/image_1908th/79716018.pdf", "79716018")</f>
        <v>79716018</v>
      </c>
      <c r="F549" s="11" t="s">
        <v>1726</v>
      </c>
      <c r="G549" s="11" t="s">
        <v>1727</v>
      </c>
      <c r="H549" s="11" t="s">
        <v>1728</v>
      </c>
      <c r="I549" s="11" t="s">
        <v>79</v>
      </c>
    </row>
    <row r="550" spans="1:9" x14ac:dyDescent="0.15">
      <c r="A550" s="10">
        <v>549</v>
      </c>
      <c r="B550" s="11" t="s">
        <v>9</v>
      </c>
      <c r="C550" s="11" t="s">
        <v>179</v>
      </c>
      <c r="D550" s="11" t="s">
        <v>180</v>
      </c>
      <c r="E550" s="9" t="str">
        <f>+HYPERLINK("http://trademark.i-assist.jp/data/china/image_1908th/79716432.pdf", "79716432")</f>
        <v>79716432</v>
      </c>
      <c r="F550" s="11" t="s">
        <v>1729</v>
      </c>
      <c r="G550" s="11" t="s">
        <v>1730</v>
      </c>
      <c r="H550" s="11" t="s">
        <v>1731</v>
      </c>
      <c r="I550" s="11" t="s">
        <v>79</v>
      </c>
    </row>
    <row r="551" spans="1:9" x14ac:dyDescent="0.15">
      <c r="A551" s="10">
        <v>550</v>
      </c>
      <c r="B551" s="11" t="s">
        <v>9</v>
      </c>
      <c r="C551" s="11" t="s">
        <v>179</v>
      </c>
      <c r="D551" s="11" t="s">
        <v>180</v>
      </c>
      <c r="E551" s="9" t="str">
        <f>+HYPERLINK("http://trademark.i-assist.jp/data/china/image_1908th/79718449.pdf", "79718449")</f>
        <v>79718449</v>
      </c>
      <c r="F551" s="11" t="s">
        <v>1732</v>
      </c>
      <c r="G551" s="11" t="s">
        <v>1733</v>
      </c>
      <c r="H551" s="11" t="s">
        <v>1734</v>
      </c>
      <c r="I551" s="11" t="s">
        <v>79</v>
      </c>
    </row>
    <row r="552" spans="1:9" x14ac:dyDescent="0.15">
      <c r="A552" s="10">
        <v>551</v>
      </c>
      <c r="B552" s="11" t="s">
        <v>9</v>
      </c>
      <c r="C552" s="11" t="s">
        <v>179</v>
      </c>
      <c r="D552" s="11" t="s">
        <v>180</v>
      </c>
      <c r="E552" s="9" t="str">
        <f>+HYPERLINK("http://trademark.i-assist.jp/data/china/image_1908th/79718465.pdf", "79718465")</f>
        <v>79718465</v>
      </c>
      <c r="F552" s="11" t="s">
        <v>1735</v>
      </c>
      <c r="G552" s="11" t="s">
        <v>1736</v>
      </c>
      <c r="H552" s="11" t="s">
        <v>1737</v>
      </c>
      <c r="I552" s="11" t="s">
        <v>79</v>
      </c>
    </row>
    <row r="553" spans="1:9" x14ac:dyDescent="0.15">
      <c r="A553" s="10">
        <v>552</v>
      </c>
      <c r="B553" s="11" t="s">
        <v>9</v>
      </c>
      <c r="C553" s="11" t="s">
        <v>179</v>
      </c>
      <c r="D553" s="11" t="s">
        <v>180</v>
      </c>
      <c r="E553" s="9" t="str">
        <f>+HYPERLINK("http://trademark.i-assist.jp/data/china/image_1908th/79719473.pdf", "79719473")</f>
        <v>79719473</v>
      </c>
      <c r="F553" s="11" t="s">
        <v>1738</v>
      </c>
      <c r="G553" s="11" t="s">
        <v>1739</v>
      </c>
      <c r="H553" s="11" t="s">
        <v>1740</v>
      </c>
      <c r="I553" s="11" t="s">
        <v>79</v>
      </c>
    </row>
    <row r="554" spans="1:9" x14ac:dyDescent="0.15">
      <c r="A554" s="10">
        <v>553</v>
      </c>
      <c r="B554" s="11" t="s">
        <v>9</v>
      </c>
      <c r="C554" s="11" t="s">
        <v>179</v>
      </c>
      <c r="D554" s="11" t="s">
        <v>180</v>
      </c>
      <c r="E554" s="9" t="str">
        <f>+HYPERLINK("http://trademark.i-assist.jp/data/china/image_1908th/79720541.pdf", "79720541")</f>
        <v>79720541</v>
      </c>
      <c r="F554" s="11" t="s">
        <v>1741</v>
      </c>
      <c r="G554" s="11" t="s">
        <v>1742</v>
      </c>
      <c r="H554" s="11" t="s">
        <v>1743</v>
      </c>
      <c r="I554" s="11" t="s">
        <v>79</v>
      </c>
    </row>
    <row r="555" spans="1:9" x14ac:dyDescent="0.15">
      <c r="A555" s="10">
        <v>554</v>
      </c>
      <c r="B555" s="11" t="s">
        <v>9</v>
      </c>
      <c r="C555" s="11" t="s">
        <v>179</v>
      </c>
      <c r="D555" s="11" t="s">
        <v>180</v>
      </c>
      <c r="E555" s="9" t="str">
        <f>+HYPERLINK("http://trademark.i-assist.jp/data/china/image_1908th/79721002.pdf", "79721002")</f>
        <v>79721002</v>
      </c>
      <c r="F555" s="11" t="s">
        <v>1744</v>
      </c>
      <c r="G555" s="11" t="s">
        <v>1745</v>
      </c>
      <c r="H555" s="11" t="s">
        <v>1746</v>
      </c>
      <c r="I555" s="11" t="s">
        <v>79</v>
      </c>
    </row>
    <row r="556" spans="1:9" x14ac:dyDescent="0.15">
      <c r="A556" s="10">
        <v>555</v>
      </c>
      <c r="B556" s="11" t="s">
        <v>9</v>
      </c>
      <c r="C556" s="11" t="s">
        <v>179</v>
      </c>
      <c r="D556" s="11" t="s">
        <v>180</v>
      </c>
      <c r="E556" s="9" t="str">
        <f>+HYPERLINK("http://trademark.i-assist.jp/data/china/image_1908th/79721089.pdf", "79721089")</f>
        <v>79721089</v>
      </c>
      <c r="F556" s="11" t="s">
        <v>1747</v>
      </c>
      <c r="G556" s="11" t="s">
        <v>1748</v>
      </c>
      <c r="H556" s="11" t="s">
        <v>1749</v>
      </c>
      <c r="I556" s="11" t="s">
        <v>79</v>
      </c>
    </row>
    <row r="557" spans="1:9" x14ac:dyDescent="0.15">
      <c r="A557" s="10">
        <v>556</v>
      </c>
      <c r="B557" s="11" t="s">
        <v>9</v>
      </c>
      <c r="C557" s="11" t="s">
        <v>179</v>
      </c>
      <c r="D557" s="11" t="s">
        <v>180</v>
      </c>
      <c r="E557" s="9" t="str">
        <f>+HYPERLINK("http://trademark.i-assist.jp/data/china/image_1908th/79722248.pdf", "79722248")</f>
        <v>79722248</v>
      </c>
      <c r="F557" s="11" t="s">
        <v>1750</v>
      </c>
      <c r="G557" s="11" t="s">
        <v>1751</v>
      </c>
      <c r="H557" s="11" t="s">
        <v>1752</v>
      </c>
      <c r="I557" s="11" t="s">
        <v>79</v>
      </c>
    </row>
    <row r="558" spans="1:9" x14ac:dyDescent="0.15">
      <c r="A558" s="10">
        <v>557</v>
      </c>
      <c r="B558" s="11" t="s">
        <v>9</v>
      </c>
      <c r="C558" s="11" t="s">
        <v>179</v>
      </c>
      <c r="D558" s="11" t="s">
        <v>180</v>
      </c>
      <c r="E558" s="9" t="str">
        <f>+HYPERLINK("http://trademark.i-assist.jp/data/china/image_1908th/79722290.pdf", "79722290")</f>
        <v>79722290</v>
      </c>
      <c r="F558" s="11" t="s">
        <v>1753</v>
      </c>
      <c r="G558" s="11" t="s">
        <v>1754</v>
      </c>
      <c r="H558" s="11" t="s">
        <v>1755</v>
      </c>
      <c r="I558" s="11" t="s">
        <v>79</v>
      </c>
    </row>
    <row r="559" spans="1:9" x14ac:dyDescent="0.15">
      <c r="A559" s="10">
        <v>558</v>
      </c>
      <c r="B559" s="11" t="s">
        <v>9</v>
      </c>
      <c r="C559" s="11" t="s">
        <v>179</v>
      </c>
      <c r="D559" s="11" t="s">
        <v>180</v>
      </c>
      <c r="E559" s="9" t="str">
        <f>+HYPERLINK("http://trademark.i-assist.jp/data/china/image_1908th/79722316.pdf", "79722316")</f>
        <v>79722316</v>
      </c>
      <c r="F559" s="11" t="s">
        <v>1756</v>
      </c>
      <c r="G559" s="11" t="s">
        <v>1690</v>
      </c>
      <c r="H559" s="11" t="s">
        <v>1757</v>
      </c>
      <c r="I559" s="11" t="s">
        <v>79</v>
      </c>
    </row>
    <row r="560" spans="1:9" x14ac:dyDescent="0.15">
      <c r="A560" s="10">
        <v>559</v>
      </c>
      <c r="B560" s="11" t="s">
        <v>9</v>
      </c>
      <c r="C560" s="11" t="s">
        <v>179</v>
      </c>
      <c r="D560" s="11" t="s">
        <v>180</v>
      </c>
      <c r="E560" s="9" t="str">
        <f>+HYPERLINK("http://trademark.i-assist.jp/data/china/image_1908th/79723245.pdf", "79723245")</f>
        <v>79723245</v>
      </c>
      <c r="F560" s="11" t="s">
        <v>1758</v>
      </c>
      <c r="G560" s="11" t="s">
        <v>1759</v>
      </c>
      <c r="H560" s="11" t="s">
        <v>1760</v>
      </c>
      <c r="I560" s="11" t="s">
        <v>79</v>
      </c>
    </row>
    <row r="561" spans="1:9" x14ac:dyDescent="0.15">
      <c r="A561" s="10">
        <v>560</v>
      </c>
      <c r="B561" s="11" t="s">
        <v>9</v>
      </c>
      <c r="C561" s="11" t="s">
        <v>179</v>
      </c>
      <c r="D561" s="11" t="s">
        <v>180</v>
      </c>
      <c r="E561" s="9" t="str">
        <f>+HYPERLINK("http://trademark.i-assist.jp/data/china/image_1908th/79724013.pdf", "79724013")</f>
        <v>79724013</v>
      </c>
      <c r="F561" s="11" t="s">
        <v>1761</v>
      </c>
      <c r="G561" s="11" t="s">
        <v>1739</v>
      </c>
      <c r="H561" s="11" t="s">
        <v>1762</v>
      </c>
      <c r="I561" s="11" t="s">
        <v>79</v>
      </c>
    </row>
    <row r="562" spans="1:9" x14ac:dyDescent="0.15">
      <c r="A562" s="10">
        <v>561</v>
      </c>
      <c r="B562" s="11" t="s">
        <v>9</v>
      </c>
      <c r="C562" s="11" t="s">
        <v>179</v>
      </c>
      <c r="D562" s="11" t="s">
        <v>180</v>
      </c>
      <c r="E562" s="9" t="str">
        <f>+HYPERLINK("http://trademark.i-assist.jp/data/china/image_1908th/79724052.pdf", "79724052")</f>
        <v>79724052</v>
      </c>
      <c r="F562" s="11" t="s">
        <v>1763</v>
      </c>
      <c r="G562" s="11" t="s">
        <v>1764</v>
      </c>
      <c r="H562" s="11" t="s">
        <v>1765</v>
      </c>
      <c r="I562" s="11" t="s">
        <v>79</v>
      </c>
    </row>
    <row r="563" spans="1:9" x14ac:dyDescent="0.15">
      <c r="A563" s="10">
        <v>562</v>
      </c>
      <c r="B563" s="11" t="s">
        <v>9</v>
      </c>
      <c r="C563" s="11" t="s">
        <v>179</v>
      </c>
      <c r="D563" s="11" t="s">
        <v>180</v>
      </c>
      <c r="E563" s="9" t="str">
        <f>+HYPERLINK("http://trademark.i-assist.jp/data/china/image_1908th/79726185.pdf", "79726185")</f>
        <v>79726185</v>
      </c>
      <c r="F563" s="11" t="s">
        <v>1766</v>
      </c>
      <c r="G563" s="11" t="s">
        <v>1767</v>
      </c>
      <c r="H563" s="11" t="s">
        <v>1768</v>
      </c>
      <c r="I563" s="11" t="s">
        <v>79</v>
      </c>
    </row>
    <row r="564" spans="1:9" x14ac:dyDescent="0.15">
      <c r="A564" s="10">
        <v>563</v>
      </c>
      <c r="B564" s="11" t="s">
        <v>9</v>
      </c>
      <c r="C564" s="11" t="s">
        <v>179</v>
      </c>
      <c r="D564" s="11" t="s">
        <v>180</v>
      </c>
      <c r="E564" s="9" t="str">
        <f>+HYPERLINK("http://trademark.i-assist.jp/data/china/image_1908th/79727548.pdf", "79727548")</f>
        <v>79727548</v>
      </c>
      <c r="F564" s="11" t="s">
        <v>1769</v>
      </c>
      <c r="G564" s="11" t="s">
        <v>1770</v>
      </c>
      <c r="H564" s="11" t="s">
        <v>1771</v>
      </c>
      <c r="I564" s="11" t="s">
        <v>79</v>
      </c>
    </row>
    <row r="565" spans="1:9" x14ac:dyDescent="0.15">
      <c r="A565" s="10">
        <v>564</v>
      </c>
      <c r="B565" s="11" t="s">
        <v>9</v>
      </c>
      <c r="C565" s="11" t="s">
        <v>179</v>
      </c>
      <c r="D565" s="11" t="s">
        <v>180</v>
      </c>
      <c r="E565" s="9" t="str">
        <f>+HYPERLINK("http://trademark.i-assist.jp/data/china/image_1908th/79728594.pdf", "79728594")</f>
        <v>79728594</v>
      </c>
      <c r="F565" s="11" t="s">
        <v>1772</v>
      </c>
      <c r="G565" s="11" t="s">
        <v>1773</v>
      </c>
      <c r="H565" s="11" t="s">
        <v>1774</v>
      </c>
      <c r="I565" s="11" t="s">
        <v>81</v>
      </c>
    </row>
    <row r="566" spans="1:9" x14ac:dyDescent="0.15">
      <c r="A566" s="10">
        <v>565</v>
      </c>
      <c r="B566" s="11" t="s">
        <v>9</v>
      </c>
      <c r="C566" s="11" t="s">
        <v>179</v>
      </c>
      <c r="D566" s="11" t="s">
        <v>180</v>
      </c>
      <c r="E566" s="9" t="str">
        <f>+HYPERLINK("http://trademark.i-assist.jp/data/china/image_1908th/79728691.pdf", "79728691")</f>
        <v>79728691</v>
      </c>
      <c r="F566" s="11" t="s">
        <v>1775</v>
      </c>
      <c r="G566" s="11" t="s">
        <v>1776</v>
      </c>
      <c r="H566" s="11" t="s">
        <v>1777</v>
      </c>
      <c r="I566" s="11" t="s">
        <v>81</v>
      </c>
    </row>
    <row r="567" spans="1:9" x14ac:dyDescent="0.15">
      <c r="A567" s="10">
        <v>566</v>
      </c>
      <c r="B567" s="11" t="s">
        <v>9</v>
      </c>
      <c r="C567" s="11" t="s">
        <v>179</v>
      </c>
      <c r="D567" s="11" t="s">
        <v>180</v>
      </c>
      <c r="E567" s="9" t="str">
        <f>+HYPERLINK("http://trademark.i-assist.jp/data/china/image_1908th/79729774.pdf", "79729774")</f>
        <v>79729774</v>
      </c>
      <c r="F567" s="11" t="s">
        <v>1778</v>
      </c>
      <c r="G567" s="11" t="s">
        <v>130</v>
      </c>
      <c r="H567" s="11" t="s">
        <v>1779</v>
      </c>
      <c r="I567" s="11" t="s">
        <v>81</v>
      </c>
    </row>
    <row r="568" spans="1:9" x14ac:dyDescent="0.15">
      <c r="A568" s="10">
        <v>567</v>
      </c>
      <c r="B568" s="11" t="s">
        <v>9</v>
      </c>
      <c r="C568" s="11" t="s">
        <v>179</v>
      </c>
      <c r="D568" s="11" t="s">
        <v>180</v>
      </c>
      <c r="E568" s="9" t="str">
        <f>+HYPERLINK("http://trademark.i-assist.jp/data/china/image_1908th/79729787.pdf", "79729787")</f>
        <v>79729787</v>
      </c>
      <c r="F568" s="11" t="s">
        <v>10</v>
      </c>
      <c r="G568" s="11" t="s">
        <v>1780</v>
      </c>
      <c r="H568" s="11" t="s">
        <v>1781</v>
      </c>
      <c r="I568" s="11" t="s">
        <v>81</v>
      </c>
    </row>
    <row r="569" spans="1:9" x14ac:dyDescent="0.15">
      <c r="A569" s="10">
        <v>568</v>
      </c>
      <c r="B569" s="11" t="s">
        <v>9</v>
      </c>
      <c r="C569" s="11" t="s">
        <v>179</v>
      </c>
      <c r="D569" s="11" t="s">
        <v>180</v>
      </c>
      <c r="E569" s="9" t="str">
        <f>+HYPERLINK("http://trademark.i-assist.jp/data/china/image_1908th/79729921.pdf", "79729921")</f>
        <v>79729921</v>
      </c>
      <c r="F569" s="11" t="s">
        <v>1782</v>
      </c>
      <c r="G569" s="11" t="s">
        <v>1783</v>
      </c>
      <c r="H569" s="11" t="s">
        <v>1784</v>
      </c>
      <c r="I569" s="11" t="s">
        <v>81</v>
      </c>
    </row>
    <row r="570" spans="1:9" x14ac:dyDescent="0.15">
      <c r="A570" s="10">
        <v>569</v>
      </c>
      <c r="B570" s="11" t="s">
        <v>9</v>
      </c>
      <c r="C570" s="11" t="s">
        <v>179</v>
      </c>
      <c r="D570" s="11" t="s">
        <v>180</v>
      </c>
      <c r="E570" s="9" t="str">
        <f>+HYPERLINK("http://trademark.i-assist.jp/data/china/image_1908th/79730026.pdf", "79730026")</f>
        <v>79730026</v>
      </c>
      <c r="F570" s="11" t="s">
        <v>1785</v>
      </c>
      <c r="G570" s="11" t="s">
        <v>1786</v>
      </c>
      <c r="H570" s="11" t="s">
        <v>1787</v>
      </c>
      <c r="I570" s="11" t="s">
        <v>81</v>
      </c>
    </row>
    <row r="571" spans="1:9" x14ac:dyDescent="0.15">
      <c r="A571" s="10">
        <v>570</v>
      </c>
      <c r="B571" s="11" t="s">
        <v>9</v>
      </c>
      <c r="C571" s="11" t="s">
        <v>179</v>
      </c>
      <c r="D571" s="11" t="s">
        <v>180</v>
      </c>
      <c r="E571" s="9" t="str">
        <f>+HYPERLINK("http://trademark.i-assist.jp/data/china/image_1908th/79730289.pdf", "79730289")</f>
        <v>79730289</v>
      </c>
      <c r="F571" s="11" t="s">
        <v>1788</v>
      </c>
      <c r="G571" s="11" t="s">
        <v>1789</v>
      </c>
      <c r="H571" s="11" t="s">
        <v>1790</v>
      </c>
      <c r="I571" s="11" t="s">
        <v>81</v>
      </c>
    </row>
    <row r="572" spans="1:9" x14ac:dyDescent="0.15">
      <c r="A572" s="10">
        <v>571</v>
      </c>
      <c r="B572" s="11" t="s">
        <v>9</v>
      </c>
      <c r="C572" s="11" t="s">
        <v>179</v>
      </c>
      <c r="D572" s="11" t="s">
        <v>180</v>
      </c>
      <c r="E572" s="9" t="str">
        <f>+HYPERLINK("http://trademark.i-assist.jp/data/china/image_1908th/79730539.pdf", "79730539")</f>
        <v>79730539</v>
      </c>
      <c r="F572" s="11" t="s">
        <v>1791</v>
      </c>
      <c r="G572" s="11" t="s">
        <v>1792</v>
      </c>
      <c r="H572" s="11" t="s">
        <v>1793</v>
      </c>
      <c r="I572" s="11" t="s">
        <v>81</v>
      </c>
    </row>
    <row r="573" spans="1:9" x14ac:dyDescent="0.15">
      <c r="A573" s="10">
        <v>572</v>
      </c>
      <c r="B573" s="11" t="s">
        <v>9</v>
      </c>
      <c r="C573" s="11" t="s">
        <v>179</v>
      </c>
      <c r="D573" s="11" t="s">
        <v>180</v>
      </c>
      <c r="E573" s="9" t="str">
        <f>+HYPERLINK("http://trademark.i-assist.jp/data/china/image_1908th/79730648.pdf", "79730648")</f>
        <v>79730648</v>
      </c>
      <c r="F573" s="11" t="s">
        <v>1794</v>
      </c>
      <c r="G573" s="11" t="s">
        <v>1795</v>
      </c>
      <c r="H573" s="11" t="s">
        <v>1796</v>
      </c>
      <c r="I573" s="11" t="s">
        <v>81</v>
      </c>
    </row>
    <row r="574" spans="1:9" x14ac:dyDescent="0.15">
      <c r="A574" s="10">
        <v>573</v>
      </c>
      <c r="B574" s="11" t="s">
        <v>9</v>
      </c>
      <c r="C574" s="11" t="s">
        <v>179</v>
      </c>
      <c r="D574" s="11" t="s">
        <v>180</v>
      </c>
      <c r="E574" s="9" t="str">
        <f>+HYPERLINK("http://trademark.i-assist.jp/data/china/image_1908th/79731232.pdf", "79731232")</f>
        <v>79731232</v>
      </c>
      <c r="F574" s="11" t="s">
        <v>1797</v>
      </c>
      <c r="G574" s="11" t="s">
        <v>1792</v>
      </c>
      <c r="H574" s="11" t="s">
        <v>1798</v>
      </c>
      <c r="I574" s="11" t="s">
        <v>81</v>
      </c>
    </row>
    <row r="575" spans="1:9" x14ac:dyDescent="0.15">
      <c r="A575" s="10">
        <v>574</v>
      </c>
      <c r="B575" s="11" t="s">
        <v>9</v>
      </c>
      <c r="C575" s="11" t="s">
        <v>179</v>
      </c>
      <c r="D575" s="11" t="s">
        <v>180</v>
      </c>
      <c r="E575" s="9" t="str">
        <f>+HYPERLINK("http://trademark.i-assist.jp/data/china/image_1908th/79731257.pdf", "79731257")</f>
        <v>79731257</v>
      </c>
      <c r="F575" s="11" t="s">
        <v>1799</v>
      </c>
      <c r="G575" s="11" t="s">
        <v>1792</v>
      </c>
      <c r="H575" s="11" t="s">
        <v>1800</v>
      </c>
      <c r="I575" s="11" t="s">
        <v>81</v>
      </c>
    </row>
    <row r="576" spans="1:9" x14ac:dyDescent="0.15">
      <c r="A576" s="10">
        <v>575</v>
      </c>
      <c r="B576" s="11" t="s">
        <v>9</v>
      </c>
      <c r="C576" s="11" t="s">
        <v>179</v>
      </c>
      <c r="D576" s="11" t="s">
        <v>180</v>
      </c>
      <c r="E576" s="9" t="str">
        <f>+HYPERLINK("http://trademark.i-assist.jp/data/china/image_1908th/79731543.pdf", "79731543")</f>
        <v>79731543</v>
      </c>
      <c r="F576" s="11" t="s">
        <v>1801</v>
      </c>
      <c r="G576" s="11" t="s">
        <v>1802</v>
      </c>
      <c r="H576" s="11" t="s">
        <v>1803</v>
      </c>
      <c r="I576" s="11" t="s">
        <v>81</v>
      </c>
    </row>
    <row r="577" spans="1:9" x14ac:dyDescent="0.15">
      <c r="A577" s="10">
        <v>576</v>
      </c>
      <c r="B577" s="11" t="s">
        <v>9</v>
      </c>
      <c r="C577" s="11" t="s">
        <v>179</v>
      </c>
      <c r="D577" s="11" t="s">
        <v>180</v>
      </c>
      <c r="E577" s="9" t="str">
        <f>+HYPERLINK("http://trademark.i-assist.jp/data/china/image_1908th/79731632.pdf", "79731632")</f>
        <v>79731632</v>
      </c>
      <c r="F577" s="11" t="s">
        <v>1804</v>
      </c>
      <c r="G577" s="11" t="s">
        <v>1805</v>
      </c>
      <c r="H577" s="11" t="s">
        <v>1806</v>
      </c>
      <c r="I577" s="11" t="s">
        <v>81</v>
      </c>
    </row>
    <row r="578" spans="1:9" x14ac:dyDescent="0.15">
      <c r="A578" s="10">
        <v>577</v>
      </c>
      <c r="B578" s="11" t="s">
        <v>9</v>
      </c>
      <c r="C578" s="11" t="s">
        <v>179</v>
      </c>
      <c r="D578" s="11" t="s">
        <v>180</v>
      </c>
      <c r="E578" s="9" t="str">
        <f>+HYPERLINK("http://trademark.i-assist.jp/data/china/image_1908th/79732136.pdf", "79732136")</f>
        <v>79732136</v>
      </c>
      <c r="F578" s="11" t="s">
        <v>1807</v>
      </c>
      <c r="G578" s="11" t="s">
        <v>1808</v>
      </c>
      <c r="H578" s="11" t="s">
        <v>1809</v>
      </c>
      <c r="I578" s="11" t="s">
        <v>81</v>
      </c>
    </row>
    <row r="579" spans="1:9" x14ac:dyDescent="0.15">
      <c r="A579" s="10">
        <v>578</v>
      </c>
      <c r="B579" s="11" t="s">
        <v>9</v>
      </c>
      <c r="C579" s="11" t="s">
        <v>179</v>
      </c>
      <c r="D579" s="11" t="s">
        <v>180</v>
      </c>
      <c r="E579" s="9" t="str">
        <f>+HYPERLINK("http://trademark.i-assist.jp/data/china/image_1908th/79733216.pdf", "79733216")</f>
        <v>79733216</v>
      </c>
      <c r="F579" s="11" t="s">
        <v>1810</v>
      </c>
      <c r="G579" s="11" t="s">
        <v>1811</v>
      </c>
      <c r="H579" s="11" t="s">
        <v>1812</v>
      </c>
      <c r="I579" s="11" t="s">
        <v>81</v>
      </c>
    </row>
    <row r="580" spans="1:9" x14ac:dyDescent="0.15">
      <c r="A580" s="10">
        <v>579</v>
      </c>
      <c r="B580" s="11" t="s">
        <v>9</v>
      </c>
      <c r="C580" s="11" t="s">
        <v>179</v>
      </c>
      <c r="D580" s="11" t="s">
        <v>180</v>
      </c>
      <c r="E580" s="9" t="str">
        <f>+HYPERLINK("http://trademark.i-assist.jp/data/china/image_1908th/79733775.pdf", "79733775")</f>
        <v>79733775</v>
      </c>
      <c r="F580" s="11" t="s">
        <v>1813</v>
      </c>
      <c r="G580" s="11" t="s">
        <v>1802</v>
      </c>
      <c r="H580" s="11" t="s">
        <v>1814</v>
      </c>
      <c r="I580" s="11" t="s">
        <v>81</v>
      </c>
    </row>
    <row r="581" spans="1:9" x14ac:dyDescent="0.15">
      <c r="A581" s="10">
        <v>580</v>
      </c>
      <c r="B581" s="11" t="s">
        <v>9</v>
      </c>
      <c r="C581" s="11" t="s">
        <v>179</v>
      </c>
      <c r="D581" s="11" t="s">
        <v>180</v>
      </c>
      <c r="E581" s="9" t="str">
        <f>+HYPERLINK("http://trademark.i-assist.jp/data/china/image_1908th/79733898.pdf", "79733898")</f>
        <v>79733898</v>
      </c>
      <c r="F581" s="11" t="s">
        <v>1815</v>
      </c>
      <c r="G581" s="11" t="s">
        <v>1816</v>
      </c>
      <c r="H581" s="11" t="s">
        <v>1817</v>
      </c>
      <c r="I581" s="11" t="s">
        <v>81</v>
      </c>
    </row>
    <row r="582" spans="1:9" x14ac:dyDescent="0.15">
      <c r="A582" s="10">
        <v>581</v>
      </c>
      <c r="B582" s="11" t="s">
        <v>9</v>
      </c>
      <c r="C582" s="11" t="s">
        <v>179</v>
      </c>
      <c r="D582" s="11" t="s">
        <v>180</v>
      </c>
      <c r="E582" s="9" t="str">
        <f>+HYPERLINK("http://trademark.i-assist.jp/data/china/image_1908th/79734216.pdf", "79734216")</f>
        <v>79734216</v>
      </c>
      <c r="F582" s="11" t="s">
        <v>1818</v>
      </c>
      <c r="G582" s="11" t="s">
        <v>1792</v>
      </c>
      <c r="H582" s="11" t="s">
        <v>1819</v>
      </c>
      <c r="I582" s="11" t="s">
        <v>81</v>
      </c>
    </row>
    <row r="583" spans="1:9" x14ac:dyDescent="0.15">
      <c r="A583" s="10">
        <v>582</v>
      </c>
      <c r="B583" s="11" t="s">
        <v>9</v>
      </c>
      <c r="C583" s="11" t="s">
        <v>179</v>
      </c>
      <c r="D583" s="11" t="s">
        <v>180</v>
      </c>
      <c r="E583" s="9" t="str">
        <f>+HYPERLINK("http://trademark.i-assist.jp/data/china/image_1908th/79734465.pdf", "79734465")</f>
        <v>79734465</v>
      </c>
      <c r="F583" s="11" t="s">
        <v>1820</v>
      </c>
      <c r="G583" s="11" t="s">
        <v>1802</v>
      </c>
      <c r="H583" s="11" t="s">
        <v>1821</v>
      </c>
      <c r="I583" s="11" t="s">
        <v>81</v>
      </c>
    </row>
    <row r="584" spans="1:9" x14ac:dyDescent="0.15">
      <c r="A584" s="10">
        <v>583</v>
      </c>
      <c r="B584" s="11" t="s">
        <v>9</v>
      </c>
      <c r="C584" s="11" t="s">
        <v>179</v>
      </c>
      <c r="D584" s="11" t="s">
        <v>180</v>
      </c>
      <c r="E584" s="9" t="str">
        <f>+HYPERLINK("http://trademark.i-assist.jp/data/china/image_1908th/79734806.pdf", "79734806")</f>
        <v>79734806</v>
      </c>
      <c r="F584" s="11" t="s">
        <v>10</v>
      </c>
      <c r="G584" s="11" t="s">
        <v>1822</v>
      </c>
      <c r="H584" s="11" t="s">
        <v>1823</v>
      </c>
      <c r="I584" s="11" t="s">
        <v>81</v>
      </c>
    </row>
    <row r="585" spans="1:9" x14ac:dyDescent="0.15">
      <c r="A585" s="10">
        <v>584</v>
      </c>
      <c r="B585" s="11" t="s">
        <v>9</v>
      </c>
      <c r="C585" s="11" t="s">
        <v>179</v>
      </c>
      <c r="D585" s="11" t="s">
        <v>180</v>
      </c>
      <c r="E585" s="9" t="str">
        <f>+HYPERLINK("http://trademark.i-assist.jp/data/china/image_1908th/79735669.pdf", "79735669")</f>
        <v>79735669</v>
      </c>
      <c r="F585" s="11" t="s">
        <v>1824</v>
      </c>
      <c r="G585" s="11" t="s">
        <v>1825</v>
      </c>
      <c r="H585" s="11" t="s">
        <v>1826</v>
      </c>
      <c r="I585" s="11" t="s">
        <v>81</v>
      </c>
    </row>
    <row r="586" spans="1:9" x14ac:dyDescent="0.15">
      <c r="A586" s="10">
        <v>585</v>
      </c>
      <c r="B586" s="11" t="s">
        <v>9</v>
      </c>
      <c r="C586" s="11" t="s">
        <v>179</v>
      </c>
      <c r="D586" s="11" t="s">
        <v>180</v>
      </c>
      <c r="E586" s="9" t="str">
        <f>+HYPERLINK("http://trademark.i-assist.jp/data/china/image_1908th/79735947.pdf", "79735947")</f>
        <v>79735947</v>
      </c>
      <c r="F586" s="11" t="s">
        <v>1782</v>
      </c>
      <c r="G586" s="11" t="s">
        <v>1783</v>
      </c>
      <c r="H586" s="11" t="s">
        <v>1827</v>
      </c>
      <c r="I586" s="11" t="s">
        <v>81</v>
      </c>
    </row>
    <row r="587" spans="1:9" x14ac:dyDescent="0.15">
      <c r="A587" s="10">
        <v>586</v>
      </c>
      <c r="B587" s="11" t="s">
        <v>9</v>
      </c>
      <c r="C587" s="11" t="s">
        <v>179</v>
      </c>
      <c r="D587" s="11" t="s">
        <v>180</v>
      </c>
      <c r="E587" s="9" t="str">
        <f>+HYPERLINK("http://trademark.i-assist.jp/data/china/image_1908th/79736212.pdf", "79736212")</f>
        <v>79736212</v>
      </c>
      <c r="F587" s="11" t="s">
        <v>1828</v>
      </c>
      <c r="G587" s="11" t="s">
        <v>1829</v>
      </c>
      <c r="H587" s="11" t="s">
        <v>1830</v>
      </c>
      <c r="I587" s="11" t="s">
        <v>81</v>
      </c>
    </row>
    <row r="588" spans="1:9" x14ac:dyDescent="0.15">
      <c r="A588" s="10">
        <v>587</v>
      </c>
      <c r="B588" s="11" t="s">
        <v>9</v>
      </c>
      <c r="C588" s="11" t="s">
        <v>179</v>
      </c>
      <c r="D588" s="11" t="s">
        <v>180</v>
      </c>
      <c r="E588" s="9" t="str">
        <f>+HYPERLINK("http://trademark.i-assist.jp/data/china/image_1908th/79736767.pdf", "79736767")</f>
        <v>79736767</v>
      </c>
      <c r="F588" s="11" t="s">
        <v>1831</v>
      </c>
      <c r="G588" s="11" t="s">
        <v>1832</v>
      </c>
      <c r="H588" s="11" t="s">
        <v>1833</v>
      </c>
      <c r="I588" s="11" t="s">
        <v>81</v>
      </c>
    </row>
    <row r="589" spans="1:9" x14ac:dyDescent="0.15">
      <c r="A589" s="10">
        <v>588</v>
      </c>
      <c r="B589" s="11" t="s">
        <v>9</v>
      </c>
      <c r="C589" s="11" t="s">
        <v>179</v>
      </c>
      <c r="D589" s="11" t="s">
        <v>180</v>
      </c>
      <c r="E589" s="9" t="str">
        <f>+HYPERLINK("http://trademark.i-assist.jp/data/china/image_1908th/79736858.pdf", "79736858")</f>
        <v>79736858</v>
      </c>
      <c r="F589" s="11" t="s">
        <v>1834</v>
      </c>
      <c r="G589" s="11" t="s">
        <v>1835</v>
      </c>
      <c r="H589" s="11" t="s">
        <v>1836</v>
      </c>
      <c r="I589" s="11" t="s">
        <v>81</v>
      </c>
    </row>
    <row r="590" spans="1:9" x14ac:dyDescent="0.15">
      <c r="A590" s="10">
        <v>589</v>
      </c>
      <c r="B590" s="11" t="s">
        <v>9</v>
      </c>
      <c r="C590" s="11" t="s">
        <v>179</v>
      </c>
      <c r="D590" s="11" t="s">
        <v>180</v>
      </c>
      <c r="E590" s="9" t="str">
        <f>+HYPERLINK("http://trademark.i-assist.jp/data/china/image_1908th/79736884.pdf", "79736884")</f>
        <v>79736884</v>
      </c>
      <c r="F590" s="11" t="s">
        <v>1837</v>
      </c>
      <c r="G590" s="11" t="s">
        <v>1650</v>
      </c>
      <c r="H590" s="11" t="s">
        <v>1838</v>
      </c>
      <c r="I590" s="11" t="s">
        <v>81</v>
      </c>
    </row>
    <row r="591" spans="1:9" x14ac:dyDescent="0.15">
      <c r="A591" s="10">
        <v>590</v>
      </c>
      <c r="B591" s="11" t="s">
        <v>9</v>
      </c>
      <c r="C591" s="11" t="s">
        <v>179</v>
      </c>
      <c r="D591" s="11" t="s">
        <v>180</v>
      </c>
      <c r="E591" s="9" t="str">
        <f>+HYPERLINK("http://trademark.i-assist.jp/data/china/image_1908th/79736998.pdf", "79736998")</f>
        <v>79736998</v>
      </c>
      <c r="F591" s="11" t="s">
        <v>1839</v>
      </c>
      <c r="G591" s="11" t="s">
        <v>1840</v>
      </c>
      <c r="H591" s="11" t="s">
        <v>1841</v>
      </c>
      <c r="I591" s="11" t="s">
        <v>81</v>
      </c>
    </row>
    <row r="592" spans="1:9" x14ac:dyDescent="0.15">
      <c r="A592" s="10">
        <v>591</v>
      </c>
      <c r="B592" s="11" t="s">
        <v>9</v>
      </c>
      <c r="C592" s="11" t="s">
        <v>179</v>
      </c>
      <c r="D592" s="11" t="s">
        <v>180</v>
      </c>
      <c r="E592" s="9" t="str">
        <f>+HYPERLINK("http://trademark.i-assist.jp/data/china/image_1908th/79737430.pdf", "79737430")</f>
        <v>79737430</v>
      </c>
      <c r="F592" s="11" t="s">
        <v>1842</v>
      </c>
      <c r="G592" s="11" t="s">
        <v>1843</v>
      </c>
      <c r="H592" s="11" t="s">
        <v>1844</v>
      </c>
      <c r="I592" s="11" t="s">
        <v>81</v>
      </c>
    </row>
    <row r="593" spans="1:9" x14ac:dyDescent="0.15">
      <c r="A593" s="10">
        <v>592</v>
      </c>
      <c r="B593" s="11" t="s">
        <v>9</v>
      </c>
      <c r="C593" s="11" t="s">
        <v>179</v>
      </c>
      <c r="D593" s="11" t="s">
        <v>180</v>
      </c>
      <c r="E593" s="9" t="str">
        <f>+HYPERLINK("http://trademark.i-assist.jp/data/china/image_1908th/79737587.pdf", "79737587")</f>
        <v>79737587</v>
      </c>
      <c r="F593" s="11" t="s">
        <v>1845</v>
      </c>
      <c r="G593" s="11" t="s">
        <v>1808</v>
      </c>
      <c r="H593" s="11" t="s">
        <v>1846</v>
      </c>
      <c r="I593" s="11" t="s">
        <v>81</v>
      </c>
    </row>
    <row r="594" spans="1:9" x14ac:dyDescent="0.15">
      <c r="A594" s="10">
        <v>593</v>
      </c>
      <c r="B594" s="11" t="s">
        <v>9</v>
      </c>
      <c r="C594" s="11" t="s">
        <v>179</v>
      </c>
      <c r="D594" s="11" t="s">
        <v>180</v>
      </c>
      <c r="E594" s="9" t="str">
        <f>+HYPERLINK("http://trademark.i-assist.jp/data/china/image_1908th/79737803.pdf", "79737803")</f>
        <v>79737803</v>
      </c>
      <c r="F594" s="11" t="s">
        <v>1847</v>
      </c>
      <c r="G594" s="11" t="s">
        <v>1320</v>
      </c>
      <c r="H594" s="11" t="s">
        <v>1848</v>
      </c>
      <c r="I594" s="11" t="s">
        <v>81</v>
      </c>
    </row>
    <row r="595" spans="1:9" x14ac:dyDescent="0.15">
      <c r="A595" s="10">
        <v>594</v>
      </c>
      <c r="B595" s="11" t="s">
        <v>9</v>
      </c>
      <c r="C595" s="11" t="s">
        <v>179</v>
      </c>
      <c r="D595" s="11" t="s">
        <v>180</v>
      </c>
      <c r="E595" s="9" t="str">
        <f>+HYPERLINK("http://trademark.i-assist.jp/data/china/image_1908th/79738439.pdf", "79738439")</f>
        <v>79738439</v>
      </c>
      <c r="F595" s="11" t="s">
        <v>1849</v>
      </c>
      <c r="G595" s="11" t="s">
        <v>1792</v>
      </c>
      <c r="H595" s="11" t="s">
        <v>1850</v>
      </c>
      <c r="I595" s="11" t="s">
        <v>81</v>
      </c>
    </row>
    <row r="596" spans="1:9" x14ac:dyDescent="0.15">
      <c r="A596" s="10">
        <v>595</v>
      </c>
      <c r="B596" s="11" t="s">
        <v>9</v>
      </c>
      <c r="C596" s="11" t="s">
        <v>179</v>
      </c>
      <c r="D596" s="11" t="s">
        <v>180</v>
      </c>
      <c r="E596" s="9" t="str">
        <f>+HYPERLINK("http://trademark.i-assist.jp/data/china/image_1908th/79738603.pdf", "79738603")</f>
        <v>79738603</v>
      </c>
      <c r="F596" s="11" t="s">
        <v>1851</v>
      </c>
      <c r="G596" s="11" t="s">
        <v>1852</v>
      </c>
      <c r="H596" s="11" t="s">
        <v>1853</v>
      </c>
      <c r="I596" s="11" t="s">
        <v>81</v>
      </c>
    </row>
    <row r="597" spans="1:9" x14ac:dyDescent="0.15">
      <c r="A597" s="10">
        <v>596</v>
      </c>
      <c r="B597" s="11" t="s">
        <v>9</v>
      </c>
      <c r="C597" s="11" t="s">
        <v>179</v>
      </c>
      <c r="D597" s="11" t="s">
        <v>180</v>
      </c>
      <c r="E597" s="9" t="str">
        <f>+HYPERLINK("http://trademark.i-assist.jp/data/china/image_1908th/79739086.pdf", "79739086")</f>
        <v>79739086</v>
      </c>
      <c r="F597" s="11" t="s">
        <v>1854</v>
      </c>
      <c r="G597" s="11" t="s">
        <v>1855</v>
      </c>
      <c r="H597" s="11" t="s">
        <v>1856</v>
      </c>
      <c r="I597" s="11" t="s">
        <v>81</v>
      </c>
    </row>
    <row r="598" spans="1:9" x14ac:dyDescent="0.15">
      <c r="A598" s="10">
        <v>597</v>
      </c>
      <c r="B598" s="11" t="s">
        <v>9</v>
      </c>
      <c r="C598" s="11" t="s">
        <v>179</v>
      </c>
      <c r="D598" s="11" t="s">
        <v>180</v>
      </c>
      <c r="E598" s="9" t="str">
        <f>+HYPERLINK("http://trademark.i-assist.jp/data/china/image_1908th/79739458.pdf", "79739458")</f>
        <v>79739458</v>
      </c>
      <c r="F598" s="11" t="s">
        <v>1857</v>
      </c>
      <c r="G598" s="11" t="s">
        <v>1858</v>
      </c>
      <c r="H598" s="11" t="s">
        <v>1859</v>
      </c>
      <c r="I598" s="11" t="s">
        <v>81</v>
      </c>
    </row>
    <row r="599" spans="1:9" x14ac:dyDescent="0.15">
      <c r="A599" s="10">
        <v>598</v>
      </c>
      <c r="B599" s="11" t="s">
        <v>9</v>
      </c>
      <c r="C599" s="11" t="s">
        <v>179</v>
      </c>
      <c r="D599" s="11" t="s">
        <v>180</v>
      </c>
      <c r="E599" s="9" t="str">
        <f>+HYPERLINK("http://trademark.i-assist.jp/data/china/image_1908th/79740014.pdf", "79740014")</f>
        <v>79740014</v>
      </c>
      <c r="F599" s="11" t="s">
        <v>1860</v>
      </c>
      <c r="G599" s="11" t="s">
        <v>1861</v>
      </c>
      <c r="H599" s="11" t="s">
        <v>1862</v>
      </c>
      <c r="I599" s="11" t="s">
        <v>81</v>
      </c>
    </row>
    <row r="600" spans="1:9" x14ac:dyDescent="0.15">
      <c r="A600" s="10">
        <v>599</v>
      </c>
      <c r="B600" s="11" t="s">
        <v>9</v>
      </c>
      <c r="C600" s="11" t="s">
        <v>179</v>
      </c>
      <c r="D600" s="11" t="s">
        <v>180</v>
      </c>
      <c r="E600" s="9" t="str">
        <f>+HYPERLINK("http://trademark.i-assist.jp/data/china/image_1908th/79741033.pdf", "79741033")</f>
        <v>79741033</v>
      </c>
      <c r="F600" s="11" t="s">
        <v>1863</v>
      </c>
      <c r="G600" s="11" t="s">
        <v>1864</v>
      </c>
      <c r="H600" s="11" t="s">
        <v>1865</v>
      </c>
      <c r="I600" s="11" t="s">
        <v>81</v>
      </c>
    </row>
    <row r="601" spans="1:9" x14ac:dyDescent="0.15">
      <c r="A601" s="10">
        <v>600</v>
      </c>
      <c r="B601" s="11" t="s">
        <v>9</v>
      </c>
      <c r="C601" s="11" t="s">
        <v>179</v>
      </c>
      <c r="D601" s="11" t="s">
        <v>180</v>
      </c>
      <c r="E601" s="9" t="str">
        <f>+HYPERLINK("http://trademark.i-assist.jp/data/china/image_1908th/79741225.pdf", "79741225")</f>
        <v>79741225</v>
      </c>
      <c r="F601" s="11" t="s">
        <v>1866</v>
      </c>
      <c r="G601" s="11" t="s">
        <v>1867</v>
      </c>
      <c r="H601" s="11" t="s">
        <v>1868</v>
      </c>
      <c r="I601" s="11" t="s">
        <v>81</v>
      </c>
    </row>
    <row r="602" spans="1:9" x14ac:dyDescent="0.15">
      <c r="A602" s="10">
        <v>601</v>
      </c>
      <c r="B602" s="11" t="s">
        <v>9</v>
      </c>
      <c r="C602" s="11" t="s">
        <v>179</v>
      </c>
      <c r="D602" s="11" t="s">
        <v>180</v>
      </c>
      <c r="E602" s="9" t="str">
        <f>+HYPERLINK("http://trademark.i-assist.jp/data/china/image_1908th/79741748.pdf", "79741748")</f>
        <v>79741748</v>
      </c>
      <c r="F602" s="11" t="s">
        <v>1869</v>
      </c>
      <c r="G602" s="11" t="s">
        <v>1870</v>
      </c>
      <c r="H602" s="11" t="s">
        <v>1871</v>
      </c>
      <c r="I602" s="11" t="s">
        <v>81</v>
      </c>
    </row>
    <row r="603" spans="1:9" x14ac:dyDescent="0.15">
      <c r="A603" s="10">
        <v>602</v>
      </c>
      <c r="B603" s="11" t="s">
        <v>9</v>
      </c>
      <c r="C603" s="11" t="s">
        <v>179</v>
      </c>
      <c r="D603" s="11" t="s">
        <v>180</v>
      </c>
      <c r="E603" s="9" t="str">
        <f>+HYPERLINK("http://trademark.i-assist.jp/data/china/image_1908th/79741786.pdf", "79741786")</f>
        <v>79741786</v>
      </c>
      <c r="F603" s="11" t="s">
        <v>1872</v>
      </c>
      <c r="G603" s="11" t="s">
        <v>1873</v>
      </c>
      <c r="H603" s="11" t="s">
        <v>1874</v>
      </c>
      <c r="I603" s="11" t="s">
        <v>81</v>
      </c>
    </row>
    <row r="604" spans="1:9" x14ac:dyDescent="0.15">
      <c r="A604" s="10">
        <v>603</v>
      </c>
      <c r="B604" s="11" t="s">
        <v>9</v>
      </c>
      <c r="C604" s="11" t="s">
        <v>179</v>
      </c>
      <c r="D604" s="11" t="s">
        <v>180</v>
      </c>
      <c r="E604" s="9" t="str">
        <f>+HYPERLINK("http://trademark.i-assist.jp/data/china/image_1908th/79742415.pdf", "79742415")</f>
        <v>79742415</v>
      </c>
      <c r="F604" s="11" t="s">
        <v>1875</v>
      </c>
      <c r="G604" s="11" t="s">
        <v>1808</v>
      </c>
      <c r="H604" s="11" t="s">
        <v>1876</v>
      </c>
      <c r="I604" s="11" t="s">
        <v>81</v>
      </c>
    </row>
    <row r="605" spans="1:9" x14ac:dyDescent="0.15">
      <c r="A605" s="10">
        <v>604</v>
      </c>
      <c r="B605" s="11" t="s">
        <v>9</v>
      </c>
      <c r="C605" s="11" t="s">
        <v>179</v>
      </c>
      <c r="D605" s="11" t="s">
        <v>180</v>
      </c>
      <c r="E605" s="9" t="str">
        <f>+HYPERLINK("http://trademark.i-assist.jp/data/china/image_1908th/79742525.pdf", "79742525")</f>
        <v>79742525</v>
      </c>
      <c r="F605" s="11" t="s">
        <v>1877</v>
      </c>
      <c r="G605" s="11" t="s">
        <v>1878</v>
      </c>
      <c r="H605" s="11" t="s">
        <v>1879</v>
      </c>
      <c r="I605" s="11" t="s">
        <v>81</v>
      </c>
    </row>
    <row r="606" spans="1:9" x14ac:dyDescent="0.15">
      <c r="A606" s="10">
        <v>605</v>
      </c>
      <c r="B606" s="11" t="s">
        <v>9</v>
      </c>
      <c r="C606" s="11" t="s">
        <v>179</v>
      </c>
      <c r="D606" s="11" t="s">
        <v>180</v>
      </c>
      <c r="E606" s="9" t="str">
        <f>+HYPERLINK("http://trademark.i-assist.jp/data/china/image_1908th/79742678.pdf", "79742678")</f>
        <v>79742678</v>
      </c>
      <c r="F606" s="11" t="s">
        <v>1880</v>
      </c>
      <c r="G606" s="11" t="s">
        <v>1881</v>
      </c>
      <c r="H606" s="11" t="s">
        <v>1882</v>
      </c>
      <c r="I606" s="11" t="s">
        <v>81</v>
      </c>
    </row>
    <row r="607" spans="1:9" x14ac:dyDescent="0.15">
      <c r="A607" s="10">
        <v>606</v>
      </c>
      <c r="B607" s="11" t="s">
        <v>9</v>
      </c>
      <c r="C607" s="11" t="s">
        <v>179</v>
      </c>
      <c r="D607" s="11" t="s">
        <v>180</v>
      </c>
      <c r="E607" s="9" t="str">
        <f>+HYPERLINK("http://trademark.i-assist.jp/data/china/image_1908th/79743032.pdf", "79743032")</f>
        <v>79743032</v>
      </c>
      <c r="F607" s="11" t="s">
        <v>1883</v>
      </c>
      <c r="G607" s="11" t="s">
        <v>1884</v>
      </c>
      <c r="H607" s="11" t="s">
        <v>1885</v>
      </c>
      <c r="I607" s="11" t="s">
        <v>81</v>
      </c>
    </row>
    <row r="608" spans="1:9" x14ac:dyDescent="0.15">
      <c r="A608" s="10">
        <v>607</v>
      </c>
      <c r="B608" s="11" t="s">
        <v>9</v>
      </c>
      <c r="C608" s="11" t="s">
        <v>179</v>
      </c>
      <c r="D608" s="11" t="s">
        <v>180</v>
      </c>
      <c r="E608" s="9" t="str">
        <f>+HYPERLINK("http://trademark.i-assist.jp/data/china/image_1908th/79743505.pdf", "79743505")</f>
        <v>79743505</v>
      </c>
      <c r="F608" s="11" t="s">
        <v>1886</v>
      </c>
      <c r="G608" s="11" t="s">
        <v>1886</v>
      </c>
      <c r="H608" s="11" t="s">
        <v>1887</v>
      </c>
      <c r="I608" s="11" t="s">
        <v>81</v>
      </c>
    </row>
    <row r="609" spans="1:9" x14ac:dyDescent="0.15">
      <c r="A609" s="10">
        <v>608</v>
      </c>
      <c r="B609" s="11" t="s">
        <v>9</v>
      </c>
      <c r="C609" s="11" t="s">
        <v>179</v>
      </c>
      <c r="D609" s="11" t="s">
        <v>180</v>
      </c>
      <c r="E609" s="9" t="str">
        <f>+HYPERLINK("http://trademark.i-assist.jp/data/china/image_1908th/79743757.pdf", "79743757")</f>
        <v>79743757</v>
      </c>
      <c r="F609" s="11" t="s">
        <v>1888</v>
      </c>
      <c r="G609" s="11" t="s">
        <v>1889</v>
      </c>
      <c r="H609" s="11" t="s">
        <v>1890</v>
      </c>
      <c r="I609" s="11" t="s">
        <v>81</v>
      </c>
    </row>
    <row r="610" spans="1:9" x14ac:dyDescent="0.15">
      <c r="A610" s="10">
        <v>609</v>
      </c>
      <c r="B610" s="11" t="s">
        <v>9</v>
      </c>
      <c r="C610" s="11" t="s">
        <v>179</v>
      </c>
      <c r="D610" s="11" t="s">
        <v>180</v>
      </c>
      <c r="E610" s="9" t="str">
        <f>+HYPERLINK("http://trademark.i-assist.jp/data/china/image_1908th/79744113.pdf", "79744113")</f>
        <v>79744113</v>
      </c>
      <c r="F610" s="11" t="s">
        <v>1891</v>
      </c>
      <c r="G610" s="11" t="s">
        <v>1808</v>
      </c>
      <c r="H610" s="11" t="s">
        <v>1892</v>
      </c>
      <c r="I610" s="11" t="s">
        <v>81</v>
      </c>
    </row>
    <row r="611" spans="1:9" x14ac:dyDescent="0.15">
      <c r="A611" s="10">
        <v>610</v>
      </c>
      <c r="B611" s="11" t="s">
        <v>9</v>
      </c>
      <c r="C611" s="11" t="s">
        <v>179</v>
      </c>
      <c r="D611" s="11" t="s">
        <v>180</v>
      </c>
      <c r="E611" s="9" t="str">
        <f>+HYPERLINK("http://trademark.i-assist.jp/data/china/image_1908th/79744118.pdf", "79744118")</f>
        <v>79744118</v>
      </c>
      <c r="F611" s="11" t="s">
        <v>1893</v>
      </c>
      <c r="G611" s="11" t="s">
        <v>1808</v>
      </c>
      <c r="H611" s="11" t="s">
        <v>1894</v>
      </c>
      <c r="I611" s="11" t="s">
        <v>81</v>
      </c>
    </row>
    <row r="612" spans="1:9" x14ac:dyDescent="0.15">
      <c r="A612" s="10">
        <v>611</v>
      </c>
      <c r="B612" s="11" t="s">
        <v>9</v>
      </c>
      <c r="C612" s="11" t="s">
        <v>179</v>
      </c>
      <c r="D612" s="11" t="s">
        <v>180</v>
      </c>
      <c r="E612" s="9" t="str">
        <f>+HYPERLINK("http://trademark.i-assist.jp/data/china/image_1908th/79744441.pdf", "79744441")</f>
        <v>79744441</v>
      </c>
      <c r="F612" s="11" t="s">
        <v>1895</v>
      </c>
      <c r="G612" s="11" t="s">
        <v>1896</v>
      </c>
      <c r="H612" s="11" t="s">
        <v>1897</v>
      </c>
      <c r="I612" s="11" t="s">
        <v>81</v>
      </c>
    </row>
    <row r="613" spans="1:9" x14ac:dyDescent="0.15">
      <c r="A613" s="10">
        <v>612</v>
      </c>
      <c r="B613" s="11" t="s">
        <v>9</v>
      </c>
      <c r="C613" s="11" t="s">
        <v>179</v>
      </c>
      <c r="D613" s="11" t="s">
        <v>180</v>
      </c>
      <c r="E613" s="9" t="str">
        <f>+HYPERLINK("http://trademark.i-assist.jp/data/china/image_1908th/79744502.pdf", "79744502")</f>
        <v>79744502</v>
      </c>
      <c r="F613" s="11" t="s">
        <v>1898</v>
      </c>
      <c r="G613" s="11" t="s">
        <v>1899</v>
      </c>
      <c r="H613" s="11" t="s">
        <v>1900</v>
      </c>
      <c r="I613" s="11" t="s">
        <v>81</v>
      </c>
    </row>
    <row r="614" spans="1:9" x14ac:dyDescent="0.15">
      <c r="A614" s="10">
        <v>613</v>
      </c>
      <c r="B614" s="11" t="s">
        <v>9</v>
      </c>
      <c r="C614" s="11" t="s">
        <v>179</v>
      </c>
      <c r="D614" s="11" t="s">
        <v>180</v>
      </c>
      <c r="E614" s="9" t="str">
        <f>+HYPERLINK("http://trademark.i-assist.jp/data/china/image_1908th/79744872.pdf", "79744872")</f>
        <v>79744872</v>
      </c>
      <c r="F614" s="11" t="s">
        <v>10</v>
      </c>
      <c r="G614" s="11" t="s">
        <v>1901</v>
      </c>
      <c r="H614" s="11" t="s">
        <v>1902</v>
      </c>
      <c r="I614" s="11" t="s">
        <v>81</v>
      </c>
    </row>
    <row r="615" spans="1:9" x14ac:dyDescent="0.15">
      <c r="A615" s="10">
        <v>614</v>
      </c>
      <c r="B615" s="11" t="s">
        <v>9</v>
      </c>
      <c r="C615" s="11" t="s">
        <v>179</v>
      </c>
      <c r="D615" s="11" t="s">
        <v>180</v>
      </c>
      <c r="E615" s="9" t="str">
        <f>+HYPERLINK("http://trademark.i-assist.jp/data/china/image_1908th/79745773.pdf", "79745773")</f>
        <v>79745773</v>
      </c>
      <c r="F615" s="11" t="s">
        <v>1903</v>
      </c>
      <c r="G615" s="11" t="s">
        <v>1904</v>
      </c>
      <c r="H615" s="11" t="s">
        <v>1905</v>
      </c>
      <c r="I615" s="11" t="s">
        <v>81</v>
      </c>
    </row>
    <row r="616" spans="1:9" x14ac:dyDescent="0.15">
      <c r="A616" s="10">
        <v>615</v>
      </c>
      <c r="B616" s="11" t="s">
        <v>9</v>
      </c>
      <c r="C616" s="11" t="s">
        <v>179</v>
      </c>
      <c r="D616" s="11" t="s">
        <v>180</v>
      </c>
      <c r="E616" s="9" t="str">
        <f>+HYPERLINK("http://trademark.i-assist.jp/data/china/image_1908th/79746118.pdf", "79746118")</f>
        <v>79746118</v>
      </c>
      <c r="F616" s="11" t="s">
        <v>1906</v>
      </c>
      <c r="G616" s="11" t="s">
        <v>1792</v>
      </c>
      <c r="H616" s="11" t="s">
        <v>1907</v>
      </c>
      <c r="I616" s="11" t="s">
        <v>81</v>
      </c>
    </row>
    <row r="617" spans="1:9" x14ac:dyDescent="0.15">
      <c r="A617" s="10">
        <v>616</v>
      </c>
      <c r="B617" s="11" t="s">
        <v>9</v>
      </c>
      <c r="C617" s="11" t="s">
        <v>179</v>
      </c>
      <c r="D617" s="11" t="s">
        <v>180</v>
      </c>
      <c r="E617" s="9" t="str">
        <f>+HYPERLINK("http://trademark.i-assist.jp/data/china/image_1908th/79746602.pdf", "79746602")</f>
        <v>79746602</v>
      </c>
      <c r="F617" s="11" t="s">
        <v>1908</v>
      </c>
      <c r="G617" s="11" t="s">
        <v>1909</v>
      </c>
      <c r="H617" s="11" t="s">
        <v>1910</v>
      </c>
      <c r="I617" s="11" t="s">
        <v>81</v>
      </c>
    </row>
    <row r="618" spans="1:9" x14ac:dyDescent="0.15">
      <c r="A618" s="10">
        <v>617</v>
      </c>
      <c r="B618" s="11" t="s">
        <v>9</v>
      </c>
      <c r="C618" s="11" t="s">
        <v>179</v>
      </c>
      <c r="D618" s="11" t="s">
        <v>180</v>
      </c>
      <c r="E618" s="9" t="str">
        <f>+HYPERLINK("http://trademark.i-assist.jp/data/china/image_1908th/79746769.pdf", "79746769")</f>
        <v>79746769</v>
      </c>
      <c r="F618" s="11" t="s">
        <v>1911</v>
      </c>
      <c r="G618" s="11" t="s">
        <v>1912</v>
      </c>
      <c r="H618" s="11" t="s">
        <v>1913</v>
      </c>
      <c r="I618" s="11" t="s">
        <v>81</v>
      </c>
    </row>
    <row r="619" spans="1:9" x14ac:dyDescent="0.15">
      <c r="A619" s="10">
        <v>618</v>
      </c>
      <c r="B619" s="11" t="s">
        <v>9</v>
      </c>
      <c r="C619" s="11" t="s">
        <v>179</v>
      </c>
      <c r="D619" s="11" t="s">
        <v>180</v>
      </c>
      <c r="E619" s="9" t="str">
        <f>+HYPERLINK("http://trademark.i-assist.jp/data/china/image_1908th/79747497.pdf", "79747497")</f>
        <v>79747497</v>
      </c>
      <c r="F619" s="11" t="s">
        <v>1914</v>
      </c>
      <c r="G619" s="11" t="s">
        <v>1915</v>
      </c>
      <c r="H619" s="11" t="s">
        <v>1916</v>
      </c>
      <c r="I619" s="11" t="s">
        <v>81</v>
      </c>
    </row>
    <row r="620" spans="1:9" x14ac:dyDescent="0.15">
      <c r="A620" s="10">
        <v>619</v>
      </c>
      <c r="B620" s="11" t="s">
        <v>9</v>
      </c>
      <c r="C620" s="11" t="s">
        <v>179</v>
      </c>
      <c r="D620" s="11" t="s">
        <v>180</v>
      </c>
      <c r="E620" s="9" t="str">
        <f>+HYPERLINK("http://trademark.i-assist.jp/data/china/image_1908th/79747969.pdf", "79747969")</f>
        <v>79747969</v>
      </c>
      <c r="F620" s="11" t="s">
        <v>1917</v>
      </c>
      <c r="G620" s="11" t="s">
        <v>1792</v>
      </c>
      <c r="H620" s="11" t="s">
        <v>1918</v>
      </c>
      <c r="I620" s="11" t="s">
        <v>81</v>
      </c>
    </row>
    <row r="621" spans="1:9" x14ac:dyDescent="0.15">
      <c r="A621" s="10">
        <v>620</v>
      </c>
      <c r="B621" s="11" t="s">
        <v>9</v>
      </c>
      <c r="C621" s="11" t="s">
        <v>179</v>
      </c>
      <c r="D621" s="11" t="s">
        <v>180</v>
      </c>
      <c r="E621" s="9" t="str">
        <f>+HYPERLINK("http://trademark.i-assist.jp/data/china/image_1908th/79747973.pdf", "79747973")</f>
        <v>79747973</v>
      </c>
      <c r="F621" s="11" t="s">
        <v>1919</v>
      </c>
      <c r="G621" s="11" t="s">
        <v>1792</v>
      </c>
      <c r="H621" s="11" t="s">
        <v>1920</v>
      </c>
      <c r="I621" s="11" t="s">
        <v>81</v>
      </c>
    </row>
    <row r="622" spans="1:9" x14ac:dyDescent="0.15">
      <c r="A622" s="10">
        <v>621</v>
      </c>
      <c r="B622" s="11" t="s">
        <v>9</v>
      </c>
      <c r="C622" s="11" t="s">
        <v>179</v>
      </c>
      <c r="D622" s="11" t="s">
        <v>180</v>
      </c>
      <c r="E622" s="9" t="str">
        <f>+HYPERLINK("http://trademark.i-assist.jp/data/china/image_1908th/79748145.pdf", "79748145")</f>
        <v>79748145</v>
      </c>
      <c r="F622" s="11" t="s">
        <v>1921</v>
      </c>
      <c r="G622" s="11" t="s">
        <v>113</v>
      </c>
      <c r="H622" s="11" t="s">
        <v>1922</v>
      </c>
      <c r="I622" s="11" t="s">
        <v>81</v>
      </c>
    </row>
    <row r="623" spans="1:9" x14ac:dyDescent="0.15">
      <c r="A623" s="10">
        <v>622</v>
      </c>
      <c r="B623" s="11" t="s">
        <v>9</v>
      </c>
      <c r="C623" s="11" t="s">
        <v>179</v>
      </c>
      <c r="D623" s="11" t="s">
        <v>180</v>
      </c>
      <c r="E623" s="9" t="str">
        <f>+HYPERLINK("http://trademark.i-assist.jp/data/china/image_1908th/79748265.pdf", "79748265")</f>
        <v>79748265</v>
      </c>
      <c r="F623" s="11" t="s">
        <v>1923</v>
      </c>
      <c r="G623" s="11" t="s">
        <v>1808</v>
      </c>
      <c r="H623" s="11" t="s">
        <v>1924</v>
      </c>
      <c r="I623" s="11" t="s">
        <v>81</v>
      </c>
    </row>
    <row r="624" spans="1:9" x14ac:dyDescent="0.15">
      <c r="A624" s="10">
        <v>623</v>
      </c>
      <c r="B624" s="11" t="s">
        <v>9</v>
      </c>
      <c r="C624" s="11" t="s">
        <v>179</v>
      </c>
      <c r="D624" s="11" t="s">
        <v>180</v>
      </c>
      <c r="E624" s="9" t="str">
        <f>+HYPERLINK("http://trademark.i-assist.jp/data/china/image_1908th/79748478.pdf", "79748478")</f>
        <v>79748478</v>
      </c>
      <c r="F624" s="11" t="s">
        <v>1925</v>
      </c>
      <c r="G624" s="11" t="s">
        <v>1926</v>
      </c>
      <c r="H624" s="11" t="s">
        <v>1927</v>
      </c>
      <c r="I624" s="11" t="s">
        <v>81</v>
      </c>
    </row>
    <row r="625" spans="1:9" x14ac:dyDescent="0.15">
      <c r="A625" s="10">
        <v>624</v>
      </c>
      <c r="B625" s="11" t="s">
        <v>9</v>
      </c>
      <c r="C625" s="11" t="s">
        <v>179</v>
      </c>
      <c r="D625" s="11" t="s">
        <v>180</v>
      </c>
      <c r="E625" s="9" t="str">
        <f>+HYPERLINK("http://trademark.i-assist.jp/data/china/image_1908th/79748499.pdf", "79748499")</f>
        <v>79748499</v>
      </c>
      <c r="F625" s="11" t="s">
        <v>1928</v>
      </c>
      <c r="G625" s="11" t="s">
        <v>1929</v>
      </c>
      <c r="H625" s="11" t="s">
        <v>1930</v>
      </c>
      <c r="I625" s="11" t="s">
        <v>81</v>
      </c>
    </row>
    <row r="626" spans="1:9" x14ac:dyDescent="0.15">
      <c r="A626" s="10">
        <v>625</v>
      </c>
      <c r="B626" s="11" t="s">
        <v>9</v>
      </c>
      <c r="C626" s="11" t="s">
        <v>179</v>
      </c>
      <c r="D626" s="11" t="s">
        <v>180</v>
      </c>
      <c r="E626" s="9" t="str">
        <f>+HYPERLINK("http://trademark.i-assist.jp/data/china/image_1908th/79748689.pdf", "79748689")</f>
        <v>79748689</v>
      </c>
      <c r="F626" s="11" t="s">
        <v>1931</v>
      </c>
      <c r="G626" s="11" t="s">
        <v>159</v>
      </c>
      <c r="H626" s="11" t="s">
        <v>1932</v>
      </c>
      <c r="I626" s="11" t="s">
        <v>81</v>
      </c>
    </row>
    <row r="627" spans="1:9" x14ac:dyDescent="0.15">
      <c r="A627" s="10">
        <v>626</v>
      </c>
      <c r="B627" s="11" t="s">
        <v>9</v>
      </c>
      <c r="C627" s="11" t="s">
        <v>179</v>
      </c>
      <c r="D627" s="11" t="s">
        <v>180</v>
      </c>
      <c r="E627" s="9" t="str">
        <f>+HYPERLINK("http://trademark.i-assist.jp/data/china/image_1908th/79749030.pdf", "79749030")</f>
        <v>79749030</v>
      </c>
      <c r="F627" s="11" t="s">
        <v>1933</v>
      </c>
      <c r="G627" s="11" t="s">
        <v>1934</v>
      </c>
      <c r="H627" s="11" t="s">
        <v>1935</v>
      </c>
      <c r="I627" s="11" t="s">
        <v>81</v>
      </c>
    </row>
    <row r="628" spans="1:9" x14ac:dyDescent="0.15">
      <c r="A628" s="10">
        <v>627</v>
      </c>
      <c r="B628" s="11" t="s">
        <v>9</v>
      </c>
      <c r="C628" s="11" t="s">
        <v>179</v>
      </c>
      <c r="D628" s="11" t="s">
        <v>180</v>
      </c>
      <c r="E628" s="9" t="str">
        <f>+HYPERLINK("http://trademark.i-assist.jp/data/china/image_1908th/79749287.pdf", "79749287")</f>
        <v>79749287</v>
      </c>
      <c r="F628" s="11" t="s">
        <v>1936</v>
      </c>
      <c r="G628" s="11" t="s">
        <v>1843</v>
      </c>
      <c r="H628" s="11" t="s">
        <v>1937</v>
      </c>
      <c r="I628" s="11" t="s">
        <v>81</v>
      </c>
    </row>
    <row r="629" spans="1:9" x14ac:dyDescent="0.15">
      <c r="A629" s="10">
        <v>628</v>
      </c>
      <c r="B629" s="11" t="s">
        <v>9</v>
      </c>
      <c r="C629" s="11" t="s">
        <v>179</v>
      </c>
      <c r="D629" s="11" t="s">
        <v>180</v>
      </c>
      <c r="E629" s="9" t="str">
        <f>+HYPERLINK("http://trademark.i-assist.jp/data/china/image_1908th/79749436.pdf", "79749436")</f>
        <v>79749436</v>
      </c>
      <c r="F629" s="11" t="s">
        <v>1938</v>
      </c>
      <c r="G629" s="11" t="s">
        <v>1792</v>
      </c>
      <c r="H629" s="11" t="s">
        <v>1939</v>
      </c>
      <c r="I629" s="11" t="s">
        <v>81</v>
      </c>
    </row>
    <row r="630" spans="1:9" x14ac:dyDescent="0.15">
      <c r="A630" s="10">
        <v>629</v>
      </c>
      <c r="B630" s="11" t="s">
        <v>9</v>
      </c>
      <c r="C630" s="11" t="s">
        <v>179</v>
      </c>
      <c r="D630" s="11" t="s">
        <v>180</v>
      </c>
      <c r="E630" s="9" t="str">
        <f>+HYPERLINK("http://trademark.i-assist.jp/data/china/image_1908th/79749443.pdf", "79749443")</f>
        <v>79749443</v>
      </c>
      <c r="F630" s="11" t="s">
        <v>1940</v>
      </c>
      <c r="G630" s="11" t="s">
        <v>1941</v>
      </c>
      <c r="H630" s="11" t="s">
        <v>1942</v>
      </c>
      <c r="I630" s="11" t="s">
        <v>81</v>
      </c>
    </row>
    <row r="631" spans="1:9" x14ac:dyDescent="0.15">
      <c r="A631" s="10">
        <v>630</v>
      </c>
      <c r="B631" s="11" t="s">
        <v>9</v>
      </c>
      <c r="C631" s="11" t="s">
        <v>179</v>
      </c>
      <c r="D631" s="11" t="s">
        <v>180</v>
      </c>
      <c r="E631" s="9" t="str">
        <f>+HYPERLINK("http://trademark.i-assist.jp/data/china/image_1908th/79749692.pdf", "79749692")</f>
        <v>79749692</v>
      </c>
      <c r="F631" s="11" t="s">
        <v>1943</v>
      </c>
      <c r="G631" s="11" t="s">
        <v>1808</v>
      </c>
      <c r="H631" s="11" t="s">
        <v>1944</v>
      </c>
      <c r="I631" s="11" t="s">
        <v>81</v>
      </c>
    </row>
    <row r="632" spans="1:9" x14ac:dyDescent="0.15">
      <c r="A632" s="10">
        <v>631</v>
      </c>
      <c r="B632" s="11" t="s">
        <v>9</v>
      </c>
      <c r="C632" s="11" t="s">
        <v>179</v>
      </c>
      <c r="D632" s="11" t="s">
        <v>180</v>
      </c>
      <c r="E632" s="9" t="str">
        <f>+HYPERLINK("http://trademark.i-assist.jp/data/china/image_1908th/79749705.pdf", "79749705")</f>
        <v>79749705</v>
      </c>
      <c r="F632" s="11" t="s">
        <v>1945</v>
      </c>
      <c r="G632" s="11" t="s">
        <v>1808</v>
      </c>
      <c r="H632" s="11" t="s">
        <v>1946</v>
      </c>
      <c r="I632" s="11" t="s">
        <v>81</v>
      </c>
    </row>
    <row r="633" spans="1:9" x14ac:dyDescent="0.15">
      <c r="A633" s="10">
        <v>632</v>
      </c>
      <c r="B633" s="11" t="s">
        <v>9</v>
      </c>
      <c r="C633" s="11" t="s">
        <v>179</v>
      </c>
      <c r="D633" s="11" t="s">
        <v>180</v>
      </c>
      <c r="E633" s="9" t="str">
        <f>+HYPERLINK("http://trademark.i-assist.jp/data/china/image_1908th/79749888.pdf", "79749888")</f>
        <v>79749888</v>
      </c>
      <c r="F633" s="11" t="s">
        <v>1947</v>
      </c>
      <c r="G633" s="11" t="s">
        <v>1948</v>
      </c>
      <c r="H633" s="11" t="s">
        <v>1949</v>
      </c>
      <c r="I633" s="11" t="s">
        <v>81</v>
      </c>
    </row>
    <row r="634" spans="1:9" x14ac:dyDescent="0.15">
      <c r="A634" s="10">
        <v>633</v>
      </c>
      <c r="B634" s="11" t="s">
        <v>9</v>
      </c>
      <c r="C634" s="11" t="s">
        <v>179</v>
      </c>
      <c r="D634" s="11" t="s">
        <v>180</v>
      </c>
      <c r="E634" s="9" t="str">
        <f>+HYPERLINK("http://trademark.i-assist.jp/data/china/image_1908th/79749999.pdf", "79749999")</f>
        <v>79749999</v>
      </c>
      <c r="F634" s="11" t="s">
        <v>1950</v>
      </c>
      <c r="G634" s="11" t="s">
        <v>1951</v>
      </c>
      <c r="H634" s="11" t="s">
        <v>1952</v>
      </c>
      <c r="I634" s="11" t="s">
        <v>81</v>
      </c>
    </row>
    <row r="635" spans="1:9" x14ac:dyDescent="0.15">
      <c r="A635" s="10">
        <v>634</v>
      </c>
      <c r="B635" s="11" t="s">
        <v>9</v>
      </c>
      <c r="C635" s="11" t="s">
        <v>179</v>
      </c>
      <c r="D635" s="11" t="s">
        <v>180</v>
      </c>
      <c r="E635" s="9" t="str">
        <f>+HYPERLINK("http://trademark.i-assist.jp/data/china/image_1908th/79750729.pdf", "79750729")</f>
        <v>79750729</v>
      </c>
      <c r="F635" s="11" t="s">
        <v>1953</v>
      </c>
      <c r="G635" s="11" t="s">
        <v>1954</v>
      </c>
      <c r="H635" s="11" t="s">
        <v>1955</v>
      </c>
      <c r="I635" s="11" t="s">
        <v>81</v>
      </c>
    </row>
    <row r="636" spans="1:9" x14ac:dyDescent="0.15">
      <c r="A636" s="10">
        <v>635</v>
      </c>
      <c r="B636" s="11" t="s">
        <v>9</v>
      </c>
      <c r="C636" s="11" t="s">
        <v>179</v>
      </c>
      <c r="D636" s="11" t="s">
        <v>180</v>
      </c>
      <c r="E636" s="9" t="str">
        <f>+HYPERLINK("http://trademark.i-assist.jp/data/china/image_1908th/79750972.pdf", "79750972")</f>
        <v>79750972</v>
      </c>
      <c r="F636" s="11" t="s">
        <v>10</v>
      </c>
      <c r="G636" s="11" t="s">
        <v>1956</v>
      </c>
      <c r="H636" s="11" t="s">
        <v>1957</v>
      </c>
      <c r="I636" s="11" t="s">
        <v>81</v>
      </c>
    </row>
    <row r="637" spans="1:9" x14ac:dyDescent="0.15">
      <c r="A637" s="10">
        <v>636</v>
      </c>
      <c r="B637" s="11" t="s">
        <v>9</v>
      </c>
      <c r="C637" s="11" t="s">
        <v>179</v>
      </c>
      <c r="D637" s="11" t="s">
        <v>180</v>
      </c>
      <c r="E637" s="9" t="str">
        <f>+HYPERLINK("http://trademark.i-assist.jp/data/china/image_1908th/79751172.pdf", "79751172")</f>
        <v>79751172</v>
      </c>
      <c r="F637" s="11" t="s">
        <v>1958</v>
      </c>
      <c r="G637" s="11" t="s">
        <v>1802</v>
      </c>
      <c r="H637" s="11" t="s">
        <v>1959</v>
      </c>
      <c r="I637" s="11" t="s">
        <v>81</v>
      </c>
    </row>
    <row r="638" spans="1:9" x14ac:dyDescent="0.15">
      <c r="A638" s="10">
        <v>637</v>
      </c>
      <c r="B638" s="11" t="s">
        <v>9</v>
      </c>
      <c r="C638" s="11" t="s">
        <v>179</v>
      </c>
      <c r="D638" s="11" t="s">
        <v>180</v>
      </c>
      <c r="E638" s="9" t="str">
        <f>+HYPERLINK("http://trademark.i-assist.jp/data/china/image_1908th/79751326.pdf", "79751326")</f>
        <v>79751326</v>
      </c>
      <c r="F638" s="11" t="s">
        <v>1960</v>
      </c>
      <c r="G638" s="11" t="s">
        <v>1896</v>
      </c>
      <c r="H638" s="11" t="s">
        <v>1961</v>
      </c>
      <c r="I638" s="11" t="s">
        <v>81</v>
      </c>
    </row>
    <row r="639" spans="1:9" x14ac:dyDescent="0.15">
      <c r="A639" s="10">
        <v>638</v>
      </c>
      <c r="B639" s="11" t="s">
        <v>9</v>
      </c>
      <c r="C639" s="11" t="s">
        <v>179</v>
      </c>
      <c r="D639" s="11" t="s">
        <v>180</v>
      </c>
      <c r="E639" s="9" t="str">
        <f>+HYPERLINK("http://trademark.i-assist.jp/data/china/image_1908th/79751595.pdf", "79751595")</f>
        <v>79751595</v>
      </c>
      <c r="F639" s="11" t="s">
        <v>1962</v>
      </c>
      <c r="G639" s="11" t="s">
        <v>1963</v>
      </c>
      <c r="H639" s="11" t="s">
        <v>1964</v>
      </c>
      <c r="I639" s="11" t="s">
        <v>81</v>
      </c>
    </row>
    <row r="640" spans="1:9" x14ac:dyDescent="0.15">
      <c r="A640" s="10">
        <v>639</v>
      </c>
      <c r="B640" s="11" t="s">
        <v>9</v>
      </c>
      <c r="C640" s="11" t="s">
        <v>179</v>
      </c>
      <c r="D640" s="11" t="s">
        <v>180</v>
      </c>
      <c r="E640" s="9" t="str">
        <f>+HYPERLINK("http://trademark.i-assist.jp/data/china/image_1908th/79751791.pdf", "79751791")</f>
        <v>79751791</v>
      </c>
      <c r="F640" s="11" t="s">
        <v>1965</v>
      </c>
      <c r="G640" s="11" t="s">
        <v>1966</v>
      </c>
      <c r="H640" s="11" t="s">
        <v>1967</v>
      </c>
      <c r="I640" s="11" t="s">
        <v>81</v>
      </c>
    </row>
    <row r="641" spans="1:9" x14ac:dyDescent="0.15">
      <c r="A641" s="10">
        <v>640</v>
      </c>
      <c r="B641" s="11" t="s">
        <v>9</v>
      </c>
      <c r="C641" s="11" t="s">
        <v>179</v>
      </c>
      <c r="D641" s="11" t="s">
        <v>180</v>
      </c>
      <c r="E641" s="9" t="str">
        <f>+HYPERLINK("http://trademark.i-assist.jp/data/china/image_1908th/79752835.pdf", "79752835")</f>
        <v>79752835</v>
      </c>
      <c r="F641" s="11" t="s">
        <v>1968</v>
      </c>
      <c r="G641" s="11" t="s">
        <v>1969</v>
      </c>
      <c r="H641" s="11" t="s">
        <v>1970</v>
      </c>
      <c r="I641" s="11" t="s">
        <v>131</v>
      </c>
    </row>
    <row r="642" spans="1:9" x14ac:dyDescent="0.15">
      <c r="A642" s="10">
        <v>641</v>
      </c>
      <c r="B642" s="11" t="s">
        <v>9</v>
      </c>
      <c r="C642" s="11" t="s">
        <v>179</v>
      </c>
      <c r="D642" s="11" t="s">
        <v>180</v>
      </c>
      <c r="E642" s="9" t="str">
        <f>+HYPERLINK("http://trademark.i-assist.jp/data/china/image_1908th/79752852.pdf", "79752852")</f>
        <v>79752852</v>
      </c>
      <c r="F642" s="11" t="s">
        <v>1971</v>
      </c>
      <c r="G642" s="11" t="s">
        <v>1972</v>
      </c>
      <c r="H642" s="11" t="s">
        <v>1973</v>
      </c>
      <c r="I642" s="11" t="s">
        <v>131</v>
      </c>
    </row>
    <row r="643" spans="1:9" x14ac:dyDescent="0.15">
      <c r="A643" s="10">
        <v>642</v>
      </c>
      <c r="B643" s="11" t="s">
        <v>9</v>
      </c>
      <c r="C643" s="11" t="s">
        <v>179</v>
      </c>
      <c r="D643" s="11" t="s">
        <v>180</v>
      </c>
      <c r="E643" s="9" t="str">
        <f>+HYPERLINK("http://trademark.i-assist.jp/data/china/image_1908th/79752884.pdf", "79752884")</f>
        <v>79752884</v>
      </c>
      <c r="F643" s="11" t="s">
        <v>1974</v>
      </c>
      <c r="G643" s="11" t="s">
        <v>1972</v>
      </c>
      <c r="H643" s="11" t="s">
        <v>1975</v>
      </c>
      <c r="I643" s="11" t="s">
        <v>131</v>
      </c>
    </row>
    <row r="644" spans="1:9" x14ac:dyDescent="0.15">
      <c r="A644" s="10">
        <v>643</v>
      </c>
      <c r="B644" s="11" t="s">
        <v>9</v>
      </c>
      <c r="C644" s="11" t="s">
        <v>179</v>
      </c>
      <c r="D644" s="11" t="s">
        <v>180</v>
      </c>
      <c r="E644" s="9" t="str">
        <f>+HYPERLINK("http://trademark.i-assist.jp/data/china/image_1908th/79753396.pdf", "79753396")</f>
        <v>79753396</v>
      </c>
      <c r="F644" s="11" t="s">
        <v>1976</v>
      </c>
      <c r="G644" s="11" t="s">
        <v>134</v>
      </c>
      <c r="H644" s="11" t="s">
        <v>1977</v>
      </c>
      <c r="I644" s="11" t="s">
        <v>131</v>
      </c>
    </row>
    <row r="645" spans="1:9" x14ac:dyDescent="0.15">
      <c r="A645" s="10">
        <v>644</v>
      </c>
      <c r="B645" s="11" t="s">
        <v>9</v>
      </c>
      <c r="C645" s="11" t="s">
        <v>179</v>
      </c>
      <c r="D645" s="11" t="s">
        <v>180</v>
      </c>
      <c r="E645" s="9" t="str">
        <f>+HYPERLINK("http://trademark.i-assist.jp/data/china/image_1908th/79753598.pdf", "79753598")</f>
        <v>79753598</v>
      </c>
      <c r="F645" s="11" t="s">
        <v>1978</v>
      </c>
      <c r="G645" s="11" t="s">
        <v>120</v>
      </c>
      <c r="H645" s="11" t="s">
        <v>1979</v>
      </c>
      <c r="I645" s="11" t="s">
        <v>131</v>
      </c>
    </row>
    <row r="646" spans="1:9" x14ac:dyDescent="0.15">
      <c r="A646" s="10">
        <v>645</v>
      </c>
      <c r="B646" s="11" t="s">
        <v>9</v>
      </c>
      <c r="C646" s="11" t="s">
        <v>179</v>
      </c>
      <c r="D646" s="11" t="s">
        <v>180</v>
      </c>
      <c r="E646" s="9" t="str">
        <f>+HYPERLINK("http://trademark.i-assist.jp/data/china/image_1908th/79753628.pdf", "79753628")</f>
        <v>79753628</v>
      </c>
      <c r="F646" s="11" t="s">
        <v>1980</v>
      </c>
      <c r="G646" s="11" t="s">
        <v>1981</v>
      </c>
      <c r="H646" s="11" t="s">
        <v>1982</v>
      </c>
      <c r="I646" s="11" t="s">
        <v>131</v>
      </c>
    </row>
    <row r="647" spans="1:9" x14ac:dyDescent="0.15">
      <c r="A647" s="10">
        <v>646</v>
      </c>
      <c r="B647" s="11" t="s">
        <v>9</v>
      </c>
      <c r="C647" s="11" t="s">
        <v>179</v>
      </c>
      <c r="D647" s="11" t="s">
        <v>180</v>
      </c>
      <c r="E647" s="9" t="str">
        <f>+HYPERLINK("http://trademark.i-assist.jp/data/china/image_1908th/79753915.pdf", "79753915")</f>
        <v>79753915</v>
      </c>
      <c r="F647" s="11" t="s">
        <v>1983</v>
      </c>
      <c r="G647" s="11" t="s">
        <v>1984</v>
      </c>
      <c r="H647" s="11" t="s">
        <v>1985</v>
      </c>
      <c r="I647" s="11" t="s">
        <v>131</v>
      </c>
    </row>
    <row r="648" spans="1:9" x14ac:dyDescent="0.15">
      <c r="A648" s="10">
        <v>647</v>
      </c>
      <c r="B648" s="11" t="s">
        <v>9</v>
      </c>
      <c r="C648" s="11" t="s">
        <v>179</v>
      </c>
      <c r="D648" s="11" t="s">
        <v>180</v>
      </c>
      <c r="E648" s="9" t="str">
        <f>+HYPERLINK("http://trademark.i-assist.jp/data/china/image_1908th/79754480.pdf", "79754480")</f>
        <v>79754480</v>
      </c>
      <c r="F648" s="11" t="s">
        <v>1986</v>
      </c>
      <c r="G648" s="11" t="s">
        <v>1987</v>
      </c>
      <c r="H648" s="11" t="s">
        <v>1988</v>
      </c>
      <c r="I648" s="11" t="s">
        <v>131</v>
      </c>
    </row>
    <row r="649" spans="1:9" x14ac:dyDescent="0.15">
      <c r="A649" s="10">
        <v>648</v>
      </c>
      <c r="B649" s="11" t="s">
        <v>9</v>
      </c>
      <c r="C649" s="11" t="s">
        <v>179</v>
      </c>
      <c r="D649" s="11" t="s">
        <v>180</v>
      </c>
      <c r="E649" s="9" t="str">
        <f>+HYPERLINK("http://trademark.i-assist.jp/data/china/image_1908th/79754655.pdf", "79754655")</f>
        <v>79754655</v>
      </c>
      <c r="F649" s="11" t="s">
        <v>1989</v>
      </c>
      <c r="G649" s="11" t="s">
        <v>1990</v>
      </c>
      <c r="H649" s="11" t="s">
        <v>1991</v>
      </c>
      <c r="I649" s="11" t="s">
        <v>131</v>
      </c>
    </row>
    <row r="650" spans="1:9" x14ac:dyDescent="0.15">
      <c r="A650" s="10">
        <v>649</v>
      </c>
      <c r="B650" s="11" t="s">
        <v>9</v>
      </c>
      <c r="C650" s="11" t="s">
        <v>179</v>
      </c>
      <c r="D650" s="11" t="s">
        <v>180</v>
      </c>
      <c r="E650" s="9" t="str">
        <f>+HYPERLINK("http://trademark.i-assist.jp/data/china/image_1908th/79755028.pdf", "79755028")</f>
        <v>79755028</v>
      </c>
      <c r="F650" s="11" t="s">
        <v>1992</v>
      </c>
      <c r="G650" s="11" t="s">
        <v>1993</v>
      </c>
      <c r="H650" s="11" t="s">
        <v>1994</v>
      </c>
      <c r="I650" s="11" t="s">
        <v>131</v>
      </c>
    </row>
    <row r="651" spans="1:9" x14ac:dyDescent="0.15">
      <c r="A651" s="10">
        <v>650</v>
      </c>
      <c r="B651" s="11" t="s">
        <v>9</v>
      </c>
      <c r="C651" s="11" t="s">
        <v>179</v>
      </c>
      <c r="D651" s="11" t="s">
        <v>180</v>
      </c>
      <c r="E651" s="9" t="str">
        <f>+HYPERLINK("http://trademark.i-assist.jp/data/china/image_1908th/79755128.pdf", "79755128")</f>
        <v>79755128</v>
      </c>
      <c r="F651" s="11" t="s">
        <v>1995</v>
      </c>
      <c r="G651" s="11" t="s">
        <v>1996</v>
      </c>
      <c r="H651" s="11" t="s">
        <v>1997</v>
      </c>
      <c r="I651" s="11" t="s">
        <v>131</v>
      </c>
    </row>
    <row r="652" spans="1:9" x14ac:dyDescent="0.15">
      <c r="A652" s="10">
        <v>651</v>
      </c>
      <c r="B652" s="11" t="s">
        <v>9</v>
      </c>
      <c r="C652" s="11" t="s">
        <v>179</v>
      </c>
      <c r="D652" s="11" t="s">
        <v>180</v>
      </c>
      <c r="E652" s="9" t="str">
        <f>+HYPERLINK("http://trademark.i-assist.jp/data/china/image_1908th/79755642.pdf", "79755642")</f>
        <v>79755642</v>
      </c>
      <c r="F652" s="11" t="s">
        <v>1998</v>
      </c>
      <c r="G652" s="11" t="s">
        <v>1999</v>
      </c>
      <c r="H652" s="11" t="s">
        <v>2000</v>
      </c>
      <c r="I652" s="11" t="s">
        <v>131</v>
      </c>
    </row>
    <row r="653" spans="1:9" x14ac:dyDescent="0.15">
      <c r="A653" s="10">
        <v>652</v>
      </c>
      <c r="B653" s="11" t="s">
        <v>9</v>
      </c>
      <c r="C653" s="11" t="s">
        <v>179</v>
      </c>
      <c r="D653" s="11" t="s">
        <v>180</v>
      </c>
      <c r="E653" s="9" t="str">
        <f>+HYPERLINK("http://trademark.i-assist.jp/data/china/image_1908th/79756094.pdf", "79756094")</f>
        <v>79756094</v>
      </c>
      <c r="F653" s="11" t="s">
        <v>2001</v>
      </c>
      <c r="G653" s="11" t="s">
        <v>2002</v>
      </c>
      <c r="H653" s="11" t="s">
        <v>2003</v>
      </c>
      <c r="I653" s="11" t="s">
        <v>131</v>
      </c>
    </row>
    <row r="654" spans="1:9" x14ac:dyDescent="0.15">
      <c r="A654" s="10">
        <v>653</v>
      </c>
      <c r="B654" s="11" t="s">
        <v>9</v>
      </c>
      <c r="C654" s="11" t="s">
        <v>179</v>
      </c>
      <c r="D654" s="11" t="s">
        <v>180</v>
      </c>
      <c r="E654" s="9" t="str">
        <f>+HYPERLINK("http://trademark.i-assist.jp/data/china/image_1908th/79756209.pdf", "79756209")</f>
        <v>79756209</v>
      </c>
      <c r="F654" s="11" t="s">
        <v>2004</v>
      </c>
      <c r="G654" s="11" t="s">
        <v>2005</v>
      </c>
      <c r="H654" s="11" t="s">
        <v>2006</v>
      </c>
      <c r="I654" s="11" t="s">
        <v>131</v>
      </c>
    </row>
    <row r="655" spans="1:9" x14ac:dyDescent="0.15">
      <c r="A655" s="10">
        <v>654</v>
      </c>
      <c r="B655" s="11" t="s">
        <v>9</v>
      </c>
      <c r="C655" s="11" t="s">
        <v>179</v>
      </c>
      <c r="D655" s="11" t="s">
        <v>180</v>
      </c>
      <c r="E655" s="9" t="str">
        <f>+HYPERLINK("http://trademark.i-assist.jp/data/china/image_1908th/79757078.pdf", "79757078")</f>
        <v>79757078</v>
      </c>
      <c r="F655" s="11" t="s">
        <v>2007</v>
      </c>
      <c r="G655" s="11" t="s">
        <v>2008</v>
      </c>
      <c r="H655" s="11" t="s">
        <v>2009</v>
      </c>
      <c r="I655" s="11" t="s">
        <v>131</v>
      </c>
    </row>
    <row r="656" spans="1:9" x14ac:dyDescent="0.15">
      <c r="A656" s="10">
        <v>655</v>
      </c>
      <c r="B656" s="11" t="s">
        <v>9</v>
      </c>
      <c r="C656" s="11" t="s">
        <v>179</v>
      </c>
      <c r="D656" s="11" t="s">
        <v>180</v>
      </c>
      <c r="E656" s="9" t="str">
        <f>+HYPERLINK("http://trademark.i-assist.jp/data/china/image_1908th/79757208.pdf", "79757208")</f>
        <v>79757208</v>
      </c>
      <c r="F656" s="11" t="s">
        <v>2010</v>
      </c>
      <c r="G656" s="11" t="s">
        <v>2011</v>
      </c>
      <c r="H656" s="11" t="s">
        <v>2012</v>
      </c>
      <c r="I656" s="11" t="s">
        <v>131</v>
      </c>
    </row>
    <row r="657" spans="1:9" x14ac:dyDescent="0.15">
      <c r="A657" s="10">
        <v>656</v>
      </c>
      <c r="B657" s="11" t="s">
        <v>9</v>
      </c>
      <c r="C657" s="11" t="s">
        <v>179</v>
      </c>
      <c r="D657" s="11" t="s">
        <v>180</v>
      </c>
      <c r="E657" s="9" t="str">
        <f>+HYPERLINK("http://trademark.i-assist.jp/data/china/image_1908th/79757641.pdf", "79757641")</f>
        <v>79757641</v>
      </c>
      <c r="F657" s="11" t="s">
        <v>2013</v>
      </c>
      <c r="G657" s="11" t="s">
        <v>1972</v>
      </c>
      <c r="H657" s="11" t="s">
        <v>2014</v>
      </c>
      <c r="I657" s="11" t="s">
        <v>131</v>
      </c>
    </row>
    <row r="658" spans="1:9" x14ac:dyDescent="0.15">
      <c r="A658" s="10">
        <v>657</v>
      </c>
      <c r="B658" s="11" t="s">
        <v>9</v>
      </c>
      <c r="C658" s="11" t="s">
        <v>179</v>
      </c>
      <c r="D658" s="11" t="s">
        <v>180</v>
      </c>
      <c r="E658" s="9" t="str">
        <f>+HYPERLINK("http://trademark.i-assist.jp/data/china/image_1908th/79757677.pdf", "79757677")</f>
        <v>79757677</v>
      </c>
      <c r="F658" s="11" t="s">
        <v>2015</v>
      </c>
      <c r="G658" s="11" t="s">
        <v>1972</v>
      </c>
      <c r="H658" s="11" t="s">
        <v>2016</v>
      </c>
      <c r="I658" s="11" t="s">
        <v>131</v>
      </c>
    </row>
    <row r="659" spans="1:9" x14ac:dyDescent="0.15">
      <c r="A659" s="10">
        <v>658</v>
      </c>
      <c r="B659" s="11" t="s">
        <v>9</v>
      </c>
      <c r="C659" s="11" t="s">
        <v>179</v>
      </c>
      <c r="D659" s="11" t="s">
        <v>180</v>
      </c>
      <c r="E659" s="9" t="str">
        <f>+HYPERLINK("http://trademark.i-assist.jp/data/china/image_1908th/79757854.pdf", "79757854")</f>
        <v>79757854</v>
      </c>
      <c r="F659" s="11" t="s">
        <v>2017</v>
      </c>
      <c r="G659" s="11" t="s">
        <v>2018</v>
      </c>
      <c r="H659" s="11" t="s">
        <v>2019</v>
      </c>
      <c r="I659" s="11" t="s">
        <v>131</v>
      </c>
    </row>
    <row r="660" spans="1:9" x14ac:dyDescent="0.15">
      <c r="A660" s="10">
        <v>659</v>
      </c>
      <c r="B660" s="11" t="s">
        <v>9</v>
      </c>
      <c r="C660" s="11" t="s">
        <v>179</v>
      </c>
      <c r="D660" s="11" t="s">
        <v>180</v>
      </c>
      <c r="E660" s="9" t="str">
        <f>+HYPERLINK("http://trademark.i-assist.jp/data/china/image_1908th/79757970.pdf", "79757970")</f>
        <v>79757970</v>
      </c>
      <c r="F660" s="11" t="s">
        <v>2020</v>
      </c>
      <c r="G660" s="11" t="s">
        <v>2021</v>
      </c>
      <c r="H660" s="11" t="s">
        <v>2022</v>
      </c>
      <c r="I660" s="11" t="s">
        <v>131</v>
      </c>
    </row>
    <row r="661" spans="1:9" x14ac:dyDescent="0.15">
      <c r="A661" s="10">
        <v>660</v>
      </c>
      <c r="B661" s="11" t="s">
        <v>9</v>
      </c>
      <c r="C661" s="11" t="s">
        <v>179</v>
      </c>
      <c r="D661" s="11" t="s">
        <v>180</v>
      </c>
      <c r="E661" s="9" t="str">
        <f>+HYPERLINK("http://trademark.i-assist.jp/data/china/image_1908th/79758026.pdf", "79758026")</f>
        <v>79758026</v>
      </c>
      <c r="F661" s="11" t="s">
        <v>2023</v>
      </c>
      <c r="G661" s="11" t="s">
        <v>2024</v>
      </c>
      <c r="H661" s="11" t="s">
        <v>2025</v>
      </c>
      <c r="I661" s="11" t="s">
        <v>131</v>
      </c>
    </row>
    <row r="662" spans="1:9" x14ac:dyDescent="0.15">
      <c r="A662" s="10">
        <v>661</v>
      </c>
      <c r="B662" s="11" t="s">
        <v>9</v>
      </c>
      <c r="C662" s="11" t="s">
        <v>179</v>
      </c>
      <c r="D662" s="11" t="s">
        <v>180</v>
      </c>
      <c r="E662" s="9" t="str">
        <f>+HYPERLINK("http://trademark.i-assist.jp/data/china/image_1908th/79758035.pdf", "79758035")</f>
        <v>79758035</v>
      </c>
      <c r="F662" s="11" t="s">
        <v>2026</v>
      </c>
      <c r="G662" s="11" t="s">
        <v>2027</v>
      </c>
      <c r="H662" s="11" t="s">
        <v>2028</v>
      </c>
      <c r="I662" s="11" t="s">
        <v>131</v>
      </c>
    </row>
    <row r="663" spans="1:9" x14ac:dyDescent="0.15">
      <c r="A663" s="10">
        <v>662</v>
      </c>
      <c r="B663" s="11" t="s">
        <v>9</v>
      </c>
      <c r="C663" s="11" t="s">
        <v>179</v>
      </c>
      <c r="D663" s="11" t="s">
        <v>180</v>
      </c>
      <c r="E663" s="9" t="str">
        <f>+HYPERLINK("http://trademark.i-assist.jp/data/china/image_1908th/79758049.pdf", "79758049")</f>
        <v>79758049</v>
      </c>
      <c r="F663" s="11" t="s">
        <v>2029</v>
      </c>
      <c r="G663" s="11" t="s">
        <v>2030</v>
      </c>
      <c r="H663" s="11" t="s">
        <v>2031</v>
      </c>
      <c r="I663" s="11" t="s">
        <v>131</v>
      </c>
    </row>
    <row r="664" spans="1:9" x14ac:dyDescent="0.15">
      <c r="A664" s="10">
        <v>663</v>
      </c>
      <c r="B664" s="11" t="s">
        <v>9</v>
      </c>
      <c r="C664" s="11" t="s">
        <v>179</v>
      </c>
      <c r="D664" s="11" t="s">
        <v>180</v>
      </c>
      <c r="E664" s="9" t="str">
        <f>+HYPERLINK("http://trademark.i-assist.jp/data/china/image_1908th/79758082.pdf", "79758082")</f>
        <v>79758082</v>
      </c>
      <c r="F664" s="11" t="s">
        <v>2032</v>
      </c>
      <c r="G664" s="11" t="s">
        <v>2033</v>
      </c>
      <c r="H664" s="11" t="s">
        <v>2034</v>
      </c>
      <c r="I664" s="11" t="s">
        <v>131</v>
      </c>
    </row>
    <row r="665" spans="1:9" x14ac:dyDescent="0.15">
      <c r="A665" s="10">
        <v>664</v>
      </c>
      <c r="B665" s="11" t="s">
        <v>9</v>
      </c>
      <c r="C665" s="11" t="s">
        <v>179</v>
      </c>
      <c r="D665" s="11" t="s">
        <v>180</v>
      </c>
      <c r="E665" s="9" t="str">
        <f>+HYPERLINK("http://trademark.i-assist.jp/data/china/image_1908th/79758300.pdf", "79758300")</f>
        <v>79758300</v>
      </c>
      <c r="F665" s="11" t="s">
        <v>2035</v>
      </c>
      <c r="G665" s="11" t="s">
        <v>2036</v>
      </c>
      <c r="H665" s="11" t="s">
        <v>2037</v>
      </c>
      <c r="I665" s="11" t="s">
        <v>131</v>
      </c>
    </row>
    <row r="666" spans="1:9" x14ac:dyDescent="0.15">
      <c r="A666" s="10">
        <v>665</v>
      </c>
      <c r="B666" s="11" t="s">
        <v>9</v>
      </c>
      <c r="C666" s="11" t="s">
        <v>179</v>
      </c>
      <c r="D666" s="11" t="s">
        <v>180</v>
      </c>
      <c r="E666" s="9" t="str">
        <f>+HYPERLINK("http://trademark.i-assist.jp/data/china/image_1908th/79758991.pdf", "79758991")</f>
        <v>79758991</v>
      </c>
      <c r="F666" s="11" t="s">
        <v>2038</v>
      </c>
      <c r="G666" s="11" t="s">
        <v>2039</v>
      </c>
      <c r="H666" s="11" t="s">
        <v>2040</v>
      </c>
      <c r="I666" s="11" t="s">
        <v>131</v>
      </c>
    </row>
    <row r="667" spans="1:9" x14ac:dyDescent="0.15">
      <c r="A667" s="10">
        <v>666</v>
      </c>
      <c r="B667" s="11" t="s">
        <v>9</v>
      </c>
      <c r="C667" s="11" t="s">
        <v>179</v>
      </c>
      <c r="D667" s="11" t="s">
        <v>180</v>
      </c>
      <c r="E667" s="9" t="str">
        <f>+HYPERLINK("http://trademark.i-assist.jp/data/china/image_1908th/79759007.pdf", "79759007")</f>
        <v>79759007</v>
      </c>
      <c r="F667" s="11" t="s">
        <v>2041</v>
      </c>
      <c r="G667" s="11" t="s">
        <v>2042</v>
      </c>
      <c r="H667" s="11" t="s">
        <v>2043</v>
      </c>
      <c r="I667" s="11" t="s">
        <v>131</v>
      </c>
    </row>
    <row r="668" spans="1:9" x14ac:dyDescent="0.15">
      <c r="A668" s="10">
        <v>667</v>
      </c>
      <c r="B668" s="11" t="s">
        <v>9</v>
      </c>
      <c r="C668" s="11" t="s">
        <v>179</v>
      </c>
      <c r="D668" s="11" t="s">
        <v>180</v>
      </c>
      <c r="E668" s="9" t="str">
        <f>+HYPERLINK("http://trademark.i-assist.jp/data/china/image_1908th/79759018.pdf", "79759018")</f>
        <v>79759018</v>
      </c>
      <c r="F668" s="11" t="s">
        <v>2044</v>
      </c>
      <c r="G668" s="11" t="s">
        <v>2045</v>
      </c>
      <c r="H668" s="11" t="s">
        <v>2046</v>
      </c>
      <c r="I668" s="11" t="s">
        <v>131</v>
      </c>
    </row>
    <row r="669" spans="1:9" x14ac:dyDescent="0.15">
      <c r="A669" s="10">
        <v>668</v>
      </c>
      <c r="B669" s="11" t="s">
        <v>9</v>
      </c>
      <c r="C669" s="11" t="s">
        <v>179</v>
      </c>
      <c r="D669" s="11" t="s">
        <v>180</v>
      </c>
      <c r="E669" s="9" t="str">
        <f>+HYPERLINK("http://trademark.i-assist.jp/data/china/image_1908th/79759320.pdf", "79759320")</f>
        <v>79759320</v>
      </c>
      <c r="F669" s="11" t="s">
        <v>2047</v>
      </c>
      <c r="G669" s="11" t="s">
        <v>2048</v>
      </c>
      <c r="H669" s="11" t="s">
        <v>2049</v>
      </c>
      <c r="I669" s="11" t="s">
        <v>131</v>
      </c>
    </row>
    <row r="670" spans="1:9" x14ac:dyDescent="0.15">
      <c r="A670" s="10">
        <v>669</v>
      </c>
      <c r="B670" s="11" t="s">
        <v>9</v>
      </c>
      <c r="C670" s="11" t="s">
        <v>179</v>
      </c>
      <c r="D670" s="11" t="s">
        <v>180</v>
      </c>
      <c r="E670" s="9" t="str">
        <f>+HYPERLINK("http://trademark.i-assist.jp/data/china/image_1908th/79759709.pdf", "79759709")</f>
        <v>79759709</v>
      </c>
      <c r="F670" s="11" t="s">
        <v>2050</v>
      </c>
      <c r="G670" s="11" t="s">
        <v>2051</v>
      </c>
      <c r="H670" s="11" t="s">
        <v>2052</v>
      </c>
      <c r="I670" s="11" t="s">
        <v>131</v>
      </c>
    </row>
    <row r="671" spans="1:9" x14ac:dyDescent="0.15">
      <c r="A671" s="10">
        <v>670</v>
      </c>
      <c r="B671" s="11" t="s">
        <v>9</v>
      </c>
      <c r="C671" s="11" t="s">
        <v>179</v>
      </c>
      <c r="D671" s="11" t="s">
        <v>180</v>
      </c>
      <c r="E671" s="9" t="str">
        <f>+HYPERLINK("http://trademark.i-assist.jp/data/china/image_1908th/79760051.pdf", "79760051")</f>
        <v>79760051</v>
      </c>
      <c r="F671" s="11" t="s">
        <v>2053</v>
      </c>
      <c r="G671" s="11" t="s">
        <v>2054</v>
      </c>
      <c r="H671" s="11" t="s">
        <v>2055</v>
      </c>
      <c r="I671" s="11" t="s">
        <v>131</v>
      </c>
    </row>
    <row r="672" spans="1:9" x14ac:dyDescent="0.15">
      <c r="A672" s="10">
        <v>671</v>
      </c>
      <c r="B672" s="11" t="s">
        <v>9</v>
      </c>
      <c r="C672" s="11" t="s">
        <v>179</v>
      </c>
      <c r="D672" s="11" t="s">
        <v>180</v>
      </c>
      <c r="E672" s="9" t="str">
        <f>+HYPERLINK("http://trademark.i-assist.jp/data/china/image_1908th/79761467.pdf", "79761467")</f>
        <v>79761467</v>
      </c>
      <c r="F672" s="11" t="s">
        <v>2056</v>
      </c>
      <c r="G672" s="11" t="s">
        <v>1972</v>
      </c>
      <c r="H672" s="11" t="s">
        <v>2057</v>
      </c>
      <c r="I672" s="11" t="s">
        <v>131</v>
      </c>
    </row>
    <row r="673" spans="1:9" x14ac:dyDescent="0.15">
      <c r="A673" s="10">
        <v>672</v>
      </c>
      <c r="B673" s="11" t="s">
        <v>9</v>
      </c>
      <c r="C673" s="11" t="s">
        <v>179</v>
      </c>
      <c r="D673" s="11" t="s">
        <v>180</v>
      </c>
      <c r="E673" s="9" t="str">
        <f>+HYPERLINK("http://trademark.i-assist.jp/data/china/image_1908th/79761525.pdf", "79761525")</f>
        <v>79761525</v>
      </c>
      <c r="F673" s="11" t="s">
        <v>2058</v>
      </c>
      <c r="G673" s="11" t="s">
        <v>2059</v>
      </c>
      <c r="H673" s="11" t="s">
        <v>2060</v>
      </c>
      <c r="I673" s="11" t="s">
        <v>131</v>
      </c>
    </row>
    <row r="674" spans="1:9" x14ac:dyDescent="0.15">
      <c r="A674" s="10">
        <v>673</v>
      </c>
      <c r="B674" s="11" t="s">
        <v>9</v>
      </c>
      <c r="C674" s="11" t="s">
        <v>179</v>
      </c>
      <c r="D674" s="11" t="s">
        <v>180</v>
      </c>
      <c r="E674" s="9" t="str">
        <f>+HYPERLINK("http://trademark.i-assist.jp/data/china/image_1908th/79761534.pdf", "79761534")</f>
        <v>79761534</v>
      </c>
      <c r="F674" s="11" t="s">
        <v>2061</v>
      </c>
      <c r="G674" s="11" t="s">
        <v>1972</v>
      </c>
      <c r="H674" s="11" t="s">
        <v>2062</v>
      </c>
      <c r="I674" s="11" t="s">
        <v>131</v>
      </c>
    </row>
    <row r="675" spans="1:9" x14ac:dyDescent="0.15">
      <c r="A675" s="10">
        <v>674</v>
      </c>
      <c r="B675" s="11" t="s">
        <v>9</v>
      </c>
      <c r="C675" s="11" t="s">
        <v>179</v>
      </c>
      <c r="D675" s="11" t="s">
        <v>180</v>
      </c>
      <c r="E675" s="9" t="str">
        <f>+HYPERLINK("http://trademark.i-assist.jp/data/china/image_1908th/79762237.pdf", "79762237")</f>
        <v>79762237</v>
      </c>
      <c r="F675" s="11" t="s">
        <v>2063</v>
      </c>
      <c r="G675" s="11" t="s">
        <v>2064</v>
      </c>
      <c r="H675" s="11" t="s">
        <v>2065</v>
      </c>
      <c r="I675" s="11" t="s">
        <v>131</v>
      </c>
    </row>
    <row r="676" spans="1:9" x14ac:dyDescent="0.15">
      <c r="A676" s="10">
        <v>675</v>
      </c>
      <c r="B676" s="11" t="s">
        <v>9</v>
      </c>
      <c r="C676" s="11" t="s">
        <v>179</v>
      </c>
      <c r="D676" s="11" t="s">
        <v>180</v>
      </c>
      <c r="E676" s="9" t="str">
        <f>+HYPERLINK("http://trademark.i-assist.jp/data/china/image_1908th/79762580.pdf", "79762580")</f>
        <v>79762580</v>
      </c>
      <c r="F676" s="11" t="s">
        <v>2066</v>
      </c>
      <c r="G676" s="11" t="s">
        <v>2067</v>
      </c>
      <c r="H676" s="11" t="s">
        <v>2068</v>
      </c>
      <c r="I676" s="11" t="s">
        <v>131</v>
      </c>
    </row>
    <row r="677" spans="1:9" x14ac:dyDescent="0.15">
      <c r="A677" s="10">
        <v>676</v>
      </c>
      <c r="B677" s="11" t="s">
        <v>9</v>
      </c>
      <c r="C677" s="11" t="s">
        <v>179</v>
      </c>
      <c r="D677" s="11" t="s">
        <v>180</v>
      </c>
      <c r="E677" s="9" t="str">
        <f>+HYPERLINK("http://trademark.i-assist.jp/data/china/image_1908th/79762800.pdf", "79762800")</f>
        <v>79762800</v>
      </c>
      <c r="F677" s="11" t="s">
        <v>2069</v>
      </c>
      <c r="G677" s="11" t="s">
        <v>2070</v>
      </c>
      <c r="H677" s="11" t="s">
        <v>2071</v>
      </c>
      <c r="I677" s="11" t="s">
        <v>131</v>
      </c>
    </row>
    <row r="678" spans="1:9" x14ac:dyDescent="0.15">
      <c r="A678" s="10">
        <v>677</v>
      </c>
      <c r="B678" s="11" t="s">
        <v>9</v>
      </c>
      <c r="C678" s="11" t="s">
        <v>179</v>
      </c>
      <c r="D678" s="11" t="s">
        <v>180</v>
      </c>
      <c r="E678" s="9" t="str">
        <f>+HYPERLINK("http://trademark.i-assist.jp/data/china/image_1908th/79762917.pdf", "79762917")</f>
        <v>79762917</v>
      </c>
      <c r="F678" s="11" t="s">
        <v>2072</v>
      </c>
      <c r="G678" s="11" t="s">
        <v>2073</v>
      </c>
      <c r="H678" s="11" t="s">
        <v>2074</v>
      </c>
      <c r="I678" s="11" t="s">
        <v>131</v>
      </c>
    </row>
    <row r="679" spans="1:9" x14ac:dyDescent="0.15">
      <c r="A679" s="10">
        <v>678</v>
      </c>
      <c r="B679" s="11" t="s">
        <v>9</v>
      </c>
      <c r="C679" s="11" t="s">
        <v>179</v>
      </c>
      <c r="D679" s="11" t="s">
        <v>180</v>
      </c>
      <c r="E679" s="9" t="str">
        <f>+HYPERLINK("http://trademark.i-assist.jp/data/china/image_1908th/79762918.pdf", "79762918")</f>
        <v>79762918</v>
      </c>
      <c r="F679" s="11" t="s">
        <v>2075</v>
      </c>
      <c r="G679" s="11" t="s">
        <v>1389</v>
      </c>
      <c r="H679" s="11" t="s">
        <v>2076</v>
      </c>
      <c r="I679" s="11" t="s">
        <v>131</v>
      </c>
    </row>
    <row r="680" spans="1:9" x14ac:dyDescent="0.15">
      <c r="A680" s="10">
        <v>679</v>
      </c>
      <c r="B680" s="11" t="s">
        <v>9</v>
      </c>
      <c r="C680" s="11" t="s">
        <v>179</v>
      </c>
      <c r="D680" s="11" t="s">
        <v>180</v>
      </c>
      <c r="E680" s="9" t="str">
        <f>+HYPERLINK("http://trademark.i-assist.jp/data/china/image_1908th/79763100.pdf", "79763100")</f>
        <v>79763100</v>
      </c>
      <c r="F680" s="11" t="s">
        <v>2077</v>
      </c>
      <c r="G680" s="11" t="s">
        <v>2078</v>
      </c>
      <c r="H680" s="11" t="s">
        <v>2079</v>
      </c>
      <c r="I680" s="11" t="s">
        <v>131</v>
      </c>
    </row>
    <row r="681" spans="1:9" x14ac:dyDescent="0.15">
      <c r="A681" s="10">
        <v>680</v>
      </c>
      <c r="B681" s="11" t="s">
        <v>9</v>
      </c>
      <c r="C681" s="11" t="s">
        <v>179</v>
      </c>
      <c r="D681" s="11" t="s">
        <v>180</v>
      </c>
      <c r="E681" s="9" t="str">
        <f>+HYPERLINK("http://trademark.i-assist.jp/data/china/image_1908th/79763511.pdf", "79763511")</f>
        <v>79763511</v>
      </c>
      <c r="F681" s="11" t="s">
        <v>2080</v>
      </c>
      <c r="G681" s="11" t="s">
        <v>2081</v>
      </c>
      <c r="H681" s="11" t="s">
        <v>2082</v>
      </c>
      <c r="I681" s="11" t="s">
        <v>131</v>
      </c>
    </row>
    <row r="682" spans="1:9" x14ac:dyDescent="0.15">
      <c r="A682" s="10">
        <v>681</v>
      </c>
      <c r="B682" s="11" t="s">
        <v>9</v>
      </c>
      <c r="C682" s="11" t="s">
        <v>179</v>
      </c>
      <c r="D682" s="11" t="s">
        <v>180</v>
      </c>
      <c r="E682" s="9" t="str">
        <f>+HYPERLINK("http://trademark.i-assist.jp/data/china/image_1908th/79763878.pdf", "79763878")</f>
        <v>79763878</v>
      </c>
      <c r="F682" s="11" t="s">
        <v>2083</v>
      </c>
      <c r="G682" s="11" t="s">
        <v>2084</v>
      </c>
      <c r="H682" s="11" t="s">
        <v>2085</v>
      </c>
      <c r="I682" s="11" t="s">
        <v>131</v>
      </c>
    </row>
    <row r="683" spans="1:9" x14ac:dyDescent="0.15">
      <c r="A683" s="10">
        <v>682</v>
      </c>
      <c r="B683" s="11" t="s">
        <v>9</v>
      </c>
      <c r="C683" s="11" t="s">
        <v>179</v>
      </c>
      <c r="D683" s="11" t="s">
        <v>180</v>
      </c>
      <c r="E683" s="9" t="str">
        <f>+HYPERLINK("http://trademark.i-assist.jp/data/china/image_1908th/79764047.pdf", "79764047")</f>
        <v>79764047</v>
      </c>
      <c r="F683" s="11" t="s">
        <v>2086</v>
      </c>
      <c r="G683" s="11" t="s">
        <v>2087</v>
      </c>
      <c r="H683" s="11" t="s">
        <v>2088</v>
      </c>
      <c r="I683" s="11" t="s">
        <v>131</v>
      </c>
    </row>
    <row r="684" spans="1:9" x14ac:dyDescent="0.15">
      <c r="A684" s="10">
        <v>683</v>
      </c>
      <c r="B684" s="11" t="s">
        <v>9</v>
      </c>
      <c r="C684" s="11" t="s">
        <v>179</v>
      </c>
      <c r="D684" s="11" t="s">
        <v>180</v>
      </c>
      <c r="E684" s="9" t="str">
        <f>+HYPERLINK("http://trademark.i-assist.jp/data/china/image_1908th/79764785.pdf", "79764785")</f>
        <v>79764785</v>
      </c>
      <c r="F684" s="11" t="s">
        <v>2089</v>
      </c>
      <c r="G684" s="11" t="s">
        <v>2090</v>
      </c>
      <c r="H684" s="11" t="s">
        <v>2091</v>
      </c>
      <c r="I684" s="11" t="s">
        <v>131</v>
      </c>
    </row>
    <row r="685" spans="1:9" x14ac:dyDescent="0.15">
      <c r="A685" s="10">
        <v>684</v>
      </c>
      <c r="B685" s="11" t="s">
        <v>9</v>
      </c>
      <c r="C685" s="11" t="s">
        <v>179</v>
      </c>
      <c r="D685" s="11" t="s">
        <v>180</v>
      </c>
      <c r="E685" s="9" t="str">
        <f>+HYPERLINK("http://trademark.i-assist.jp/data/china/image_1908th/79765707.pdf", "79765707")</f>
        <v>79765707</v>
      </c>
      <c r="F685" s="11" t="s">
        <v>2092</v>
      </c>
      <c r="G685" s="11" t="s">
        <v>2093</v>
      </c>
      <c r="H685" s="11" t="s">
        <v>2094</v>
      </c>
      <c r="I685" s="11" t="s">
        <v>131</v>
      </c>
    </row>
    <row r="686" spans="1:9" x14ac:dyDescent="0.15">
      <c r="A686" s="10">
        <v>685</v>
      </c>
      <c r="B686" s="11" t="s">
        <v>9</v>
      </c>
      <c r="C686" s="11" t="s">
        <v>179</v>
      </c>
      <c r="D686" s="11" t="s">
        <v>180</v>
      </c>
      <c r="E686" s="9" t="str">
        <f>+HYPERLINK("http://trademark.i-assist.jp/data/china/image_1908th/79765719.pdf", "79765719")</f>
        <v>79765719</v>
      </c>
      <c r="F686" s="11" t="s">
        <v>2095</v>
      </c>
      <c r="G686" s="11" t="s">
        <v>136</v>
      </c>
      <c r="H686" s="11" t="s">
        <v>2096</v>
      </c>
      <c r="I686" s="11" t="s">
        <v>131</v>
      </c>
    </row>
    <row r="687" spans="1:9" x14ac:dyDescent="0.15">
      <c r="A687" s="10">
        <v>686</v>
      </c>
      <c r="B687" s="11" t="s">
        <v>9</v>
      </c>
      <c r="C687" s="11" t="s">
        <v>179</v>
      </c>
      <c r="D687" s="11" t="s">
        <v>180</v>
      </c>
      <c r="E687" s="9" t="str">
        <f>+HYPERLINK("http://trademark.i-assist.jp/data/china/image_1908th/79765727.pdf", "79765727")</f>
        <v>79765727</v>
      </c>
      <c r="F687" s="11" t="s">
        <v>2097</v>
      </c>
      <c r="G687" s="11" t="s">
        <v>2098</v>
      </c>
      <c r="H687" s="11" t="s">
        <v>2099</v>
      </c>
      <c r="I687" s="11" t="s">
        <v>131</v>
      </c>
    </row>
    <row r="688" spans="1:9" x14ac:dyDescent="0.15">
      <c r="A688" s="10">
        <v>687</v>
      </c>
      <c r="B688" s="11" t="s">
        <v>9</v>
      </c>
      <c r="C688" s="11" t="s">
        <v>179</v>
      </c>
      <c r="D688" s="11" t="s">
        <v>180</v>
      </c>
      <c r="E688" s="9" t="str">
        <f>+HYPERLINK("http://trademark.i-assist.jp/data/china/image_1908th/79765938.pdf", "79765938")</f>
        <v>79765938</v>
      </c>
      <c r="F688" s="11" t="s">
        <v>2100</v>
      </c>
      <c r="G688" s="11" t="s">
        <v>2101</v>
      </c>
      <c r="H688" s="11" t="s">
        <v>2102</v>
      </c>
      <c r="I688" s="11" t="s">
        <v>131</v>
      </c>
    </row>
    <row r="689" spans="1:9" x14ac:dyDescent="0.15">
      <c r="A689" s="10">
        <v>688</v>
      </c>
      <c r="B689" s="11" t="s">
        <v>9</v>
      </c>
      <c r="C689" s="11" t="s">
        <v>179</v>
      </c>
      <c r="D689" s="11" t="s">
        <v>180</v>
      </c>
      <c r="E689" s="9" t="str">
        <f>+HYPERLINK("http://trademark.i-assist.jp/data/china/image_1908th/79766351.pdf", "79766351")</f>
        <v>79766351</v>
      </c>
      <c r="F689" s="11" t="s">
        <v>2103</v>
      </c>
      <c r="G689" s="11" t="s">
        <v>2104</v>
      </c>
      <c r="H689" s="11" t="s">
        <v>2105</v>
      </c>
      <c r="I689" s="11" t="s">
        <v>131</v>
      </c>
    </row>
    <row r="690" spans="1:9" x14ac:dyDescent="0.15">
      <c r="A690" s="10">
        <v>689</v>
      </c>
      <c r="B690" s="11" t="s">
        <v>9</v>
      </c>
      <c r="C690" s="11" t="s">
        <v>179</v>
      </c>
      <c r="D690" s="11" t="s">
        <v>180</v>
      </c>
      <c r="E690" s="9" t="str">
        <f>+HYPERLINK("http://trademark.i-assist.jp/data/china/image_1908th/79766839.pdf", "79766839")</f>
        <v>79766839</v>
      </c>
      <c r="F690" s="11" t="s">
        <v>2106</v>
      </c>
      <c r="G690" s="11" t="s">
        <v>2107</v>
      </c>
      <c r="H690" s="11" t="s">
        <v>2108</v>
      </c>
      <c r="I690" s="11" t="s">
        <v>131</v>
      </c>
    </row>
    <row r="691" spans="1:9" x14ac:dyDescent="0.15">
      <c r="A691" s="10">
        <v>690</v>
      </c>
      <c r="B691" s="11" t="s">
        <v>9</v>
      </c>
      <c r="C691" s="11" t="s">
        <v>179</v>
      </c>
      <c r="D691" s="11" t="s">
        <v>180</v>
      </c>
      <c r="E691" s="9" t="str">
        <f>+HYPERLINK("http://trademark.i-assist.jp/data/china/image_1908th/79766894.pdf", "79766894")</f>
        <v>79766894</v>
      </c>
      <c r="F691" s="11" t="s">
        <v>2109</v>
      </c>
      <c r="G691" s="11" t="s">
        <v>2110</v>
      </c>
      <c r="H691" s="11" t="s">
        <v>2111</v>
      </c>
      <c r="I691" s="11" t="s">
        <v>131</v>
      </c>
    </row>
    <row r="692" spans="1:9" x14ac:dyDescent="0.15">
      <c r="A692" s="10">
        <v>691</v>
      </c>
      <c r="B692" s="11" t="s">
        <v>9</v>
      </c>
      <c r="C692" s="11" t="s">
        <v>179</v>
      </c>
      <c r="D692" s="11" t="s">
        <v>180</v>
      </c>
      <c r="E692" s="9" t="str">
        <f>+HYPERLINK("http://trademark.i-assist.jp/data/china/image_1908th/79767182.pdf", "79767182")</f>
        <v>79767182</v>
      </c>
      <c r="F692" s="11" t="s">
        <v>2112</v>
      </c>
      <c r="G692" s="11" t="s">
        <v>137</v>
      </c>
      <c r="H692" s="11" t="s">
        <v>2113</v>
      </c>
      <c r="I692" s="11" t="s">
        <v>131</v>
      </c>
    </row>
    <row r="693" spans="1:9" x14ac:dyDescent="0.15">
      <c r="A693" s="10">
        <v>692</v>
      </c>
      <c r="B693" s="11" t="s">
        <v>9</v>
      </c>
      <c r="C693" s="11" t="s">
        <v>179</v>
      </c>
      <c r="D693" s="11" t="s">
        <v>180</v>
      </c>
      <c r="E693" s="9" t="str">
        <f>+HYPERLINK("http://trademark.i-assist.jp/data/china/image_1908th/79767752.pdf", "79767752")</f>
        <v>79767752</v>
      </c>
      <c r="F693" s="11" t="s">
        <v>2114</v>
      </c>
      <c r="G693" s="11" t="s">
        <v>2115</v>
      </c>
      <c r="H693" s="11" t="s">
        <v>2116</v>
      </c>
      <c r="I693" s="11" t="s">
        <v>131</v>
      </c>
    </row>
    <row r="694" spans="1:9" x14ac:dyDescent="0.15">
      <c r="A694" s="10">
        <v>693</v>
      </c>
      <c r="B694" s="11" t="s">
        <v>9</v>
      </c>
      <c r="C694" s="11" t="s">
        <v>179</v>
      </c>
      <c r="D694" s="11" t="s">
        <v>180</v>
      </c>
      <c r="E694" s="9" t="str">
        <f>+HYPERLINK("http://trademark.i-assist.jp/data/china/image_1908th/79767790.pdf", "79767790")</f>
        <v>79767790</v>
      </c>
      <c r="F694" s="11" t="s">
        <v>2117</v>
      </c>
      <c r="G694" s="11" t="s">
        <v>1972</v>
      </c>
      <c r="H694" s="11" t="s">
        <v>2118</v>
      </c>
      <c r="I694" s="11" t="s">
        <v>131</v>
      </c>
    </row>
    <row r="695" spans="1:9" x14ac:dyDescent="0.15">
      <c r="A695" s="10">
        <v>694</v>
      </c>
      <c r="B695" s="11" t="s">
        <v>9</v>
      </c>
      <c r="C695" s="11" t="s">
        <v>179</v>
      </c>
      <c r="D695" s="11" t="s">
        <v>180</v>
      </c>
      <c r="E695" s="9" t="str">
        <f>+HYPERLINK("http://trademark.i-assist.jp/data/china/image_1908th/79767828.pdf", "79767828")</f>
        <v>79767828</v>
      </c>
      <c r="F695" s="11" t="s">
        <v>2119</v>
      </c>
      <c r="G695" s="11" t="s">
        <v>2059</v>
      </c>
      <c r="H695" s="11" t="s">
        <v>2120</v>
      </c>
      <c r="I695" s="11" t="s">
        <v>131</v>
      </c>
    </row>
    <row r="696" spans="1:9" x14ac:dyDescent="0.15">
      <c r="A696" s="10">
        <v>695</v>
      </c>
      <c r="B696" s="11" t="s">
        <v>9</v>
      </c>
      <c r="C696" s="11" t="s">
        <v>179</v>
      </c>
      <c r="D696" s="11" t="s">
        <v>180</v>
      </c>
      <c r="E696" s="9" t="str">
        <f>+HYPERLINK("http://trademark.i-assist.jp/data/china/image_1908th/79767945.pdf", "79767945")</f>
        <v>79767945</v>
      </c>
      <c r="F696" s="11" t="s">
        <v>2121</v>
      </c>
      <c r="G696" s="11" t="s">
        <v>1748</v>
      </c>
      <c r="H696" s="11" t="s">
        <v>2122</v>
      </c>
      <c r="I696" s="11" t="s">
        <v>131</v>
      </c>
    </row>
    <row r="697" spans="1:9" x14ac:dyDescent="0.15">
      <c r="A697" s="10">
        <v>696</v>
      </c>
      <c r="B697" s="11" t="s">
        <v>9</v>
      </c>
      <c r="C697" s="11" t="s">
        <v>179</v>
      </c>
      <c r="D697" s="11" t="s">
        <v>180</v>
      </c>
      <c r="E697" s="9" t="str">
        <f>+HYPERLINK("http://trademark.i-assist.jp/data/china/image_1908th/79767983.pdf", "79767983")</f>
        <v>79767983</v>
      </c>
      <c r="F697" s="11" t="s">
        <v>2123</v>
      </c>
      <c r="G697" s="11" t="s">
        <v>2124</v>
      </c>
      <c r="H697" s="11" t="s">
        <v>2125</v>
      </c>
      <c r="I697" s="11" t="s">
        <v>131</v>
      </c>
    </row>
    <row r="698" spans="1:9" x14ac:dyDescent="0.15">
      <c r="A698" s="10">
        <v>697</v>
      </c>
      <c r="B698" s="11" t="s">
        <v>9</v>
      </c>
      <c r="C698" s="11" t="s">
        <v>179</v>
      </c>
      <c r="D698" s="11" t="s">
        <v>180</v>
      </c>
      <c r="E698" s="9" t="str">
        <f>+HYPERLINK("http://trademark.i-assist.jp/data/china/image_1908th/79768634.pdf", "79768634")</f>
        <v>79768634</v>
      </c>
      <c r="F698" s="11" t="s">
        <v>2126</v>
      </c>
      <c r="G698" s="11" t="s">
        <v>2127</v>
      </c>
      <c r="H698" s="11" t="s">
        <v>2128</v>
      </c>
      <c r="I698" s="11" t="s">
        <v>131</v>
      </c>
    </row>
    <row r="699" spans="1:9" x14ac:dyDescent="0.15">
      <c r="A699" s="10">
        <v>698</v>
      </c>
      <c r="B699" s="11" t="s">
        <v>9</v>
      </c>
      <c r="C699" s="11" t="s">
        <v>179</v>
      </c>
      <c r="D699" s="11" t="s">
        <v>180</v>
      </c>
      <c r="E699" s="9" t="str">
        <f>+HYPERLINK("http://trademark.i-assist.jp/data/china/image_1908th/79768659.pdf", "79768659")</f>
        <v>79768659</v>
      </c>
      <c r="F699" s="11" t="s">
        <v>2129</v>
      </c>
      <c r="G699" s="11" t="s">
        <v>2130</v>
      </c>
      <c r="H699" s="11" t="s">
        <v>2131</v>
      </c>
      <c r="I699" s="11" t="s">
        <v>131</v>
      </c>
    </row>
    <row r="700" spans="1:9" x14ac:dyDescent="0.15">
      <c r="A700" s="10">
        <v>699</v>
      </c>
      <c r="B700" s="11" t="s">
        <v>9</v>
      </c>
      <c r="C700" s="11" t="s">
        <v>179</v>
      </c>
      <c r="D700" s="11" t="s">
        <v>180</v>
      </c>
      <c r="E700" s="9" t="str">
        <f>+HYPERLINK("http://trademark.i-assist.jp/data/china/image_1908th/79768802.pdf", "79768802")</f>
        <v>79768802</v>
      </c>
      <c r="F700" s="11" t="s">
        <v>2132</v>
      </c>
      <c r="G700" s="11" t="s">
        <v>2133</v>
      </c>
      <c r="H700" s="11" t="s">
        <v>13</v>
      </c>
      <c r="I700" s="11" t="s">
        <v>131</v>
      </c>
    </row>
    <row r="701" spans="1:9" x14ac:dyDescent="0.15">
      <c r="A701" s="10">
        <v>700</v>
      </c>
      <c r="B701" s="11" t="s">
        <v>9</v>
      </c>
      <c r="C701" s="11" t="s">
        <v>179</v>
      </c>
      <c r="D701" s="11" t="s">
        <v>180</v>
      </c>
      <c r="E701" s="9" t="str">
        <f>+HYPERLINK("http://trademark.i-assist.jp/data/china/image_1908th/79769016.pdf", "79769016")</f>
        <v>79769016</v>
      </c>
      <c r="F701" s="11" t="s">
        <v>2134</v>
      </c>
      <c r="G701" s="11" t="s">
        <v>100</v>
      </c>
      <c r="H701" s="11" t="s">
        <v>2135</v>
      </c>
      <c r="I701" s="11" t="s">
        <v>131</v>
      </c>
    </row>
    <row r="702" spans="1:9" x14ac:dyDescent="0.15">
      <c r="A702" s="10">
        <v>701</v>
      </c>
      <c r="B702" s="11" t="s">
        <v>9</v>
      </c>
      <c r="C702" s="11" t="s">
        <v>179</v>
      </c>
      <c r="D702" s="11" t="s">
        <v>180</v>
      </c>
      <c r="E702" s="9" t="str">
        <f>+HYPERLINK("http://trademark.i-assist.jp/data/china/image_1908th/79769417.pdf", "79769417")</f>
        <v>79769417</v>
      </c>
      <c r="F702" s="11" t="s">
        <v>2136</v>
      </c>
      <c r="G702" s="11" t="s">
        <v>2137</v>
      </c>
      <c r="H702" s="11" t="s">
        <v>2138</v>
      </c>
      <c r="I702" s="11" t="s">
        <v>131</v>
      </c>
    </row>
    <row r="703" spans="1:9" x14ac:dyDescent="0.15">
      <c r="A703" s="10">
        <v>702</v>
      </c>
      <c r="B703" s="11" t="s">
        <v>9</v>
      </c>
      <c r="C703" s="11" t="s">
        <v>179</v>
      </c>
      <c r="D703" s="11" t="s">
        <v>180</v>
      </c>
      <c r="E703" s="9" t="str">
        <f>+HYPERLINK("http://trademark.i-assist.jp/data/china/image_1908th/79769428.pdf", "79769428")</f>
        <v>79769428</v>
      </c>
      <c r="F703" s="11" t="s">
        <v>2139</v>
      </c>
      <c r="G703" s="11" t="s">
        <v>2137</v>
      </c>
      <c r="H703" s="11" t="s">
        <v>2140</v>
      </c>
      <c r="I703" s="11" t="s">
        <v>131</v>
      </c>
    </row>
    <row r="704" spans="1:9" x14ac:dyDescent="0.15">
      <c r="A704" s="10">
        <v>703</v>
      </c>
      <c r="B704" s="11" t="s">
        <v>9</v>
      </c>
      <c r="C704" s="11" t="s">
        <v>179</v>
      </c>
      <c r="D704" s="11" t="s">
        <v>180</v>
      </c>
      <c r="E704" s="9" t="str">
        <f>+HYPERLINK("http://trademark.i-assist.jp/data/china/image_1908th/79769465.pdf", "79769465")</f>
        <v>79769465</v>
      </c>
      <c r="F704" s="11" t="s">
        <v>2141</v>
      </c>
      <c r="G704" s="11" t="s">
        <v>2142</v>
      </c>
      <c r="H704" s="11" t="s">
        <v>2143</v>
      </c>
      <c r="I704" s="11" t="s">
        <v>131</v>
      </c>
    </row>
    <row r="705" spans="1:9" x14ac:dyDescent="0.15">
      <c r="A705" s="10">
        <v>704</v>
      </c>
      <c r="B705" s="11" t="s">
        <v>9</v>
      </c>
      <c r="C705" s="11" t="s">
        <v>179</v>
      </c>
      <c r="D705" s="11" t="s">
        <v>180</v>
      </c>
      <c r="E705" s="9" t="str">
        <f>+HYPERLINK("http://trademark.i-assist.jp/data/china/image_1908th/79769496.pdf", "79769496")</f>
        <v>79769496</v>
      </c>
      <c r="F705" s="11" t="s">
        <v>2144</v>
      </c>
      <c r="G705" s="11" t="s">
        <v>2145</v>
      </c>
      <c r="H705" s="11" t="s">
        <v>2146</v>
      </c>
      <c r="I705" s="11" t="s">
        <v>131</v>
      </c>
    </row>
    <row r="706" spans="1:9" x14ac:dyDescent="0.15">
      <c r="A706" s="10">
        <v>705</v>
      </c>
      <c r="B706" s="11" t="s">
        <v>9</v>
      </c>
      <c r="C706" s="11" t="s">
        <v>179</v>
      </c>
      <c r="D706" s="11" t="s">
        <v>180</v>
      </c>
      <c r="E706" s="9" t="str">
        <f>+HYPERLINK("http://trademark.i-assist.jp/data/china/image_1908th/79769610.pdf", "79769610")</f>
        <v>79769610</v>
      </c>
      <c r="F706" s="11" t="s">
        <v>2147</v>
      </c>
      <c r="G706" s="11" t="s">
        <v>2148</v>
      </c>
      <c r="H706" s="11" t="s">
        <v>2149</v>
      </c>
      <c r="I706" s="11" t="s">
        <v>131</v>
      </c>
    </row>
    <row r="707" spans="1:9" x14ac:dyDescent="0.15">
      <c r="A707" s="10">
        <v>706</v>
      </c>
      <c r="B707" s="11" t="s">
        <v>9</v>
      </c>
      <c r="C707" s="11" t="s">
        <v>179</v>
      </c>
      <c r="D707" s="11" t="s">
        <v>180</v>
      </c>
      <c r="E707" s="9" t="str">
        <f>+HYPERLINK("http://trademark.i-assist.jp/data/china/image_1908th/79769648.pdf", "79769648")</f>
        <v>79769648</v>
      </c>
      <c r="F707" s="11" t="s">
        <v>2150</v>
      </c>
      <c r="G707" s="11" t="s">
        <v>1984</v>
      </c>
      <c r="H707" s="11" t="s">
        <v>2151</v>
      </c>
      <c r="I707" s="11" t="s">
        <v>131</v>
      </c>
    </row>
    <row r="708" spans="1:9" x14ac:dyDescent="0.15">
      <c r="A708" s="10">
        <v>707</v>
      </c>
      <c r="B708" s="11" t="s">
        <v>9</v>
      </c>
      <c r="C708" s="11" t="s">
        <v>179</v>
      </c>
      <c r="D708" s="11" t="s">
        <v>180</v>
      </c>
      <c r="E708" s="9" t="str">
        <f>+HYPERLINK("http://trademark.i-assist.jp/data/china/image_1908th/79769769.pdf", "79769769")</f>
        <v>79769769</v>
      </c>
      <c r="F708" s="11" t="s">
        <v>10</v>
      </c>
      <c r="G708" s="11" t="s">
        <v>2152</v>
      </c>
      <c r="H708" s="11" t="s">
        <v>2153</v>
      </c>
      <c r="I708" s="11" t="s">
        <v>131</v>
      </c>
    </row>
    <row r="709" spans="1:9" x14ac:dyDescent="0.15">
      <c r="A709" s="10">
        <v>708</v>
      </c>
      <c r="B709" s="11" t="s">
        <v>9</v>
      </c>
      <c r="C709" s="11" t="s">
        <v>179</v>
      </c>
      <c r="D709" s="11" t="s">
        <v>180</v>
      </c>
      <c r="E709" s="9" t="str">
        <f>+HYPERLINK("http://trademark.i-assist.jp/data/china/image_1908th/79769954.pdf", "79769954")</f>
        <v>79769954</v>
      </c>
      <c r="F709" s="11" t="s">
        <v>2154</v>
      </c>
      <c r="G709" s="11" t="s">
        <v>2155</v>
      </c>
      <c r="H709" s="11" t="s">
        <v>2156</v>
      </c>
      <c r="I709" s="11" t="s">
        <v>131</v>
      </c>
    </row>
    <row r="710" spans="1:9" x14ac:dyDescent="0.15">
      <c r="A710" s="10">
        <v>709</v>
      </c>
      <c r="B710" s="11" t="s">
        <v>9</v>
      </c>
      <c r="C710" s="11" t="s">
        <v>179</v>
      </c>
      <c r="D710" s="11" t="s">
        <v>180</v>
      </c>
      <c r="E710" s="9" t="str">
        <f>+HYPERLINK("http://trademark.i-assist.jp/data/china/image_1908th/79770749.pdf", "79770749")</f>
        <v>79770749</v>
      </c>
      <c r="F710" s="11" t="s">
        <v>2157</v>
      </c>
      <c r="G710" s="11" t="s">
        <v>2158</v>
      </c>
      <c r="H710" s="11" t="s">
        <v>2159</v>
      </c>
      <c r="I710" s="11" t="s">
        <v>131</v>
      </c>
    </row>
    <row r="711" spans="1:9" x14ac:dyDescent="0.15">
      <c r="A711" s="10">
        <v>710</v>
      </c>
      <c r="B711" s="11" t="s">
        <v>9</v>
      </c>
      <c r="C711" s="11" t="s">
        <v>179</v>
      </c>
      <c r="D711" s="11" t="s">
        <v>180</v>
      </c>
      <c r="E711" s="9" t="str">
        <f>+HYPERLINK("http://trademark.i-assist.jp/data/china/image_1908th/79771021.pdf", "79771021")</f>
        <v>79771021</v>
      </c>
      <c r="F711" s="11" t="s">
        <v>2160</v>
      </c>
      <c r="G711" s="11" t="s">
        <v>2161</v>
      </c>
      <c r="H711" s="11" t="s">
        <v>2162</v>
      </c>
      <c r="I711" s="11" t="s">
        <v>131</v>
      </c>
    </row>
    <row r="712" spans="1:9" x14ac:dyDescent="0.15">
      <c r="A712" s="10">
        <v>711</v>
      </c>
      <c r="B712" s="11" t="s">
        <v>9</v>
      </c>
      <c r="C712" s="11" t="s">
        <v>179</v>
      </c>
      <c r="D712" s="11" t="s">
        <v>180</v>
      </c>
      <c r="E712" s="9" t="str">
        <f>+HYPERLINK("http://trademark.i-assist.jp/data/china/image_1908th/79771261.pdf", "79771261")</f>
        <v>79771261</v>
      </c>
      <c r="F712" s="11" t="s">
        <v>2163</v>
      </c>
      <c r="G712" s="11" t="s">
        <v>2164</v>
      </c>
      <c r="H712" s="11" t="s">
        <v>2165</v>
      </c>
      <c r="I712" s="11" t="s">
        <v>131</v>
      </c>
    </row>
    <row r="713" spans="1:9" x14ac:dyDescent="0.15">
      <c r="A713" s="10">
        <v>712</v>
      </c>
      <c r="B713" s="11" t="s">
        <v>9</v>
      </c>
      <c r="C713" s="11" t="s">
        <v>179</v>
      </c>
      <c r="D713" s="11" t="s">
        <v>180</v>
      </c>
      <c r="E713" s="9" t="str">
        <f>+HYPERLINK("http://trademark.i-assist.jp/data/china/image_1908th/79771526.pdf", "79771526")</f>
        <v>79771526</v>
      </c>
      <c r="F713" s="11" t="s">
        <v>2166</v>
      </c>
      <c r="G713" s="11" t="s">
        <v>1984</v>
      </c>
      <c r="H713" s="11" t="s">
        <v>2167</v>
      </c>
      <c r="I713" s="11" t="s">
        <v>131</v>
      </c>
    </row>
    <row r="714" spans="1:9" x14ac:dyDescent="0.15">
      <c r="A714" s="10">
        <v>713</v>
      </c>
      <c r="B714" s="11" t="s">
        <v>9</v>
      </c>
      <c r="C714" s="11" t="s">
        <v>179</v>
      </c>
      <c r="D714" s="11" t="s">
        <v>180</v>
      </c>
      <c r="E714" s="9" t="str">
        <f>+HYPERLINK("http://trademark.i-assist.jp/data/china/image_1908th/79771606.pdf", "79771606")</f>
        <v>79771606</v>
      </c>
      <c r="F714" s="11" t="s">
        <v>2168</v>
      </c>
      <c r="G714" s="11" t="s">
        <v>2169</v>
      </c>
      <c r="H714" s="11" t="s">
        <v>2170</v>
      </c>
      <c r="I714" s="11" t="s">
        <v>131</v>
      </c>
    </row>
    <row r="715" spans="1:9" x14ac:dyDescent="0.15">
      <c r="A715" s="10">
        <v>714</v>
      </c>
      <c r="B715" s="11" t="s">
        <v>9</v>
      </c>
      <c r="C715" s="11" t="s">
        <v>179</v>
      </c>
      <c r="D715" s="11" t="s">
        <v>180</v>
      </c>
      <c r="E715" s="9" t="str">
        <f>+HYPERLINK("http://trademark.i-assist.jp/data/china/image_1908th/79771650.pdf", "79771650")</f>
        <v>79771650</v>
      </c>
      <c r="F715" s="11" t="s">
        <v>2171</v>
      </c>
      <c r="G715" s="11" t="s">
        <v>2172</v>
      </c>
      <c r="H715" s="11" t="s">
        <v>2173</v>
      </c>
      <c r="I715" s="11" t="s">
        <v>131</v>
      </c>
    </row>
    <row r="716" spans="1:9" x14ac:dyDescent="0.15">
      <c r="A716" s="10">
        <v>715</v>
      </c>
      <c r="B716" s="11" t="s">
        <v>9</v>
      </c>
      <c r="C716" s="11" t="s">
        <v>179</v>
      </c>
      <c r="D716" s="11" t="s">
        <v>180</v>
      </c>
      <c r="E716" s="9" t="str">
        <f>+HYPERLINK("http://trademark.i-assist.jp/data/china/image_1908th/79771725.pdf", "79771725")</f>
        <v>79771725</v>
      </c>
      <c r="F716" s="11" t="s">
        <v>10</v>
      </c>
      <c r="G716" s="11" t="s">
        <v>2174</v>
      </c>
      <c r="H716" s="11" t="s">
        <v>2175</v>
      </c>
      <c r="I716" s="11" t="s">
        <v>131</v>
      </c>
    </row>
    <row r="717" spans="1:9" x14ac:dyDescent="0.15">
      <c r="A717" s="10">
        <v>716</v>
      </c>
      <c r="B717" s="11" t="s">
        <v>9</v>
      </c>
      <c r="C717" s="11" t="s">
        <v>179</v>
      </c>
      <c r="D717" s="11" t="s">
        <v>180</v>
      </c>
      <c r="E717" s="9" t="str">
        <f>+HYPERLINK("http://trademark.i-assist.jp/data/china/image_1908th/79771816.pdf", "79771816")</f>
        <v>79771816</v>
      </c>
      <c r="F717" s="11" t="s">
        <v>2176</v>
      </c>
      <c r="G717" s="11" t="s">
        <v>2142</v>
      </c>
      <c r="H717" s="11" t="s">
        <v>2177</v>
      </c>
      <c r="I717" s="11" t="s">
        <v>131</v>
      </c>
    </row>
    <row r="718" spans="1:9" x14ac:dyDescent="0.15">
      <c r="A718" s="10">
        <v>717</v>
      </c>
      <c r="B718" s="11" t="s">
        <v>9</v>
      </c>
      <c r="C718" s="11" t="s">
        <v>179</v>
      </c>
      <c r="D718" s="11" t="s">
        <v>180</v>
      </c>
      <c r="E718" s="9" t="str">
        <f>+HYPERLINK("http://trademark.i-assist.jp/data/china/image_1908th/79771966.pdf", "79771966")</f>
        <v>79771966</v>
      </c>
      <c r="F718" s="11" t="s">
        <v>2178</v>
      </c>
      <c r="G718" s="11" t="s">
        <v>2179</v>
      </c>
      <c r="H718" s="11" t="s">
        <v>2180</v>
      </c>
      <c r="I718" s="11" t="s">
        <v>131</v>
      </c>
    </row>
    <row r="719" spans="1:9" x14ac:dyDescent="0.15">
      <c r="A719" s="10">
        <v>718</v>
      </c>
      <c r="B719" s="11" t="s">
        <v>9</v>
      </c>
      <c r="C719" s="11" t="s">
        <v>179</v>
      </c>
      <c r="D719" s="11" t="s">
        <v>180</v>
      </c>
      <c r="E719" s="9" t="str">
        <f>+HYPERLINK("http://trademark.i-assist.jp/data/china/image_1908th/79772648.pdf", "79772648")</f>
        <v>79772648</v>
      </c>
      <c r="F719" s="11" t="s">
        <v>2181</v>
      </c>
      <c r="G719" s="11" t="s">
        <v>2182</v>
      </c>
      <c r="H719" s="11" t="s">
        <v>2183</v>
      </c>
      <c r="I719" s="11" t="s">
        <v>131</v>
      </c>
    </row>
    <row r="720" spans="1:9" x14ac:dyDescent="0.15">
      <c r="A720" s="10">
        <v>719</v>
      </c>
      <c r="B720" s="11" t="s">
        <v>9</v>
      </c>
      <c r="C720" s="11" t="s">
        <v>179</v>
      </c>
      <c r="D720" s="11" t="s">
        <v>180</v>
      </c>
      <c r="E720" s="9" t="str">
        <f>+HYPERLINK("http://trademark.i-assist.jp/data/china/image_1908th/79772720.pdf", "79772720")</f>
        <v>79772720</v>
      </c>
      <c r="F720" s="11" t="s">
        <v>2184</v>
      </c>
      <c r="G720" s="11" t="s">
        <v>2185</v>
      </c>
      <c r="H720" s="11" t="s">
        <v>2186</v>
      </c>
      <c r="I720" s="11" t="s">
        <v>131</v>
      </c>
    </row>
    <row r="721" spans="1:9" x14ac:dyDescent="0.15">
      <c r="A721" s="10">
        <v>720</v>
      </c>
      <c r="B721" s="11" t="s">
        <v>9</v>
      </c>
      <c r="C721" s="11" t="s">
        <v>179</v>
      </c>
      <c r="D721" s="11" t="s">
        <v>180</v>
      </c>
      <c r="E721" s="9" t="str">
        <f>+HYPERLINK("http://trademark.i-assist.jp/data/china/image_1908th/79772743.pdf", "79772743")</f>
        <v>79772743</v>
      </c>
      <c r="F721" s="11" t="s">
        <v>2187</v>
      </c>
      <c r="G721" s="11" t="s">
        <v>2033</v>
      </c>
      <c r="H721" s="11" t="s">
        <v>2188</v>
      </c>
      <c r="I721" s="11" t="s">
        <v>131</v>
      </c>
    </row>
    <row r="722" spans="1:9" x14ac:dyDescent="0.15">
      <c r="A722" s="10">
        <v>721</v>
      </c>
      <c r="B722" s="11" t="s">
        <v>9</v>
      </c>
      <c r="C722" s="11" t="s">
        <v>179</v>
      </c>
      <c r="D722" s="11" t="s">
        <v>180</v>
      </c>
      <c r="E722" s="9" t="str">
        <f>+HYPERLINK("http://trademark.i-assist.jp/data/china/image_1908th/79772814.pdf", "79772814")</f>
        <v>79772814</v>
      </c>
      <c r="F722" s="11" t="s">
        <v>2189</v>
      </c>
      <c r="G722" s="11" t="s">
        <v>2036</v>
      </c>
      <c r="H722" s="11" t="s">
        <v>2190</v>
      </c>
      <c r="I722" s="11" t="s">
        <v>131</v>
      </c>
    </row>
    <row r="723" spans="1:9" x14ac:dyDescent="0.15">
      <c r="A723" s="10">
        <v>722</v>
      </c>
      <c r="B723" s="11" t="s">
        <v>9</v>
      </c>
      <c r="C723" s="11" t="s">
        <v>179</v>
      </c>
      <c r="D723" s="11" t="s">
        <v>180</v>
      </c>
      <c r="E723" s="9" t="str">
        <f>+HYPERLINK("http://trademark.i-assist.jp/data/china/image_1908th/79773263.pdf", "79773263")</f>
        <v>79773263</v>
      </c>
      <c r="F723" s="11" t="s">
        <v>2191</v>
      </c>
      <c r="G723" s="11" t="s">
        <v>2005</v>
      </c>
      <c r="H723" s="11" t="s">
        <v>2192</v>
      </c>
      <c r="I723" s="11" t="s">
        <v>131</v>
      </c>
    </row>
    <row r="724" spans="1:9" x14ac:dyDescent="0.15">
      <c r="A724" s="10">
        <v>723</v>
      </c>
      <c r="B724" s="11" t="s">
        <v>9</v>
      </c>
      <c r="C724" s="11" t="s">
        <v>179</v>
      </c>
      <c r="D724" s="11" t="s">
        <v>180</v>
      </c>
      <c r="E724" s="9" t="str">
        <f>+HYPERLINK("http://trademark.i-assist.jp/data/china/image_1908th/79773480.pdf", "79773480")</f>
        <v>79773480</v>
      </c>
      <c r="F724" s="11" t="s">
        <v>2193</v>
      </c>
      <c r="G724" s="11" t="s">
        <v>527</v>
      </c>
      <c r="H724" s="11" t="s">
        <v>2194</v>
      </c>
      <c r="I724" s="11" t="s">
        <v>131</v>
      </c>
    </row>
    <row r="725" spans="1:9" x14ac:dyDescent="0.15">
      <c r="A725" s="10">
        <v>724</v>
      </c>
      <c r="B725" s="11" t="s">
        <v>9</v>
      </c>
      <c r="C725" s="11" t="s">
        <v>179</v>
      </c>
      <c r="D725" s="11" t="s">
        <v>180</v>
      </c>
      <c r="E725" s="9" t="str">
        <f>+HYPERLINK("http://trademark.i-assist.jp/data/china/image_1908th/79773550.pdf", "79773550")</f>
        <v>79773550</v>
      </c>
      <c r="F725" s="11" t="s">
        <v>2195</v>
      </c>
      <c r="G725" s="11" t="s">
        <v>2196</v>
      </c>
      <c r="H725" s="11" t="s">
        <v>2197</v>
      </c>
      <c r="I725" s="11" t="s">
        <v>131</v>
      </c>
    </row>
    <row r="726" spans="1:9" x14ac:dyDescent="0.15">
      <c r="A726" s="10">
        <v>725</v>
      </c>
      <c r="B726" s="11" t="s">
        <v>9</v>
      </c>
      <c r="C726" s="11" t="s">
        <v>179</v>
      </c>
      <c r="D726" s="11" t="s">
        <v>180</v>
      </c>
      <c r="E726" s="9" t="str">
        <f>+HYPERLINK("http://trademark.i-assist.jp/data/china/image_1908th/79773631.pdf", "79773631")</f>
        <v>79773631</v>
      </c>
      <c r="F726" s="11" t="s">
        <v>2198</v>
      </c>
      <c r="G726" s="11" t="s">
        <v>2199</v>
      </c>
      <c r="H726" s="11" t="s">
        <v>2200</v>
      </c>
      <c r="I726" s="11" t="s">
        <v>131</v>
      </c>
    </row>
    <row r="727" spans="1:9" x14ac:dyDescent="0.15">
      <c r="A727" s="10">
        <v>726</v>
      </c>
      <c r="B727" s="11" t="s">
        <v>9</v>
      </c>
      <c r="C727" s="11" t="s">
        <v>179</v>
      </c>
      <c r="D727" s="11" t="s">
        <v>180</v>
      </c>
      <c r="E727" s="9" t="str">
        <f>+HYPERLINK("http://trademark.i-assist.jp/data/china/image_1908th/79774024.pdf", "79774024")</f>
        <v>79774024</v>
      </c>
      <c r="F727" s="11" t="s">
        <v>2201</v>
      </c>
      <c r="G727" s="11" t="s">
        <v>2202</v>
      </c>
      <c r="H727" s="11" t="s">
        <v>2203</v>
      </c>
      <c r="I727" s="11" t="s">
        <v>131</v>
      </c>
    </row>
    <row r="728" spans="1:9" x14ac:dyDescent="0.15">
      <c r="A728" s="10">
        <v>727</v>
      </c>
      <c r="B728" s="11" t="s">
        <v>9</v>
      </c>
      <c r="C728" s="11" t="s">
        <v>179</v>
      </c>
      <c r="D728" s="11" t="s">
        <v>180</v>
      </c>
      <c r="E728" s="9" t="str">
        <f>+HYPERLINK("http://trademark.i-assist.jp/data/china/image_1908th/79774328.pdf", "79774328")</f>
        <v>79774328</v>
      </c>
      <c r="F728" s="11" t="s">
        <v>2204</v>
      </c>
      <c r="G728" s="11" t="s">
        <v>2205</v>
      </c>
      <c r="H728" s="11" t="s">
        <v>2206</v>
      </c>
      <c r="I728" s="11" t="s">
        <v>131</v>
      </c>
    </row>
    <row r="729" spans="1:9" x14ac:dyDescent="0.15">
      <c r="A729" s="10">
        <v>728</v>
      </c>
      <c r="B729" s="11" t="s">
        <v>9</v>
      </c>
      <c r="C729" s="11" t="s">
        <v>179</v>
      </c>
      <c r="D729" s="11" t="s">
        <v>180</v>
      </c>
      <c r="E729" s="9" t="str">
        <f>+HYPERLINK("http://trademark.i-assist.jp/data/china/image_1908th/79774335.pdf", "79774335")</f>
        <v>79774335</v>
      </c>
      <c r="F729" s="11" t="s">
        <v>2207</v>
      </c>
      <c r="G729" s="11" t="s">
        <v>2205</v>
      </c>
      <c r="H729" s="11" t="s">
        <v>2208</v>
      </c>
      <c r="I729" s="11" t="s">
        <v>131</v>
      </c>
    </row>
    <row r="730" spans="1:9" x14ac:dyDescent="0.15">
      <c r="A730" s="10">
        <v>729</v>
      </c>
      <c r="B730" s="11" t="s">
        <v>9</v>
      </c>
      <c r="C730" s="11" t="s">
        <v>179</v>
      </c>
      <c r="D730" s="11" t="s">
        <v>180</v>
      </c>
      <c r="E730" s="9" t="str">
        <f>+HYPERLINK("http://trademark.i-assist.jp/data/china/image_1908th/79774635.pdf", "79774635")</f>
        <v>79774635</v>
      </c>
      <c r="F730" s="11" t="s">
        <v>2209</v>
      </c>
      <c r="G730" s="11" t="s">
        <v>2137</v>
      </c>
      <c r="H730" s="11" t="s">
        <v>2210</v>
      </c>
      <c r="I730" s="11" t="s">
        <v>131</v>
      </c>
    </row>
    <row r="731" spans="1:9" x14ac:dyDescent="0.15">
      <c r="A731" s="10">
        <v>730</v>
      </c>
      <c r="B731" s="11" t="s">
        <v>9</v>
      </c>
      <c r="C731" s="11" t="s">
        <v>179</v>
      </c>
      <c r="D731" s="11" t="s">
        <v>180</v>
      </c>
      <c r="E731" s="9" t="str">
        <f>+HYPERLINK("http://trademark.i-assist.jp/data/china/image_1908th/79775080.pdf", "79775080")</f>
        <v>79775080</v>
      </c>
      <c r="F731" s="11" t="s">
        <v>2211</v>
      </c>
      <c r="G731" s="11" t="s">
        <v>2212</v>
      </c>
      <c r="H731" s="11" t="s">
        <v>2213</v>
      </c>
      <c r="I731" s="11" t="s">
        <v>131</v>
      </c>
    </row>
    <row r="732" spans="1:9" x14ac:dyDescent="0.15">
      <c r="A732" s="10">
        <v>731</v>
      </c>
      <c r="B732" s="11" t="s">
        <v>9</v>
      </c>
      <c r="C732" s="11" t="s">
        <v>179</v>
      </c>
      <c r="D732" s="11" t="s">
        <v>180</v>
      </c>
      <c r="E732" s="9" t="str">
        <f>+HYPERLINK("http://trademark.i-assist.jp/data/china/image_1908th/79776024.pdf", "79776024")</f>
        <v>79776024</v>
      </c>
      <c r="F732" s="11" t="s">
        <v>2214</v>
      </c>
      <c r="G732" s="11" t="s">
        <v>1954</v>
      </c>
      <c r="H732" s="11" t="s">
        <v>2215</v>
      </c>
      <c r="I732" s="11" t="s">
        <v>139</v>
      </c>
    </row>
    <row r="733" spans="1:9" x14ac:dyDescent="0.15">
      <c r="A733" s="10">
        <v>732</v>
      </c>
      <c r="B733" s="11" t="s">
        <v>9</v>
      </c>
      <c r="C733" s="11" t="s">
        <v>179</v>
      </c>
      <c r="D733" s="11" t="s">
        <v>180</v>
      </c>
      <c r="E733" s="9" t="str">
        <f>+HYPERLINK("http://trademark.i-assist.jp/data/china/image_1908th/79776206.pdf", "79776206")</f>
        <v>79776206</v>
      </c>
      <c r="F733" s="11" t="s">
        <v>2216</v>
      </c>
      <c r="G733" s="11" t="s">
        <v>2217</v>
      </c>
      <c r="H733" s="11" t="s">
        <v>2218</v>
      </c>
      <c r="I733" s="11" t="s">
        <v>139</v>
      </c>
    </row>
    <row r="734" spans="1:9" x14ac:dyDescent="0.15">
      <c r="A734" s="10">
        <v>733</v>
      </c>
      <c r="B734" s="11" t="s">
        <v>9</v>
      </c>
      <c r="C734" s="11" t="s">
        <v>179</v>
      </c>
      <c r="D734" s="11" t="s">
        <v>180</v>
      </c>
      <c r="E734" s="9" t="str">
        <f>+HYPERLINK("http://trademark.i-assist.jp/data/china/image_1908th/79776385.pdf", "79776385")</f>
        <v>79776385</v>
      </c>
      <c r="F734" s="11" t="s">
        <v>2219</v>
      </c>
      <c r="G734" s="11" t="s">
        <v>2217</v>
      </c>
      <c r="H734" s="11" t="s">
        <v>2220</v>
      </c>
      <c r="I734" s="11" t="s">
        <v>139</v>
      </c>
    </row>
    <row r="735" spans="1:9" x14ac:dyDescent="0.15">
      <c r="A735" s="10">
        <v>734</v>
      </c>
      <c r="B735" s="11" t="s">
        <v>9</v>
      </c>
      <c r="C735" s="11" t="s">
        <v>179</v>
      </c>
      <c r="D735" s="11" t="s">
        <v>180</v>
      </c>
      <c r="E735" s="9" t="str">
        <f>+HYPERLINK("http://trademark.i-assist.jp/data/china/image_1908th/79776597.pdf", "79776597")</f>
        <v>79776597</v>
      </c>
      <c r="F735" s="11" t="s">
        <v>2221</v>
      </c>
      <c r="G735" s="11" t="s">
        <v>107</v>
      </c>
      <c r="H735" s="11" t="s">
        <v>2222</v>
      </c>
      <c r="I735" s="11" t="s">
        <v>139</v>
      </c>
    </row>
    <row r="736" spans="1:9" x14ac:dyDescent="0.15">
      <c r="A736" s="10">
        <v>735</v>
      </c>
      <c r="B736" s="11" t="s">
        <v>9</v>
      </c>
      <c r="C736" s="11" t="s">
        <v>179</v>
      </c>
      <c r="D736" s="11" t="s">
        <v>180</v>
      </c>
      <c r="E736" s="9" t="str">
        <f>+HYPERLINK("http://trademark.i-assist.jp/data/china/image_1908th/79776599.pdf", "79776599")</f>
        <v>79776599</v>
      </c>
      <c r="F736" s="11" t="s">
        <v>2223</v>
      </c>
      <c r="G736" s="11" t="s">
        <v>2224</v>
      </c>
      <c r="H736" s="11" t="s">
        <v>2225</v>
      </c>
      <c r="I736" s="11" t="s">
        <v>139</v>
      </c>
    </row>
    <row r="737" spans="1:9" x14ac:dyDescent="0.15">
      <c r="A737" s="10">
        <v>736</v>
      </c>
      <c r="B737" s="11" t="s">
        <v>9</v>
      </c>
      <c r="C737" s="11" t="s">
        <v>179</v>
      </c>
      <c r="D737" s="11" t="s">
        <v>180</v>
      </c>
      <c r="E737" s="9" t="str">
        <f>+HYPERLINK("http://trademark.i-assist.jp/data/china/image_1908th/79776703.pdf", "79776703")</f>
        <v>79776703</v>
      </c>
      <c r="F737" s="11" t="s">
        <v>2226</v>
      </c>
      <c r="G737" s="11" t="s">
        <v>2227</v>
      </c>
      <c r="H737" s="11" t="s">
        <v>2228</v>
      </c>
      <c r="I737" s="11" t="s">
        <v>139</v>
      </c>
    </row>
    <row r="738" spans="1:9" x14ac:dyDescent="0.15">
      <c r="A738" s="10">
        <v>737</v>
      </c>
      <c r="B738" s="11" t="s">
        <v>9</v>
      </c>
      <c r="C738" s="11" t="s">
        <v>179</v>
      </c>
      <c r="D738" s="11" t="s">
        <v>180</v>
      </c>
      <c r="E738" s="9" t="str">
        <f>+HYPERLINK("http://trademark.i-assist.jp/data/china/image_1908th/79776927.pdf", "79776927")</f>
        <v>79776927</v>
      </c>
      <c r="F738" s="11" t="s">
        <v>2229</v>
      </c>
      <c r="G738" s="11" t="s">
        <v>2230</v>
      </c>
      <c r="H738" s="11" t="s">
        <v>2231</v>
      </c>
      <c r="I738" s="11" t="s">
        <v>139</v>
      </c>
    </row>
    <row r="739" spans="1:9" x14ac:dyDescent="0.15">
      <c r="A739" s="10">
        <v>738</v>
      </c>
      <c r="B739" s="11" t="s">
        <v>9</v>
      </c>
      <c r="C739" s="11" t="s">
        <v>179</v>
      </c>
      <c r="D739" s="11" t="s">
        <v>180</v>
      </c>
      <c r="E739" s="9" t="str">
        <f>+HYPERLINK("http://trademark.i-assist.jp/data/china/image_1908th/79777094.pdf", "79777094")</f>
        <v>79777094</v>
      </c>
      <c r="F739" s="11" t="s">
        <v>2232</v>
      </c>
      <c r="G739" s="11" t="s">
        <v>2233</v>
      </c>
      <c r="H739" s="11" t="s">
        <v>2234</v>
      </c>
      <c r="I739" s="11" t="s">
        <v>139</v>
      </c>
    </row>
    <row r="740" spans="1:9" x14ac:dyDescent="0.15">
      <c r="A740" s="10">
        <v>739</v>
      </c>
      <c r="B740" s="11" t="s">
        <v>9</v>
      </c>
      <c r="C740" s="11" t="s">
        <v>179</v>
      </c>
      <c r="D740" s="11" t="s">
        <v>180</v>
      </c>
      <c r="E740" s="9" t="str">
        <f>+HYPERLINK("http://trademark.i-assist.jp/data/china/image_1908th/79777183.pdf", "79777183")</f>
        <v>79777183</v>
      </c>
      <c r="F740" s="11" t="s">
        <v>2235</v>
      </c>
      <c r="G740" s="11" t="s">
        <v>2236</v>
      </c>
      <c r="H740" s="11" t="s">
        <v>2237</v>
      </c>
      <c r="I740" s="11" t="s">
        <v>139</v>
      </c>
    </row>
    <row r="741" spans="1:9" x14ac:dyDescent="0.15">
      <c r="A741" s="10">
        <v>740</v>
      </c>
      <c r="B741" s="11" t="s">
        <v>9</v>
      </c>
      <c r="C741" s="11" t="s">
        <v>179</v>
      </c>
      <c r="D741" s="11" t="s">
        <v>180</v>
      </c>
      <c r="E741" s="9" t="str">
        <f>+HYPERLINK("http://trademark.i-assist.jp/data/china/image_1908th/79778073.pdf", "79778073")</f>
        <v>79778073</v>
      </c>
      <c r="F741" s="11" t="s">
        <v>2238</v>
      </c>
      <c r="G741" s="11" t="s">
        <v>2239</v>
      </c>
      <c r="H741" s="11" t="s">
        <v>2240</v>
      </c>
      <c r="I741" s="11" t="s">
        <v>139</v>
      </c>
    </row>
    <row r="742" spans="1:9" x14ac:dyDescent="0.15">
      <c r="A742" s="10">
        <v>741</v>
      </c>
      <c r="B742" s="11" t="s">
        <v>9</v>
      </c>
      <c r="C742" s="11" t="s">
        <v>179</v>
      </c>
      <c r="D742" s="11" t="s">
        <v>180</v>
      </c>
      <c r="E742" s="9" t="str">
        <f>+HYPERLINK("http://trademark.i-assist.jp/data/china/image_1908th/79778266.pdf", "79778266")</f>
        <v>79778266</v>
      </c>
      <c r="F742" s="11" t="s">
        <v>2241</v>
      </c>
      <c r="G742" s="11" t="s">
        <v>2242</v>
      </c>
      <c r="H742" s="11" t="s">
        <v>2243</v>
      </c>
      <c r="I742" s="11" t="s">
        <v>139</v>
      </c>
    </row>
    <row r="743" spans="1:9" x14ac:dyDescent="0.15">
      <c r="A743" s="10">
        <v>742</v>
      </c>
      <c r="B743" s="11" t="s">
        <v>9</v>
      </c>
      <c r="C743" s="11" t="s">
        <v>179</v>
      </c>
      <c r="D743" s="11" t="s">
        <v>180</v>
      </c>
      <c r="E743" s="9" t="str">
        <f>+HYPERLINK("http://trademark.i-assist.jp/data/china/image_1908th/79778379.pdf", "79778379")</f>
        <v>79778379</v>
      </c>
      <c r="F743" s="11" t="s">
        <v>2244</v>
      </c>
      <c r="G743" s="11" t="s">
        <v>2245</v>
      </c>
      <c r="H743" s="11" t="s">
        <v>2246</v>
      </c>
      <c r="I743" s="11" t="s">
        <v>139</v>
      </c>
    </row>
    <row r="744" spans="1:9" x14ac:dyDescent="0.15">
      <c r="A744" s="10">
        <v>743</v>
      </c>
      <c r="B744" s="11" t="s">
        <v>9</v>
      </c>
      <c r="C744" s="11" t="s">
        <v>179</v>
      </c>
      <c r="D744" s="11" t="s">
        <v>180</v>
      </c>
      <c r="E744" s="9" t="str">
        <f>+HYPERLINK("http://trademark.i-assist.jp/data/china/image_1908th/79778558.pdf", "79778558")</f>
        <v>79778558</v>
      </c>
      <c r="F744" s="11" t="s">
        <v>2247</v>
      </c>
      <c r="G744" s="11" t="s">
        <v>140</v>
      </c>
      <c r="H744" s="11" t="s">
        <v>2248</v>
      </c>
      <c r="I744" s="11" t="s">
        <v>139</v>
      </c>
    </row>
    <row r="745" spans="1:9" x14ac:dyDescent="0.15">
      <c r="A745" s="10">
        <v>744</v>
      </c>
      <c r="B745" s="11" t="s">
        <v>9</v>
      </c>
      <c r="C745" s="11" t="s">
        <v>179</v>
      </c>
      <c r="D745" s="11" t="s">
        <v>180</v>
      </c>
      <c r="E745" s="9" t="str">
        <f>+HYPERLINK("http://trademark.i-assist.jp/data/china/image_1908th/79778774.pdf", "79778774")</f>
        <v>79778774</v>
      </c>
      <c r="F745" s="11" t="s">
        <v>2249</v>
      </c>
      <c r="G745" s="11" t="s">
        <v>2250</v>
      </c>
      <c r="H745" s="11" t="s">
        <v>2251</v>
      </c>
      <c r="I745" s="11" t="s">
        <v>139</v>
      </c>
    </row>
    <row r="746" spans="1:9" x14ac:dyDescent="0.15">
      <c r="A746" s="10">
        <v>745</v>
      </c>
      <c r="B746" s="11" t="s">
        <v>9</v>
      </c>
      <c r="C746" s="11" t="s">
        <v>179</v>
      </c>
      <c r="D746" s="11" t="s">
        <v>180</v>
      </c>
      <c r="E746" s="9" t="str">
        <f>+HYPERLINK("http://trademark.i-assist.jp/data/china/image_1908th/79778868.pdf", "79778868")</f>
        <v>79778868</v>
      </c>
      <c r="F746" s="11" t="s">
        <v>10</v>
      </c>
      <c r="G746" s="11" t="s">
        <v>2252</v>
      </c>
      <c r="H746" s="11" t="s">
        <v>2253</v>
      </c>
      <c r="I746" s="11" t="s">
        <v>139</v>
      </c>
    </row>
    <row r="747" spans="1:9" x14ac:dyDescent="0.15">
      <c r="A747" s="10">
        <v>746</v>
      </c>
      <c r="B747" s="11" t="s">
        <v>9</v>
      </c>
      <c r="C747" s="11" t="s">
        <v>179</v>
      </c>
      <c r="D747" s="11" t="s">
        <v>180</v>
      </c>
      <c r="E747" s="9" t="str">
        <f>+HYPERLINK("http://trademark.i-assist.jp/data/china/image_1908th/79779291.pdf", "79779291")</f>
        <v>79779291</v>
      </c>
      <c r="F747" s="11" t="s">
        <v>2254</v>
      </c>
      <c r="G747" s="11" t="s">
        <v>2255</v>
      </c>
      <c r="H747" s="11" t="s">
        <v>2256</v>
      </c>
      <c r="I747" s="11" t="s">
        <v>139</v>
      </c>
    </row>
    <row r="748" spans="1:9" x14ac:dyDescent="0.15">
      <c r="A748" s="10">
        <v>747</v>
      </c>
      <c r="B748" s="11" t="s">
        <v>9</v>
      </c>
      <c r="C748" s="11" t="s">
        <v>179</v>
      </c>
      <c r="D748" s="11" t="s">
        <v>180</v>
      </c>
      <c r="E748" s="9" t="str">
        <f>+HYPERLINK("http://trademark.i-assist.jp/data/china/image_1908th/79779509.pdf", "79779509")</f>
        <v>79779509</v>
      </c>
      <c r="F748" s="11" t="s">
        <v>2257</v>
      </c>
      <c r="G748" s="11" t="s">
        <v>2258</v>
      </c>
      <c r="H748" s="11" t="s">
        <v>2259</v>
      </c>
      <c r="I748" s="11" t="s">
        <v>139</v>
      </c>
    </row>
    <row r="749" spans="1:9" x14ac:dyDescent="0.15">
      <c r="A749" s="10">
        <v>748</v>
      </c>
      <c r="B749" s="11" t="s">
        <v>9</v>
      </c>
      <c r="C749" s="11" t="s">
        <v>179</v>
      </c>
      <c r="D749" s="11" t="s">
        <v>180</v>
      </c>
      <c r="E749" s="9" t="str">
        <f>+HYPERLINK("http://trademark.i-assist.jp/data/china/image_1908th/79779762.pdf", "79779762")</f>
        <v>79779762</v>
      </c>
      <c r="F749" s="11" t="s">
        <v>2260</v>
      </c>
      <c r="G749" s="11" t="s">
        <v>2261</v>
      </c>
      <c r="H749" s="11" t="s">
        <v>2262</v>
      </c>
      <c r="I749" s="11" t="s">
        <v>139</v>
      </c>
    </row>
    <row r="750" spans="1:9" x14ac:dyDescent="0.15">
      <c r="A750" s="10">
        <v>749</v>
      </c>
      <c r="B750" s="11" t="s">
        <v>9</v>
      </c>
      <c r="C750" s="11" t="s">
        <v>179</v>
      </c>
      <c r="D750" s="11" t="s">
        <v>180</v>
      </c>
      <c r="E750" s="9" t="str">
        <f>+HYPERLINK("http://trademark.i-assist.jp/data/china/image_1908th/79780191.pdf", "79780191")</f>
        <v>79780191</v>
      </c>
      <c r="F750" s="11" t="s">
        <v>2263</v>
      </c>
      <c r="G750" s="11" t="s">
        <v>2264</v>
      </c>
      <c r="H750" s="11" t="s">
        <v>2265</v>
      </c>
      <c r="I750" s="11" t="s">
        <v>139</v>
      </c>
    </row>
    <row r="751" spans="1:9" x14ac:dyDescent="0.15">
      <c r="A751" s="10">
        <v>750</v>
      </c>
      <c r="B751" s="11" t="s">
        <v>9</v>
      </c>
      <c r="C751" s="11" t="s">
        <v>179</v>
      </c>
      <c r="D751" s="11" t="s">
        <v>180</v>
      </c>
      <c r="E751" s="9" t="str">
        <f>+HYPERLINK("http://trademark.i-assist.jp/data/china/image_1908th/79780838.pdf", "79780838")</f>
        <v>79780838</v>
      </c>
      <c r="F751" s="11" t="s">
        <v>2266</v>
      </c>
      <c r="G751" s="11" t="s">
        <v>2267</v>
      </c>
      <c r="H751" s="11" t="s">
        <v>2268</v>
      </c>
      <c r="I751" s="11" t="s">
        <v>139</v>
      </c>
    </row>
    <row r="752" spans="1:9" x14ac:dyDescent="0.15">
      <c r="A752" s="10">
        <v>751</v>
      </c>
      <c r="B752" s="11" t="s">
        <v>9</v>
      </c>
      <c r="C752" s="11" t="s">
        <v>179</v>
      </c>
      <c r="D752" s="11" t="s">
        <v>180</v>
      </c>
      <c r="E752" s="9" t="str">
        <f>+HYPERLINK("http://trademark.i-assist.jp/data/china/image_1908th/79781143.pdf", "79781143")</f>
        <v>79781143</v>
      </c>
      <c r="F752" s="11" t="s">
        <v>2269</v>
      </c>
      <c r="G752" s="11" t="s">
        <v>2270</v>
      </c>
      <c r="H752" s="11" t="s">
        <v>2271</v>
      </c>
      <c r="I752" s="11" t="s">
        <v>139</v>
      </c>
    </row>
    <row r="753" spans="1:9" x14ac:dyDescent="0.15">
      <c r="A753" s="10">
        <v>752</v>
      </c>
      <c r="B753" s="11" t="s">
        <v>9</v>
      </c>
      <c r="C753" s="11" t="s">
        <v>179</v>
      </c>
      <c r="D753" s="11" t="s">
        <v>180</v>
      </c>
      <c r="E753" s="9" t="str">
        <f>+HYPERLINK("http://trademark.i-assist.jp/data/china/image_1908th/79781163.pdf", "79781163")</f>
        <v>79781163</v>
      </c>
      <c r="F753" s="11" t="s">
        <v>2272</v>
      </c>
      <c r="G753" s="11" t="s">
        <v>2236</v>
      </c>
      <c r="H753" s="11" t="s">
        <v>2273</v>
      </c>
      <c r="I753" s="11" t="s">
        <v>139</v>
      </c>
    </row>
    <row r="754" spans="1:9" x14ac:dyDescent="0.15">
      <c r="A754" s="10">
        <v>753</v>
      </c>
      <c r="B754" s="11" t="s">
        <v>9</v>
      </c>
      <c r="C754" s="11" t="s">
        <v>179</v>
      </c>
      <c r="D754" s="11" t="s">
        <v>180</v>
      </c>
      <c r="E754" s="9" t="str">
        <f>+HYPERLINK("http://trademark.i-assist.jp/data/china/image_1908th/79781253.pdf", "79781253")</f>
        <v>79781253</v>
      </c>
      <c r="F754" s="11" t="s">
        <v>2274</v>
      </c>
      <c r="G754" s="11" t="s">
        <v>2227</v>
      </c>
      <c r="H754" s="11" t="s">
        <v>2275</v>
      </c>
      <c r="I754" s="11" t="s">
        <v>139</v>
      </c>
    </row>
    <row r="755" spans="1:9" x14ac:dyDescent="0.15">
      <c r="A755" s="10">
        <v>754</v>
      </c>
      <c r="B755" s="11" t="s">
        <v>9</v>
      </c>
      <c r="C755" s="11" t="s">
        <v>179</v>
      </c>
      <c r="D755" s="11" t="s">
        <v>180</v>
      </c>
      <c r="E755" s="9" t="str">
        <f>+HYPERLINK("http://trademark.i-assist.jp/data/china/image_1908th/79781800.pdf", "79781800")</f>
        <v>79781800</v>
      </c>
      <c r="F755" s="11" t="s">
        <v>2276</v>
      </c>
      <c r="G755" s="11" t="s">
        <v>2277</v>
      </c>
      <c r="H755" s="11" t="s">
        <v>2278</v>
      </c>
      <c r="I755" s="11" t="s">
        <v>139</v>
      </c>
    </row>
    <row r="756" spans="1:9" x14ac:dyDescent="0.15">
      <c r="A756" s="10">
        <v>755</v>
      </c>
      <c r="B756" s="11" t="s">
        <v>9</v>
      </c>
      <c r="C756" s="11" t="s">
        <v>179</v>
      </c>
      <c r="D756" s="11" t="s">
        <v>180</v>
      </c>
      <c r="E756" s="9" t="str">
        <f>+HYPERLINK("http://trademark.i-assist.jp/data/china/image_1908th/79781977.pdf", "79781977")</f>
        <v>79781977</v>
      </c>
      <c r="F756" s="11" t="s">
        <v>2279</v>
      </c>
      <c r="G756" s="11" t="s">
        <v>2280</v>
      </c>
      <c r="H756" s="11" t="s">
        <v>2281</v>
      </c>
      <c r="I756" s="11" t="s">
        <v>139</v>
      </c>
    </row>
    <row r="757" spans="1:9" x14ac:dyDescent="0.15">
      <c r="A757" s="10">
        <v>756</v>
      </c>
      <c r="B757" s="11" t="s">
        <v>9</v>
      </c>
      <c r="C757" s="11" t="s">
        <v>179</v>
      </c>
      <c r="D757" s="11" t="s">
        <v>180</v>
      </c>
      <c r="E757" s="9" t="str">
        <f>+HYPERLINK("http://trademark.i-assist.jp/data/china/image_1908th/79781996.pdf", "79781996")</f>
        <v>79781996</v>
      </c>
      <c r="F757" s="11" t="s">
        <v>2282</v>
      </c>
      <c r="G757" s="11" t="s">
        <v>2227</v>
      </c>
      <c r="H757" s="11" t="s">
        <v>2283</v>
      </c>
      <c r="I757" s="11" t="s">
        <v>139</v>
      </c>
    </row>
    <row r="758" spans="1:9" x14ac:dyDescent="0.15">
      <c r="A758" s="10">
        <v>757</v>
      </c>
      <c r="B758" s="11" t="s">
        <v>9</v>
      </c>
      <c r="C758" s="11" t="s">
        <v>179</v>
      </c>
      <c r="D758" s="11" t="s">
        <v>180</v>
      </c>
      <c r="E758" s="9" t="str">
        <f>+HYPERLINK("http://trademark.i-assist.jp/data/china/image_1908th/79782023.pdf", "79782023")</f>
        <v>79782023</v>
      </c>
      <c r="F758" s="11" t="s">
        <v>2284</v>
      </c>
      <c r="G758" s="11" t="s">
        <v>2285</v>
      </c>
      <c r="H758" s="11" t="s">
        <v>2286</v>
      </c>
      <c r="I758" s="11" t="s">
        <v>139</v>
      </c>
    </row>
    <row r="759" spans="1:9" x14ac:dyDescent="0.15">
      <c r="A759" s="10">
        <v>758</v>
      </c>
      <c r="B759" s="11" t="s">
        <v>9</v>
      </c>
      <c r="C759" s="11" t="s">
        <v>179</v>
      </c>
      <c r="D759" s="11" t="s">
        <v>180</v>
      </c>
      <c r="E759" s="9" t="str">
        <f>+HYPERLINK("http://trademark.i-assist.jp/data/china/image_1908th/79782198.pdf", "79782198")</f>
        <v>79782198</v>
      </c>
      <c r="F759" s="11" t="s">
        <v>2287</v>
      </c>
      <c r="G759" s="11" t="s">
        <v>2288</v>
      </c>
      <c r="H759" s="11" t="s">
        <v>2289</v>
      </c>
      <c r="I759" s="11" t="s">
        <v>139</v>
      </c>
    </row>
    <row r="760" spans="1:9" x14ac:dyDescent="0.15">
      <c r="A760" s="10">
        <v>759</v>
      </c>
      <c r="B760" s="11" t="s">
        <v>9</v>
      </c>
      <c r="C760" s="11" t="s">
        <v>179</v>
      </c>
      <c r="D760" s="11" t="s">
        <v>180</v>
      </c>
      <c r="E760" s="9" t="str">
        <f>+HYPERLINK("http://trademark.i-assist.jp/data/china/image_1908th/79782679.pdf", "79782679")</f>
        <v>79782679</v>
      </c>
      <c r="F760" s="11" t="s">
        <v>2290</v>
      </c>
      <c r="G760" s="11" t="s">
        <v>2291</v>
      </c>
      <c r="H760" s="11" t="s">
        <v>2292</v>
      </c>
      <c r="I760" s="11" t="s">
        <v>141</v>
      </c>
    </row>
    <row r="761" spans="1:9" x14ac:dyDescent="0.15">
      <c r="A761" s="10">
        <v>760</v>
      </c>
      <c r="B761" s="11" t="s">
        <v>9</v>
      </c>
      <c r="C761" s="11" t="s">
        <v>179</v>
      </c>
      <c r="D761" s="11" t="s">
        <v>180</v>
      </c>
      <c r="E761" s="9" t="str">
        <f>+HYPERLINK("http://trademark.i-assist.jp/data/china/image_1908th/79782736.pdf", "79782736")</f>
        <v>79782736</v>
      </c>
      <c r="F761" s="11" t="s">
        <v>2293</v>
      </c>
      <c r="G761" s="11" t="s">
        <v>2294</v>
      </c>
      <c r="H761" s="11" t="s">
        <v>2295</v>
      </c>
      <c r="I761" s="11" t="s">
        <v>141</v>
      </c>
    </row>
    <row r="762" spans="1:9" x14ac:dyDescent="0.15">
      <c r="A762" s="10">
        <v>761</v>
      </c>
      <c r="B762" s="11" t="s">
        <v>9</v>
      </c>
      <c r="C762" s="11" t="s">
        <v>179</v>
      </c>
      <c r="D762" s="11" t="s">
        <v>180</v>
      </c>
      <c r="E762" s="9" t="str">
        <f>+HYPERLINK("http://trademark.i-assist.jp/data/china/image_1908th/79782842.pdf", "79782842")</f>
        <v>79782842</v>
      </c>
      <c r="F762" s="11" t="s">
        <v>2296</v>
      </c>
      <c r="G762" s="11" t="s">
        <v>2297</v>
      </c>
      <c r="H762" s="11" t="s">
        <v>2298</v>
      </c>
      <c r="I762" s="11" t="s">
        <v>141</v>
      </c>
    </row>
    <row r="763" spans="1:9" x14ac:dyDescent="0.15">
      <c r="A763" s="10">
        <v>762</v>
      </c>
      <c r="B763" s="11" t="s">
        <v>9</v>
      </c>
      <c r="C763" s="11" t="s">
        <v>179</v>
      </c>
      <c r="D763" s="11" t="s">
        <v>180</v>
      </c>
      <c r="E763" s="9" t="str">
        <f>+HYPERLINK("http://trademark.i-assist.jp/data/china/image_1908th/79782922.pdf", "79782922")</f>
        <v>79782922</v>
      </c>
      <c r="F763" s="11" t="s">
        <v>2299</v>
      </c>
      <c r="G763" s="11" t="s">
        <v>2300</v>
      </c>
      <c r="H763" s="11" t="s">
        <v>2301</v>
      </c>
      <c r="I763" s="11" t="s">
        <v>141</v>
      </c>
    </row>
    <row r="764" spans="1:9" x14ac:dyDescent="0.15">
      <c r="A764" s="10">
        <v>763</v>
      </c>
      <c r="B764" s="11" t="s">
        <v>9</v>
      </c>
      <c r="C764" s="11" t="s">
        <v>179</v>
      </c>
      <c r="D764" s="11" t="s">
        <v>180</v>
      </c>
      <c r="E764" s="9" t="str">
        <f>+HYPERLINK("http://trademark.i-assist.jp/data/china/image_1908th/79783166.pdf", "79783166")</f>
        <v>79783166</v>
      </c>
      <c r="F764" s="11" t="s">
        <v>2302</v>
      </c>
      <c r="G764" s="11" t="s">
        <v>2303</v>
      </c>
      <c r="H764" s="11" t="s">
        <v>2304</v>
      </c>
      <c r="I764" s="11" t="s">
        <v>141</v>
      </c>
    </row>
    <row r="765" spans="1:9" x14ac:dyDescent="0.15">
      <c r="A765" s="10">
        <v>764</v>
      </c>
      <c r="B765" s="11" t="s">
        <v>9</v>
      </c>
      <c r="C765" s="11" t="s">
        <v>179</v>
      </c>
      <c r="D765" s="11" t="s">
        <v>180</v>
      </c>
      <c r="E765" s="9" t="str">
        <f>+HYPERLINK("http://trademark.i-assist.jp/data/china/image_1908th/79783527.pdf", "79783527")</f>
        <v>79783527</v>
      </c>
      <c r="F765" s="11" t="s">
        <v>2305</v>
      </c>
      <c r="G765" s="11" t="s">
        <v>2306</v>
      </c>
      <c r="H765" s="11" t="s">
        <v>2307</v>
      </c>
      <c r="I765" s="11" t="s">
        <v>141</v>
      </c>
    </row>
    <row r="766" spans="1:9" x14ac:dyDescent="0.15">
      <c r="A766" s="10">
        <v>765</v>
      </c>
      <c r="B766" s="11" t="s">
        <v>9</v>
      </c>
      <c r="C766" s="11" t="s">
        <v>179</v>
      </c>
      <c r="D766" s="11" t="s">
        <v>180</v>
      </c>
      <c r="E766" s="9" t="str">
        <f>+HYPERLINK("http://trademark.i-assist.jp/data/china/image_1908th/79784539.pdf", "79784539")</f>
        <v>79784539</v>
      </c>
      <c r="F766" s="11" t="s">
        <v>2308</v>
      </c>
      <c r="G766" s="11" t="s">
        <v>25</v>
      </c>
      <c r="H766" s="11" t="s">
        <v>2309</v>
      </c>
      <c r="I766" s="11" t="s">
        <v>141</v>
      </c>
    </row>
    <row r="767" spans="1:9" x14ac:dyDescent="0.15">
      <c r="A767" s="10">
        <v>766</v>
      </c>
      <c r="B767" s="11" t="s">
        <v>9</v>
      </c>
      <c r="C767" s="11" t="s">
        <v>179</v>
      </c>
      <c r="D767" s="11" t="s">
        <v>180</v>
      </c>
      <c r="E767" s="9" t="str">
        <f>+HYPERLINK("http://trademark.i-assist.jp/data/china/image_1908th/79784782.pdf", "79784782")</f>
        <v>79784782</v>
      </c>
      <c r="F767" s="11" t="s">
        <v>2310</v>
      </c>
      <c r="G767" s="11" t="s">
        <v>2311</v>
      </c>
      <c r="H767" s="11" t="s">
        <v>2312</v>
      </c>
      <c r="I767" s="11" t="s">
        <v>141</v>
      </c>
    </row>
    <row r="768" spans="1:9" x14ac:dyDescent="0.15">
      <c r="A768" s="10">
        <v>767</v>
      </c>
      <c r="B768" s="11" t="s">
        <v>9</v>
      </c>
      <c r="C768" s="11" t="s">
        <v>179</v>
      </c>
      <c r="D768" s="11" t="s">
        <v>180</v>
      </c>
      <c r="E768" s="9" t="str">
        <f>+HYPERLINK("http://trademark.i-assist.jp/data/china/image_1908th/79785411.pdf", "79785411")</f>
        <v>79785411</v>
      </c>
      <c r="F768" s="11" t="s">
        <v>2313</v>
      </c>
      <c r="G768" s="11" t="s">
        <v>2314</v>
      </c>
      <c r="H768" s="11" t="s">
        <v>2315</v>
      </c>
      <c r="I768" s="11" t="s">
        <v>143</v>
      </c>
    </row>
    <row r="769" spans="1:9" x14ac:dyDescent="0.15">
      <c r="A769" s="10">
        <v>768</v>
      </c>
      <c r="B769" s="11" t="s">
        <v>9</v>
      </c>
      <c r="C769" s="11" t="s">
        <v>179</v>
      </c>
      <c r="D769" s="11" t="s">
        <v>180</v>
      </c>
      <c r="E769" s="9" t="str">
        <f>+HYPERLINK("http://trademark.i-assist.jp/data/china/image_1908th/79785758.pdf", "79785758")</f>
        <v>79785758</v>
      </c>
      <c r="F769" s="11" t="s">
        <v>2316</v>
      </c>
      <c r="G769" s="11" t="s">
        <v>2317</v>
      </c>
      <c r="H769" s="11" t="s">
        <v>2318</v>
      </c>
      <c r="I769" s="11" t="s">
        <v>143</v>
      </c>
    </row>
    <row r="770" spans="1:9" x14ac:dyDescent="0.15">
      <c r="A770" s="10">
        <v>769</v>
      </c>
      <c r="B770" s="11" t="s">
        <v>9</v>
      </c>
      <c r="C770" s="11" t="s">
        <v>179</v>
      </c>
      <c r="D770" s="11" t="s">
        <v>180</v>
      </c>
      <c r="E770" s="9" t="str">
        <f>+HYPERLINK("http://trademark.i-assist.jp/data/china/image_1908th/79786825.pdf", "79786825")</f>
        <v>79786825</v>
      </c>
      <c r="F770" s="11" t="s">
        <v>2319</v>
      </c>
      <c r="G770" s="11" t="s">
        <v>2320</v>
      </c>
      <c r="H770" s="11" t="s">
        <v>2321</v>
      </c>
      <c r="I770" s="11" t="s">
        <v>143</v>
      </c>
    </row>
    <row r="771" spans="1:9" x14ac:dyDescent="0.15">
      <c r="A771" s="10">
        <v>770</v>
      </c>
      <c r="B771" s="11" t="s">
        <v>9</v>
      </c>
      <c r="C771" s="11" t="s">
        <v>179</v>
      </c>
      <c r="D771" s="11" t="s">
        <v>180</v>
      </c>
      <c r="E771" s="9" t="str">
        <f>+HYPERLINK("http://trademark.i-assist.jp/data/china/image_1908th/79786836.pdf", "79786836")</f>
        <v>79786836</v>
      </c>
      <c r="F771" s="11" t="s">
        <v>2322</v>
      </c>
      <c r="G771" s="11" t="s">
        <v>2323</v>
      </c>
      <c r="H771" s="11" t="s">
        <v>2324</v>
      </c>
      <c r="I771" s="11" t="s">
        <v>143</v>
      </c>
    </row>
    <row r="772" spans="1:9" x14ac:dyDescent="0.15">
      <c r="A772" s="10">
        <v>771</v>
      </c>
      <c r="B772" s="11" t="s">
        <v>9</v>
      </c>
      <c r="C772" s="11" t="s">
        <v>179</v>
      </c>
      <c r="D772" s="11" t="s">
        <v>180</v>
      </c>
      <c r="E772" s="9" t="str">
        <f>+HYPERLINK("http://trademark.i-assist.jp/data/china/image_1908th/79787373.pdf", "79787373")</f>
        <v>79787373</v>
      </c>
      <c r="F772" s="11" t="s">
        <v>2325</v>
      </c>
      <c r="G772" s="11" t="s">
        <v>2326</v>
      </c>
      <c r="H772" s="11" t="s">
        <v>2327</v>
      </c>
      <c r="I772" s="11" t="s">
        <v>143</v>
      </c>
    </row>
    <row r="773" spans="1:9" x14ac:dyDescent="0.15">
      <c r="A773" s="10">
        <v>772</v>
      </c>
      <c r="B773" s="11" t="s">
        <v>9</v>
      </c>
      <c r="C773" s="11" t="s">
        <v>179</v>
      </c>
      <c r="D773" s="11" t="s">
        <v>180</v>
      </c>
      <c r="E773" s="9" t="str">
        <f>+HYPERLINK("http://trademark.i-assist.jp/data/china/image_1908th/79787382.pdf", "79787382")</f>
        <v>79787382</v>
      </c>
      <c r="F773" s="11" t="s">
        <v>2328</v>
      </c>
      <c r="G773" s="11" t="s">
        <v>2329</v>
      </c>
      <c r="H773" s="11" t="s">
        <v>2330</v>
      </c>
      <c r="I773" s="11" t="s">
        <v>143</v>
      </c>
    </row>
    <row r="774" spans="1:9" x14ac:dyDescent="0.15">
      <c r="A774" s="10">
        <v>773</v>
      </c>
      <c r="B774" s="11" t="s">
        <v>9</v>
      </c>
      <c r="C774" s="11" t="s">
        <v>179</v>
      </c>
      <c r="D774" s="11" t="s">
        <v>180</v>
      </c>
      <c r="E774" s="9" t="str">
        <f>+HYPERLINK("http://trademark.i-assist.jp/data/china/image_1908th/79788007.pdf", "79788007")</f>
        <v>79788007</v>
      </c>
      <c r="F774" s="11" t="s">
        <v>2331</v>
      </c>
      <c r="G774" s="11" t="s">
        <v>2332</v>
      </c>
      <c r="H774" s="11" t="s">
        <v>2333</v>
      </c>
      <c r="I774" s="11" t="s">
        <v>143</v>
      </c>
    </row>
    <row r="775" spans="1:9" x14ac:dyDescent="0.15">
      <c r="A775" s="10">
        <v>774</v>
      </c>
      <c r="B775" s="11" t="s">
        <v>9</v>
      </c>
      <c r="C775" s="11" t="s">
        <v>179</v>
      </c>
      <c r="D775" s="11" t="s">
        <v>180</v>
      </c>
      <c r="E775" s="9" t="str">
        <f>+HYPERLINK("http://trademark.i-assist.jp/data/china/image_1908th/79788261.pdf", "79788261")</f>
        <v>79788261</v>
      </c>
      <c r="F775" s="11" t="s">
        <v>2334</v>
      </c>
      <c r="G775" s="11" t="s">
        <v>2335</v>
      </c>
      <c r="H775" s="11" t="s">
        <v>2336</v>
      </c>
      <c r="I775" s="11" t="s">
        <v>143</v>
      </c>
    </row>
    <row r="776" spans="1:9" x14ac:dyDescent="0.15">
      <c r="A776" s="10">
        <v>775</v>
      </c>
      <c r="B776" s="11" t="s">
        <v>9</v>
      </c>
      <c r="C776" s="11" t="s">
        <v>179</v>
      </c>
      <c r="D776" s="11" t="s">
        <v>180</v>
      </c>
      <c r="E776" s="9" t="str">
        <f>+HYPERLINK("http://trademark.i-assist.jp/data/china/image_1908th/79788415.pdf", "79788415")</f>
        <v>79788415</v>
      </c>
      <c r="F776" s="11" t="s">
        <v>2337</v>
      </c>
      <c r="G776" s="11" t="s">
        <v>2338</v>
      </c>
      <c r="H776" s="11" t="s">
        <v>2339</v>
      </c>
      <c r="I776" s="11" t="s">
        <v>143</v>
      </c>
    </row>
    <row r="777" spans="1:9" x14ac:dyDescent="0.15">
      <c r="A777" s="10">
        <v>776</v>
      </c>
      <c r="B777" s="11" t="s">
        <v>9</v>
      </c>
      <c r="C777" s="11" t="s">
        <v>179</v>
      </c>
      <c r="D777" s="11" t="s">
        <v>180</v>
      </c>
      <c r="E777" s="9" t="str">
        <f>+HYPERLINK("http://trademark.i-assist.jp/data/china/image_1908th/79788639.pdf", "79788639")</f>
        <v>79788639</v>
      </c>
      <c r="F777" s="11" t="s">
        <v>2340</v>
      </c>
      <c r="G777" s="11" t="s">
        <v>2341</v>
      </c>
      <c r="H777" s="11" t="s">
        <v>2342</v>
      </c>
      <c r="I777" s="11" t="s">
        <v>143</v>
      </c>
    </row>
    <row r="778" spans="1:9" x14ac:dyDescent="0.15">
      <c r="A778" s="10">
        <v>777</v>
      </c>
      <c r="B778" s="11" t="s">
        <v>9</v>
      </c>
      <c r="C778" s="11" t="s">
        <v>179</v>
      </c>
      <c r="D778" s="11" t="s">
        <v>180</v>
      </c>
      <c r="E778" s="9" t="str">
        <f>+HYPERLINK("http://trademark.i-assist.jp/data/china/image_1908th/79788676.pdf", "79788676")</f>
        <v>79788676</v>
      </c>
      <c r="F778" s="11" t="s">
        <v>2343</v>
      </c>
      <c r="G778" s="11" t="s">
        <v>2344</v>
      </c>
      <c r="H778" s="11" t="s">
        <v>2345</v>
      </c>
      <c r="I778" s="11" t="s">
        <v>143</v>
      </c>
    </row>
    <row r="779" spans="1:9" x14ac:dyDescent="0.15">
      <c r="A779" s="10">
        <v>778</v>
      </c>
      <c r="B779" s="11" t="s">
        <v>9</v>
      </c>
      <c r="C779" s="11" t="s">
        <v>179</v>
      </c>
      <c r="D779" s="11" t="s">
        <v>180</v>
      </c>
      <c r="E779" s="9" t="str">
        <f>+HYPERLINK("http://trademark.i-assist.jp/data/china/image_1908th/79788771.pdf", "79788771")</f>
        <v>79788771</v>
      </c>
      <c r="F779" s="11" t="s">
        <v>2346</v>
      </c>
      <c r="G779" s="11" t="s">
        <v>2347</v>
      </c>
      <c r="H779" s="11" t="s">
        <v>2348</v>
      </c>
      <c r="I779" s="11" t="s">
        <v>143</v>
      </c>
    </row>
    <row r="780" spans="1:9" x14ac:dyDescent="0.15">
      <c r="A780" s="10">
        <v>779</v>
      </c>
      <c r="B780" s="11" t="s">
        <v>9</v>
      </c>
      <c r="C780" s="11" t="s">
        <v>179</v>
      </c>
      <c r="D780" s="11" t="s">
        <v>180</v>
      </c>
      <c r="E780" s="9" t="str">
        <f>+HYPERLINK("http://trademark.i-assist.jp/data/china/image_1908th/79788801.pdf", "79788801")</f>
        <v>79788801</v>
      </c>
      <c r="F780" s="11" t="s">
        <v>2349</v>
      </c>
      <c r="G780" s="11" t="s">
        <v>2350</v>
      </c>
      <c r="H780" s="11" t="s">
        <v>2351</v>
      </c>
      <c r="I780" s="11" t="s">
        <v>143</v>
      </c>
    </row>
    <row r="781" spans="1:9" x14ac:dyDescent="0.15">
      <c r="A781" s="10">
        <v>780</v>
      </c>
      <c r="B781" s="11" t="s">
        <v>9</v>
      </c>
      <c r="C781" s="11" t="s">
        <v>179</v>
      </c>
      <c r="D781" s="11" t="s">
        <v>180</v>
      </c>
      <c r="E781" s="9" t="str">
        <f>+HYPERLINK("http://trademark.i-assist.jp/data/china/image_1908th/79788860.pdf", "79788860")</f>
        <v>79788860</v>
      </c>
      <c r="F781" s="11" t="s">
        <v>2352</v>
      </c>
      <c r="G781" s="11" t="s">
        <v>2353</v>
      </c>
      <c r="H781" s="11" t="s">
        <v>2354</v>
      </c>
      <c r="I781" s="11" t="s">
        <v>143</v>
      </c>
    </row>
    <row r="782" spans="1:9" x14ac:dyDescent="0.15">
      <c r="A782" s="10">
        <v>781</v>
      </c>
      <c r="B782" s="11" t="s">
        <v>9</v>
      </c>
      <c r="C782" s="11" t="s">
        <v>179</v>
      </c>
      <c r="D782" s="11" t="s">
        <v>180</v>
      </c>
      <c r="E782" s="9" t="str">
        <f>+HYPERLINK("http://trademark.i-assist.jp/data/china/image_1908th/79788903.pdf", "79788903")</f>
        <v>79788903</v>
      </c>
      <c r="F782" s="11" t="s">
        <v>2355</v>
      </c>
      <c r="G782" s="11" t="s">
        <v>2356</v>
      </c>
      <c r="H782" s="11" t="s">
        <v>2357</v>
      </c>
      <c r="I782" s="11" t="s">
        <v>143</v>
      </c>
    </row>
    <row r="783" spans="1:9" x14ac:dyDescent="0.15">
      <c r="A783" s="10">
        <v>782</v>
      </c>
      <c r="B783" s="11" t="s">
        <v>9</v>
      </c>
      <c r="C783" s="11" t="s">
        <v>179</v>
      </c>
      <c r="D783" s="11" t="s">
        <v>180</v>
      </c>
      <c r="E783" s="9" t="str">
        <f>+HYPERLINK("http://trademark.i-assist.jp/data/china/image_1908th/79789048.pdf", "79789048")</f>
        <v>79789048</v>
      </c>
      <c r="F783" s="11" t="s">
        <v>2358</v>
      </c>
      <c r="G783" s="11" t="s">
        <v>2335</v>
      </c>
      <c r="H783" s="11" t="s">
        <v>2359</v>
      </c>
      <c r="I783" s="11" t="s">
        <v>143</v>
      </c>
    </row>
    <row r="784" spans="1:9" x14ac:dyDescent="0.15">
      <c r="A784" s="10">
        <v>783</v>
      </c>
      <c r="B784" s="11" t="s">
        <v>9</v>
      </c>
      <c r="C784" s="11" t="s">
        <v>179</v>
      </c>
      <c r="D784" s="11" t="s">
        <v>180</v>
      </c>
      <c r="E784" s="9" t="str">
        <f>+HYPERLINK("http://trademark.i-assist.jp/data/china/image_1908th/79789137.pdf", "79789137")</f>
        <v>79789137</v>
      </c>
      <c r="F784" s="11" t="s">
        <v>2360</v>
      </c>
      <c r="G784" s="11" t="s">
        <v>2361</v>
      </c>
      <c r="H784" s="11" t="s">
        <v>2362</v>
      </c>
      <c r="I784" s="11" t="s">
        <v>143</v>
      </c>
    </row>
    <row r="785" spans="1:9" x14ac:dyDescent="0.15">
      <c r="A785" s="10">
        <v>784</v>
      </c>
      <c r="B785" s="11" t="s">
        <v>9</v>
      </c>
      <c r="C785" s="11" t="s">
        <v>179</v>
      </c>
      <c r="D785" s="11" t="s">
        <v>180</v>
      </c>
      <c r="E785" s="9" t="str">
        <f>+HYPERLINK("http://trademark.i-assist.jp/data/china/image_1908th/79789507.pdf", "79789507")</f>
        <v>79789507</v>
      </c>
      <c r="F785" s="11" t="s">
        <v>2363</v>
      </c>
      <c r="G785" s="11" t="s">
        <v>2364</v>
      </c>
      <c r="H785" s="11" t="s">
        <v>2365</v>
      </c>
      <c r="I785" s="11" t="s">
        <v>143</v>
      </c>
    </row>
    <row r="786" spans="1:9" x14ac:dyDescent="0.15">
      <c r="A786" s="10">
        <v>785</v>
      </c>
      <c r="B786" s="11" t="s">
        <v>9</v>
      </c>
      <c r="C786" s="11" t="s">
        <v>179</v>
      </c>
      <c r="D786" s="11" t="s">
        <v>180</v>
      </c>
      <c r="E786" s="9" t="str">
        <f>+HYPERLINK("http://trademark.i-assist.jp/data/china/image_1908th/79789695.pdf", "79789695")</f>
        <v>79789695</v>
      </c>
      <c r="F786" s="11" t="s">
        <v>2366</v>
      </c>
      <c r="G786" s="11" t="s">
        <v>2367</v>
      </c>
      <c r="H786" s="11" t="s">
        <v>2368</v>
      </c>
      <c r="I786" s="11" t="s">
        <v>143</v>
      </c>
    </row>
    <row r="787" spans="1:9" x14ac:dyDescent="0.15">
      <c r="A787" s="10">
        <v>786</v>
      </c>
      <c r="B787" s="11" t="s">
        <v>9</v>
      </c>
      <c r="C787" s="11" t="s">
        <v>179</v>
      </c>
      <c r="D787" s="11" t="s">
        <v>180</v>
      </c>
      <c r="E787" s="9" t="str">
        <f>+HYPERLINK("http://trademark.i-assist.jp/data/china/image_1908th/79789884.pdf", "79789884")</f>
        <v>79789884</v>
      </c>
      <c r="F787" s="11" t="s">
        <v>2369</v>
      </c>
      <c r="G787" s="11" t="s">
        <v>2370</v>
      </c>
      <c r="H787" s="11" t="s">
        <v>2371</v>
      </c>
      <c r="I787" s="11" t="s">
        <v>143</v>
      </c>
    </row>
    <row r="788" spans="1:9" x14ac:dyDescent="0.15">
      <c r="A788" s="10">
        <v>787</v>
      </c>
      <c r="B788" s="11" t="s">
        <v>9</v>
      </c>
      <c r="C788" s="11" t="s">
        <v>179</v>
      </c>
      <c r="D788" s="11" t="s">
        <v>180</v>
      </c>
      <c r="E788" s="9" t="str">
        <f>+HYPERLINK("http://trademark.i-assist.jp/data/china/image_1908th/79789895.pdf", "79789895")</f>
        <v>79789895</v>
      </c>
      <c r="F788" s="11" t="s">
        <v>2372</v>
      </c>
      <c r="G788" s="11" t="s">
        <v>2373</v>
      </c>
      <c r="H788" s="11" t="s">
        <v>2374</v>
      </c>
      <c r="I788" s="11" t="s">
        <v>143</v>
      </c>
    </row>
    <row r="789" spans="1:9" x14ac:dyDescent="0.15">
      <c r="A789" s="10">
        <v>788</v>
      </c>
      <c r="B789" s="11" t="s">
        <v>9</v>
      </c>
      <c r="C789" s="11" t="s">
        <v>179</v>
      </c>
      <c r="D789" s="11" t="s">
        <v>180</v>
      </c>
      <c r="E789" s="9" t="str">
        <f>+HYPERLINK("http://trademark.i-assist.jp/data/china/image_1908th/79790036.pdf", "79790036")</f>
        <v>79790036</v>
      </c>
      <c r="F789" s="11" t="s">
        <v>2375</v>
      </c>
      <c r="G789" s="11" t="s">
        <v>2376</v>
      </c>
      <c r="H789" s="11" t="s">
        <v>2377</v>
      </c>
      <c r="I789" s="11" t="s">
        <v>143</v>
      </c>
    </row>
    <row r="790" spans="1:9" x14ac:dyDescent="0.15">
      <c r="A790" s="10">
        <v>789</v>
      </c>
      <c r="B790" s="11" t="s">
        <v>9</v>
      </c>
      <c r="C790" s="11" t="s">
        <v>179</v>
      </c>
      <c r="D790" s="11" t="s">
        <v>180</v>
      </c>
      <c r="E790" s="9" t="str">
        <f>+HYPERLINK("http://trademark.i-assist.jp/data/china/image_1908th/79790347.pdf", "79790347")</f>
        <v>79790347</v>
      </c>
      <c r="F790" s="11" t="s">
        <v>2378</v>
      </c>
      <c r="G790" s="11" t="s">
        <v>2364</v>
      </c>
      <c r="H790" s="11" t="s">
        <v>2379</v>
      </c>
      <c r="I790" s="11" t="s">
        <v>143</v>
      </c>
    </row>
    <row r="791" spans="1:9" x14ac:dyDescent="0.15">
      <c r="A791" s="10">
        <v>790</v>
      </c>
      <c r="B791" s="11" t="s">
        <v>9</v>
      </c>
      <c r="C791" s="11" t="s">
        <v>179</v>
      </c>
      <c r="D791" s="11" t="s">
        <v>180</v>
      </c>
      <c r="E791" s="9" t="str">
        <f>+HYPERLINK("http://trademark.i-assist.jp/data/china/image_1908th/79790845.pdf", "79790845")</f>
        <v>79790845</v>
      </c>
      <c r="F791" s="11" t="s">
        <v>2380</v>
      </c>
      <c r="G791" s="11" t="s">
        <v>2381</v>
      </c>
      <c r="H791" s="11" t="s">
        <v>2382</v>
      </c>
      <c r="I791" s="11" t="s">
        <v>143</v>
      </c>
    </row>
    <row r="792" spans="1:9" x14ac:dyDescent="0.15">
      <c r="A792" s="10">
        <v>791</v>
      </c>
      <c r="B792" s="11" t="s">
        <v>9</v>
      </c>
      <c r="C792" s="11" t="s">
        <v>179</v>
      </c>
      <c r="D792" s="11" t="s">
        <v>180</v>
      </c>
      <c r="E792" s="9" t="str">
        <f>+HYPERLINK("http://trademark.i-assist.jp/data/china/image_1908th/79791398.pdf", "79791398")</f>
        <v>79791398</v>
      </c>
      <c r="F792" s="11" t="s">
        <v>2383</v>
      </c>
      <c r="G792" s="11" t="s">
        <v>146</v>
      </c>
      <c r="H792" s="11" t="s">
        <v>2384</v>
      </c>
      <c r="I792" s="11" t="s">
        <v>143</v>
      </c>
    </row>
    <row r="793" spans="1:9" x14ac:dyDescent="0.15">
      <c r="A793" s="10">
        <v>792</v>
      </c>
      <c r="B793" s="11" t="s">
        <v>9</v>
      </c>
      <c r="C793" s="11" t="s">
        <v>179</v>
      </c>
      <c r="D793" s="11" t="s">
        <v>180</v>
      </c>
      <c r="E793" s="9" t="str">
        <f>+HYPERLINK("http://trademark.i-assist.jp/data/china/image_1908th/79792487.pdf", "79792487")</f>
        <v>79792487</v>
      </c>
      <c r="F793" s="11" t="s">
        <v>2385</v>
      </c>
      <c r="G793" s="11" t="s">
        <v>2386</v>
      </c>
      <c r="H793" s="11" t="s">
        <v>2387</v>
      </c>
      <c r="I793" s="11" t="s">
        <v>143</v>
      </c>
    </row>
    <row r="794" spans="1:9" x14ac:dyDescent="0.15">
      <c r="A794" s="10">
        <v>793</v>
      </c>
      <c r="B794" s="11" t="s">
        <v>9</v>
      </c>
      <c r="C794" s="11" t="s">
        <v>179</v>
      </c>
      <c r="D794" s="11" t="s">
        <v>180</v>
      </c>
      <c r="E794" s="9" t="str">
        <f>+HYPERLINK("http://trademark.i-assist.jp/data/china/image_1908th/79792560.pdf", "79792560")</f>
        <v>79792560</v>
      </c>
      <c r="F794" s="11" t="s">
        <v>10</v>
      </c>
      <c r="G794" s="11" t="s">
        <v>2388</v>
      </c>
      <c r="H794" s="11" t="s">
        <v>2389</v>
      </c>
      <c r="I794" s="11" t="s">
        <v>143</v>
      </c>
    </row>
    <row r="795" spans="1:9" x14ac:dyDescent="0.15">
      <c r="A795" s="10">
        <v>794</v>
      </c>
      <c r="B795" s="11" t="s">
        <v>9</v>
      </c>
      <c r="C795" s="11" t="s">
        <v>179</v>
      </c>
      <c r="D795" s="11" t="s">
        <v>180</v>
      </c>
      <c r="E795" s="9" t="str">
        <f>+HYPERLINK("http://trademark.i-assist.jp/data/china/image_1908th/79792583.pdf", "79792583")</f>
        <v>79792583</v>
      </c>
      <c r="F795" s="11" t="s">
        <v>2390</v>
      </c>
      <c r="G795" s="11" t="s">
        <v>138</v>
      </c>
      <c r="H795" s="11" t="s">
        <v>2391</v>
      </c>
      <c r="I795" s="11" t="s">
        <v>143</v>
      </c>
    </row>
    <row r="796" spans="1:9" x14ac:dyDescent="0.15">
      <c r="A796" s="10">
        <v>795</v>
      </c>
      <c r="B796" s="11" t="s">
        <v>9</v>
      </c>
      <c r="C796" s="11" t="s">
        <v>179</v>
      </c>
      <c r="D796" s="11" t="s">
        <v>180</v>
      </c>
      <c r="E796" s="9" t="str">
        <f>+HYPERLINK("http://trademark.i-assist.jp/data/china/image_1908th/79792633.pdf", "79792633")</f>
        <v>79792633</v>
      </c>
      <c r="F796" s="11" t="s">
        <v>2392</v>
      </c>
      <c r="G796" s="11" t="s">
        <v>2393</v>
      </c>
      <c r="H796" s="11" t="s">
        <v>2394</v>
      </c>
      <c r="I796" s="11" t="s">
        <v>143</v>
      </c>
    </row>
    <row r="797" spans="1:9" x14ac:dyDescent="0.15">
      <c r="A797" s="10">
        <v>796</v>
      </c>
      <c r="B797" s="11" t="s">
        <v>9</v>
      </c>
      <c r="C797" s="11" t="s">
        <v>179</v>
      </c>
      <c r="D797" s="11" t="s">
        <v>180</v>
      </c>
      <c r="E797" s="9" t="str">
        <f>+HYPERLINK("http://trademark.i-assist.jp/data/china/image_1908th/79793028.pdf", "79793028")</f>
        <v>79793028</v>
      </c>
      <c r="F797" s="11" t="s">
        <v>2395</v>
      </c>
      <c r="G797" s="11" t="s">
        <v>2396</v>
      </c>
      <c r="H797" s="11" t="s">
        <v>2397</v>
      </c>
      <c r="I797" s="11" t="s">
        <v>143</v>
      </c>
    </row>
    <row r="798" spans="1:9" x14ac:dyDescent="0.15">
      <c r="A798" s="10">
        <v>797</v>
      </c>
      <c r="B798" s="11" t="s">
        <v>9</v>
      </c>
      <c r="C798" s="11" t="s">
        <v>179</v>
      </c>
      <c r="D798" s="11" t="s">
        <v>180</v>
      </c>
      <c r="E798" s="9" t="str">
        <f>+HYPERLINK("http://trademark.i-assist.jp/data/china/image_1908th/79793734.pdf", "79793734")</f>
        <v>79793734</v>
      </c>
      <c r="F798" s="11" t="s">
        <v>2398</v>
      </c>
      <c r="G798" s="11" t="s">
        <v>2399</v>
      </c>
      <c r="H798" s="11" t="s">
        <v>2400</v>
      </c>
      <c r="I798" s="11" t="s">
        <v>143</v>
      </c>
    </row>
    <row r="799" spans="1:9" x14ac:dyDescent="0.15">
      <c r="A799" s="10">
        <v>798</v>
      </c>
      <c r="B799" s="11" t="s">
        <v>9</v>
      </c>
      <c r="C799" s="11" t="s">
        <v>179</v>
      </c>
      <c r="D799" s="11" t="s">
        <v>180</v>
      </c>
      <c r="E799" s="9" t="str">
        <f>+HYPERLINK("http://trademark.i-assist.jp/data/china/image_1908th/79793808.pdf", "79793808")</f>
        <v>79793808</v>
      </c>
      <c r="F799" s="11" t="s">
        <v>2401</v>
      </c>
      <c r="G799" s="11" t="s">
        <v>2402</v>
      </c>
      <c r="H799" s="11" t="s">
        <v>2403</v>
      </c>
      <c r="I799" s="11" t="s">
        <v>143</v>
      </c>
    </row>
    <row r="800" spans="1:9" x14ac:dyDescent="0.15">
      <c r="A800" s="10">
        <v>799</v>
      </c>
      <c r="B800" s="11" t="s">
        <v>9</v>
      </c>
      <c r="C800" s="11" t="s">
        <v>179</v>
      </c>
      <c r="D800" s="11" t="s">
        <v>180</v>
      </c>
      <c r="E800" s="9" t="str">
        <f>+HYPERLINK("http://trademark.i-assist.jp/data/china/image_1908th/79794775.pdf", "79794775")</f>
        <v>79794775</v>
      </c>
      <c r="F800" s="11" t="s">
        <v>2404</v>
      </c>
      <c r="G800" s="11" t="s">
        <v>2405</v>
      </c>
      <c r="H800" s="11" t="s">
        <v>2406</v>
      </c>
      <c r="I800" s="11" t="s">
        <v>143</v>
      </c>
    </row>
    <row r="801" spans="1:9" x14ac:dyDescent="0.15">
      <c r="A801" s="10">
        <v>800</v>
      </c>
      <c r="B801" s="11" t="s">
        <v>9</v>
      </c>
      <c r="C801" s="11" t="s">
        <v>179</v>
      </c>
      <c r="D801" s="11" t="s">
        <v>180</v>
      </c>
      <c r="E801" s="9" t="str">
        <f>+HYPERLINK("http://trademark.i-assist.jp/data/china/image_1908th/79795217.pdf", "79795217")</f>
        <v>79795217</v>
      </c>
      <c r="F801" s="11" t="s">
        <v>2407</v>
      </c>
      <c r="G801" s="11" t="s">
        <v>2408</v>
      </c>
      <c r="H801" s="11" t="s">
        <v>2409</v>
      </c>
      <c r="I801" s="11" t="s">
        <v>143</v>
      </c>
    </row>
    <row r="802" spans="1:9" x14ac:dyDescent="0.15">
      <c r="A802" s="10">
        <v>801</v>
      </c>
      <c r="B802" s="11" t="s">
        <v>9</v>
      </c>
      <c r="C802" s="11" t="s">
        <v>179</v>
      </c>
      <c r="D802" s="11" t="s">
        <v>180</v>
      </c>
      <c r="E802" s="9" t="str">
        <f>+HYPERLINK("http://trademark.i-assist.jp/data/china/image_1908th/79795275.pdf", "79795275")</f>
        <v>79795275</v>
      </c>
      <c r="F802" s="11" t="s">
        <v>2410</v>
      </c>
      <c r="G802" s="11" t="s">
        <v>2411</v>
      </c>
      <c r="H802" s="11" t="s">
        <v>2412</v>
      </c>
      <c r="I802" s="11" t="s">
        <v>143</v>
      </c>
    </row>
    <row r="803" spans="1:9" x14ac:dyDescent="0.15">
      <c r="A803" s="10">
        <v>802</v>
      </c>
      <c r="B803" s="11" t="s">
        <v>9</v>
      </c>
      <c r="C803" s="11" t="s">
        <v>179</v>
      </c>
      <c r="D803" s="11" t="s">
        <v>180</v>
      </c>
      <c r="E803" s="9" t="str">
        <f>+HYPERLINK("http://trademark.i-assist.jp/data/china/image_1908th/79795343.pdf", "79795343")</f>
        <v>79795343</v>
      </c>
      <c r="F803" s="11" t="s">
        <v>10</v>
      </c>
      <c r="G803" s="11" t="s">
        <v>2413</v>
      </c>
      <c r="H803" s="11" t="s">
        <v>2414</v>
      </c>
      <c r="I803" s="11" t="s">
        <v>143</v>
      </c>
    </row>
    <row r="804" spans="1:9" x14ac:dyDescent="0.15">
      <c r="A804" s="10">
        <v>803</v>
      </c>
      <c r="B804" s="11" t="s">
        <v>9</v>
      </c>
      <c r="C804" s="11" t="s">
        <v>179</v>
      </c>
      <c r="D804" s="11" t="s">
        <v>180</v>
      </c>
      <c r="E804" s="9" t="str">
        <f>+HYPERLINK("http://trademark.i-assist.jp/data/china/image_1908th/79795909.pdf", "79795909")</f>
        <v>79795909</v>
      </c>
      <c r="F804" s="11" t="s">
        <v>2415</v>
      </c>
      <c r="G804" s="11" t="s">
        <v>2416</v>
      </c>
      <c r="H804" s="11" t="s">
        <v>2417</v>
      </c>
      <c r="I804" s="11" t="s">
        <v>143</v>
      </c>
    </row>
    <row r="805" spans="1:9" x14ac:dyDescent="0.15">
      <c r="A805" s="10">
        <v>804</v>
      </c>
      <c r="B805" s="11" t="s">
        <v>9</v>
      </c>
      <c r="C805" s="11" t="s">
        <v>179</v>
      </c>
      <c r="D805" s="11" t="s">
        <v>180</v>
      </c>
      <c r="E805" s="9" t="str">
        <f>+HYPERLINK("http://trademark.i-assist.jp/data/china/image_1908th/79796032.pdf", "79796032")</f>
        <v>79796032</v>
      </c>
      <c r="F805" s="11" t="s">
        <v>2418</v>
      </c>
      <c r="G805" s="11" t="s">
        <v>2419</v>
      </c>
      <c r="H805" s="11" t="s">
        <v>2420</v>
      </c>
      <c r="I805" s="11" t="s">
        <v>143</v>
      </c>
    </row>
    <row r="806" spans="1:9" x14ac:dyDescent="0.15">
      <c r="A806" s="10">
        <v>805</v>
      </c>
      <c r="B806" s="11" t="s">
        <v>9</v>
      </c>
      <c r="C806" s="11" t="s">
        <v>179</v>
      </c>
      <c r="D806" s="11" t="s">
        <v>180</v>
      </c>
      <c r="E806" s="9" t="str">
        <f>+HYPERLINK("http://trademark.i-assist.jp/data/china/image_1908th/79796066.pdf", "79796066")</f>
        <v>79796066</v>
      </c>
      <c r="F806" s="11" t="s">
        <v>2421</v>
      </c>
      <c r="G806" s="11" t="s">
        <v>2422</v>
      </c>
      <c r="H806" s="11" t="s">
        <v>2423</v>
      </c>
      <c r="I806" s="11" t="s">
        <v>143</v>
      </c>
    </row>
    <row r="807" spans="1:9" x14ac:dyDescent="0.15">
      <c r="A807" s="10">
        <v>806</v>
      </c>
      <c r="B807" s="11" t="s">
        <v>9</v>
      </c>
      <c r="C807" s="11" t="s">
        <v>179</v>
      </c>
      <c r="D807" s="11" t="s">
        <v>180</v>
      </c>
      <c r="E807" s="9" t="str">
        <f>+HYPERLINK("http://trademark.i-assist.jp/data/china/image_1908th/79796277.pdf", "79796277")</f>
        <v>79796277</v>
      </c>
      <c r="F807" s="11" t="s">
        <v>2424</v>
      </c>
      <c r="G807" s="11" t="s">
        <v>2425</v>
      </c>
      <c r="H807" s="11" t="s">
        <v>2426</v>
      </c>
      <c r="I807" s="11" t="s">
        <v>143</v>
      </c>
    </row>
    <row r="808" spans="1:9" x14ac:dyDescent="0.15">
      <c r="A808" s="10">
        <v>807</v>
      </c>
      <c r="B808" s="11" t="s">
        <v>9</v>
      </c>
      <c r="C808" s="11" t="s">
        <v>179</v>
      </c>
      <c r="D808" s="11" t="s">
        <v>180</v>
      </c>
      <c r="E808" s="9" t="str">
        <f>+HYPERLINK("http://trademark.i-assist.jp/data/china/image_1908th/79797201.pdf", "79797201")</f>
        <v>79797201</v>
      </c>
      <c r="F808" s="11" t="s">
        <v>10</v>
      </c>
      <c r="G808" s="11" t="s">
        <v>2427</v>
      </c>
      <c r="H808" s="11" t="s">
        <v>2428</v>
      </c>
      <c r="I808" s="11" t="s">
        <v>143</v>
      </c>
    </row>
    <row r="809" spans="1:9" x14ac:dyDescent="0.15">
      <c r="A809" s="10">
        <v>808</v>
      </c>
      <c r="B809" s="11" t="s">
        <v>9</v>
      </c>
      <c r="C809" s="11" t="s">
        <v>179</v>
      </c>
      <c r="D809" s="11" t="s">
        <v>180</v>
      </c>
      <c r="E809" s="9" t="str">
        <f>+HYPERLINK("http://trademark.i-assist.jp/data/china/image_1908th/79797328.pdf", "79797328")</f>
        <v>79797328</v>
      </c>
      <c r="F809" s="11" t="s">
        <v>2429</v>
      </c>
      <c r="G809" s="11" t="s">
        <v>2430</v>
      </c>
      <c r="H809" s="11" t="s">
        <v>2431</v>
      </c>
      <c r="I809" s="11" t="s">
        <v>143</v>
      </c>
    </row>
    <row r="810" spans="1:9" x14ac:dyDescent="0.15">
      <c r="A810" s="10">
        <v>809</v>
      </c>
      <c r="B810" s="11" t="s">
        <v>9</v>
      </c>
      <c r="C810" s="11" t="s">
        <v>179</v>
      </c>
      <c r="D810" s="11" t="s">
        <v>180</v>
      </c>
      <c r="E810" s="9" t="str">
        <f>+HYPERLINK("http://trademark.i-assist.jp/data/china/image_1908th/79797347.pdf", "79797347")</f>
        <v>79797347</v>
      </c>
      <c r="F810" s="11" t="s">
        <v>2432</v>
      </c>
      <c r="G810" s="11" t="s">
        <v>2433</v>
      </c>
      <c r="H810" s="11" t="s">
        <v>2434</v>
      </c>
      <c r="I810" s="11" t="s">
        <v>143</v>
      </c>
    </row>
    <row r="811" spans="1:9" x14ac:dyDescent="0.15">
      <c r="A811" s="10">
        <v>810</v>
      </c>
      <c r="B811" s="11" t="s">
        <v>9</v>
      </c>
      <c r="C811" s="11" t="s">
        <v>179</v>
      </c>
      <c r="D811" s="11" t="s">
        <v>180</v>
      </c>
      <c r="E811" s="9" t="str">
        <f>+HYPERLINK("http://trademark.i-assist.jp/data/china/image_1908th/79798020.pdf", "79798020")</f>
        <v>79798020</v>
      </c>
      <c r="F811" s="11" t="s">
        <v>2435</v>
      </c>
      <c r="G811" s="11" t="s">
        <v>2436</v>
      </c>
      <c r="H811" s="11" t="s">
        <v>2437</v>
      </c>
      <c r="I811" s="11" t="s">
        <v>143</v>
      </c>
    </row>
    <row r="812" spans="1:9" x14ac:dyDescent="0.15">
      <c r="A812" s="10">
        <v>811</v>
      </c>
      <c r="B812" s="11" t="s">
        <v>9</v>
      </c>
      <c r="C812" s="11" t="s">
        <v>179</v>
      </c>
      <c r="D812" s="11" t="s">
        <v>180</v>
      </c>
      <c r="E812" s="9" t="str">
        <f>+HYPERLINK("http://trademark.i-assist.jp/data/china/image_1908th/79798122.pdf", "79798122")</f>
        <v>79798122</v>
      </c>
      <c r="F812" s="11" t="s">
        <v>2438</v>
      </c>
      <c r="G812" s="11" t="s">
        <v>2439</v>
      </c>
      <c r="H812" s="11" t="s">
        <v>2440</v>
      </c>
      <c r="I812" s="11" t="s">
        <v>143</v>
      </c>
    </row>
    <row r="813" spans="1:9" x14ac:dyDescent="0.15">
      <c r="A813" s="10">
        <v>812</v>
      </c>
      <c r="B813" s="11" t="s">
        <v>9</v>
      </c>
      <c r="C813" s="11" t="s">
        <v>179</v>
      </c>
      <c r="D813" s="11" t="s">
        <v>180</v>
      </c>
      <c r="E813" s="9" t="str">
        <f>+HYPERLINK("http://trademark.i-assist.jp/data/china/image_1908th/79798615.pdf", "79798615")</f>
        <v>79798615</v>
      </c>
      <c r="F813" s="11" t="s">
        <v>2441</v>
      </c>
      <c r="G813" s="11" t="s">
        <v>2441</v>
      </c>
      <c r="H813" s="11" t="s">
        <v>2442</v>
      </c>
      <c r="I813" s="11" t="s">
        <v>143</v>
      </c>
    </row>
    <row r="814" spans="1:9" x14ac:dyDescent="0.15">
      <c r="A814" s="10">
        <v>813</v>
      </c>
      <c r="B814" s="11" t="s">
        <v>9</v>
      </c>
      <c r="C814" s="11" t="s">
        <v>179</v>
      </c>
      <c r="D814" s="11" t="s">
        <v>180</v>
      </c>
      <c r="E814" s="9" t="str">
        <f>+HYPERLINK("http://trademark.i-assist.jp/data/china/image_1908th/79798910.pdf", "79798910")</f>
        <v>79798910</v>
      </c>
      <c r="F814" s="11" t="s">
        <v>2443</v>
      </c>
      <c r="G814" s="11" t="s">
        <v>2444</v>
      </c>
      <c r="H814" s="11" t="s">
        <v>2445</v>
      </c>
      <c r="I814" s="11" t="s">
        <v>143</v>
      </c>
    </row>
    <row r="815" spans="1:9" x14ac:dyDescent="0.15">
      <c r="A815" s="10">
        <v>814</v>
      </c>
      <c r="B815" s="11" t="s">
        <v>9</v>
      </c>
      <c r="C815" s="11" t="s">
        <v>179</v>
      </c>
      <c r="D815" s="11" t="s">
        <v>180</v>
      </c>
      <c r="E815" s="9" t="str">
        <f>+HYPERLINK("http://trademark.i-assist.jp/data/china/image_1908th/79799087.pdf", "79799087")</f>
        <v>79799087</v>
      </c>
      <c r="F815" s="11" t="s">
        <v>2446</v>
      </c>
      <c r="G815" s="11" t="s">
        <v>2447</v>
      </c>
      <c r="H815" s="11" t="s">
        <v>2448</v>
      </c>
      <c r="I815" s="11" t="s">
        <v>143</v>
      </c>
    </row>
    <row r="816" spans="1:9" x14ac:dyDescent="0.15">
      <c r="A816" s="10">
        <v>815</v>
      </c>
      <c r="B816" s="11" t="s">
        <v>9</v>
      </c>
      <c r="C816" s="11" t="s">
        <v>179</v>
      </c>
      <c r="D816" s="11" t="s">
        <v>180</v>
      </c>
      <c r="E816" s="9" t="str">
        <f>+HYPERLINK("http://trademark.i-assist.jp/data/china/image_1908th/79799369.pdf", "79799369")</f>
        <v>79799369</v>
      </c>
      <c r="F816" s="11" t="s">
        <v>2449</v>
      </c>
      <c r="G816" s="11" t="s">
        <v>2450</v>
      </c>
      <c r="H816" s="11" t="s">
        <v>2451</v>
      </c>
      <c r="I816" s="11" t="s">
        <v>143</v>
      </c>
    </row>
    <row r="817" spans="1:9" x14ac:dyDescent="0.15">
      <c r="A817" s="10">
        <v>816</v>
      </c>
      <c r="B817" s="11" t="s">
        <v>9</v>
      </c>
      <c r="C817" s="11" t="s">
        <v>179</v>
      </c>
      <c r="D817" s="11" t="s">
        <v>180</v>
      </c>
      <c r="E817" s="9" t="str">
        <f>+HYPERLINK("http://trademark.i-assist.jp/data/china/image_1908th/79799932.pdf", "79799932")</f>
        <v>79799932</v>
      </c>
      <c r="F817" s="11" t="s">
        <v>2452</v>
      </c>
      <c r="G817" s="11" t="s">
        <v>2453</v>
      </c>
      <c r="H817" s="11" t="s">
        <v>2454</v>
      </c>
      <c r="I817" s="11" t="s">
        <v>143</v>
      </c>
    </row>
    <row r="818" spans="1:9" x14ac:dyDescent="0.15">
      <c r="A818" s="10">
        <v>817</v>
      </c>
      <c r="B818" s="11" t="s">
        <v>9</v>
      </c>
      <c r="C818" s="11" t="s">
        <v>179</v>
      </c>
      <c r="D818" s="11" t="s">
        <v>180</v>
      </c>
      <c r="E818" s="9" t="str">
        <f>+HYPERLINK("http://trademark.i-assist.jp/data/china/image_1908th/79799969.pdf", "79799969")</f>
        <v>79799969</v>
      </c>
      <c r="F818" s="11" t="s">
        <v>2455</v>
      </c>
      <c r="G818" s="11" t="s">
        <v>2341</v>
      </c>
      <c r="H818" s="11" t="s">
        <v>2456</v>
      </c>
      <c r="I818" s="11" t="s">
        <v>143</v>
      </c>
    </row>
    <row r="819" spans="1:9" x14ac:dyDescent="0.15">
      <c r="A819" s="10">
        <v>818</v>
      </c>
      <c r="B819" s="11" t="s">
        <v>9</v>
      </c>
      <c r="C819" s="11" t="s">
        <v>179</v>
      </c>
      <c r="D819" s="11" t="s">
        <v>180</v>
      </c>
      <c r="E819" s="9" t="str">
        <f>+HYPERLINK("http://trademark.i-assist.jp/data/china/image_1908th/79799977.pdf", "79799977")</f>
        <v>79799977</v>
      </c>
      <c r="F819" s="11" t="s">
        <v>2457</v>
      </c>
      <c r="G819" s="11" t="s">
        <v>2458</v>
      </c>
      <c r="H819" s="11" t="s">
        <v>2459</v>
      </c>
      <c r="I819" s="11" t="s">
        <v>143</v>
      </c>
    </row>
    <row r="820" spans="1:9" x14ac:dyDescent="0.15">
      <c r="A820" s="10">
        <v>819</v>
      </c>
      <c r="B820" s="11" t="s">
        <v>9</v>
      </c>
      <c r="C820" s="11" t="s">
        <v>179</v>
      </c>
      <c r="D820" s="11" t="s">
        <v>180</v>
      </c>
      <c r="E820" s="9" t="str">
        <f>+HYPERLINK("http://trademark.i-assist.jp/data/china/image_1908th/79800695.pdf", "79800695")</f>
        <v>79800695</v>
      </c>
      <c r="F820" s="11" t="s">
        <v>2460</v>
      </c>
      <c r="G820" s="11" t="s">
        <v>2461</v>
      </c>
      <c r="H820" s="11" t="s">
        <v>2462</v>
      </c>
      <c r="I820" s="11" t="s">
        <v>143</v>
      </c>
    </row>
    <row r="821" spans="1:9" x14ac:dyDescent="0.15">
      <c r="A821" s="10">
        <v>820</v>
      </c>
      <c r="B821" s="11" t="s">
        <v>9</v>
      </c>
      <c r="C821" s="11" t="s">
        <v>179</v>
      </c>
      <c r="D821" s="11" t="s">
        <v>180</v>
      </c>
      <c r="E821" s="9" t="str">
        <f>+HYPERLINK("http://trademark.i-assist.jp/data/china/image_1908th/79800971.pdf", "79800971")</f>
        <v>79800971</v>
      </c>
      <c r="F821" s="11" t="s">
        <v>2463</v>
      </c>
      <c r="G821" s="11" t="s">
        <v>2464</v>
      </c>
      <c r="H821" s="11" t="s">
        <v>2465</v>
      </c>
      <c r="I821" s="11" t="s">
        <v>143</v>
      </c>
    </row>
    <row r="822" spans="1:9" x14ac:dyDescent="0.15">
      <c r="A822" s="10">
        <v>821</v>
      </c>
      <c r="B822" s="11" t="s">
        <v>9</v>
      </c>
      <c r="C822" s="11" t="s">
        <v>179</v>
      </c>
      <c r="D822" s="11" t="s">
        <v>180</v>
      </c>
      <c r="E822" s="9" t="str">
        <f>+HYPERLINK("http://trademark.i-assist.jp/data/china/image_1908th/79801300.pdf", "79801300")</f>
        <v>79801300</v>
      </c>
      <c r="F822" s="11" t="s">
        <v>2466</v>
      </c>
      <c r="G822" s="11" t="s">
        <v>2467</v>
      </c>
      <c r="H822" s="11" t="s">
        <v>2468</v>
      </c>
      <c r="I822" s="11" t="s">
        <v>143</v>
      </c>
    </row>
    <row r="823" spans="1:9" x14ac:dyDescent="0.15">
      <c r="A823" s="10">
        <v>822</v>
      </c>
      <c r="B823" s="11" t="s">
        <v>9</v>
      </c>
      <c r="C823" s="11" t="s">
        <v>179</v>
      </c>
      <c r="D823" s="11" t="s">
        <v>180</v>
      </c>
      <c r="E823" s="9" t="str">
        <f>+HYPERLINK("http://trademark.i-assist.jp/data/china/image_1908th/79801898.pdf", "79801898")</f>
        <v>79801898</v>
      </c>
      <c r="F823" s="11" t="s">
        <v>2469</v>
      </c>
      <c r="G823" s="11" t="s">
        <v>2470</v>
      </c>
      <c r="H823" s="11" t="s">
        <v>2471</v>
      </c>
      <c r="I823" s="11" t="s">
        <v>143</v>
      </c>
    </row>
    <row r="824" spans="1:9" x14ac:dyDescent="0.15">
      <c r="A824" s="10">
        <v>823</v>
      </c>
      <c r="B824" s="11" t="s">
        <v>9</v>
      </c>
      <c r="C824" s="11" t="s">
        <v>179</v>
      </c>
      <c r="D824" s="11" t="s">
        <v>180</v>
      </c>
      <c r="E824" s="9" t="str">
        <f>+HYPERLINK("http://trademark.i-assist.jp/data/china/image_1908th/79801963.pdf", "79801963")</f>
        <v>79801963</v>
      </c>
      <c r="F824" s="11" t="s">
        <v>2472</v>
      </c>
      <c r="G824" s="11" t="s">
        <v>2473</v>
      </c>
      <c r="H824" s="11" t="s">
        <v>2474</v>
      </c>
      <c r="I824" s="11" t="s">
        <v>143</v>
      </c>
    </row>
    <row r="825" spans="1:9" x14ac:dyDescent="0.15">
      <c r="A825" s="10">
        <v>824</v>
      </c>
      <c r="B825" s="11" t="s">
        <v>9</v>
      </c>
      <c r="C825" s="11" t="s">
        <v>179</v>
      </c>
      <c r="D825" s="11" t="s">
        <v>180</v>
      </c>
      <c r="E825" s="9" t="str">
        <f>+HYPERLINK("http://trademark.i-assist.jp/data/china/image_1908th/79802331.pdf", "79802331")</f>
        <v>79802331</v>
      </c>
      <c r="F825" s="11" t="s">
        <v>2475</v>
      </c>
      <c r="G825" s="11" t="s">
        <v>2419</v>
      </c>
      <c r="H825" s="11" t="s">
        <v>2476</v>
      </c>
      <c r="I825" s="11" t="s">
        <v>143</v>
      </c>
    </row>
    <row r="826" spans="1:9" x14ac:dyDescent="0.15">
      <c r="A826" s="10">
        <v>825</v>
      </c>
      <c r="B826" s="11" t="s">
        <v>9</v>
      </c>
      <c r="C826" s="11" t="s">
        <v>179</v>
      </c>
      <c r="D826" s="11" t="s">
        <v>180</v>
      </c>
      <c r="E826" s="9" t="str">
        <f>+HYPERLINK("http://trademark.i-assist.jp/data/china/image_1908th/79802333.pdf", "79802333")</f>
        <v>79802333</v>
      </c>
      <c r="F826" s="11" t="s">
        <v>2477</v>
      </c>
      <c r="G826" s="11" t="s">
        <v>2478</v>
      </c>
      <c r="H826" s="11" t="s">
        <v>2479</v>
      </c>
      <c r="I826" s="11" t="s">
        <v>143</v>
      </c>
    </row>
    <row r="827" spans="1:9" x14ac:dyDescent="0.15">
      <c r="A827" s="10">
        <v>826</v>
      </c>
      <c r="B827" s="11" t="s">
        <v>9</v>
      </c>
      <c r="C827" s="11" t="s">
        <v>179</v>
      </c>
      <c r="D827" s="11" t="s">
        <v>180</v>
      </c>
      <c r="E827" s="9" t="str">
        <f>+HYPERLINK("http://trademark.i-assist.jp/data/china/image_1908th/79802441.pdf", "79802441")</f>
        <v>79802441</v>
      </c>
      <c r="F827" s="11" t="s">
        <v>2480</v>
      </c>
      <c r="G827" s="11" t="s">
        <v>2481</v>
      </c>
      <c r="H827" s="11" t="s">
        <v>2482</v>
      </c>
      <c r="I827" s="11" t="s">
        <v>143</v>
      </c>
    </row>
    <row r="828" spans="1:9" x14ac:dyDescent="0.15">
      <c r="A828" s="10">
        <v>827</v>
      </c>
      <c r="B828" s="11" t="s">
        <v>9</v>
      </c>
      <c r="C828" s="11" t="s">
        <v>179</v>
      </c>
      <c r="D828" s="11" t="s">
        <v>180</v>
      </c>
      <c r="E828" s="9" t="str">
        <f>+HYPERLINK("http://trademark.i-assist.jp/data/china/image_1908th/79802534.pdf", "79802534")</f>
        <v>79802534</v>
      </c>
      <c r="F828" s="11" t="s">
        <v>2483</v>
      </c>
      <c r="G828" s="11" t="s">
        <v>2484</v>
      </c>
      <c r="H828" s="11" t="s">
        <v>2485</v>
      </c>
      <c r="I828" s="11" t="s">
        <v>143</v>
      </c>
    </row>
    <row r="829" spans="1:9" x14ac:dyDescent="0.15">
      <c r="A829" s="10">
        <v>828</v>
      </c>
      <c r="B829" s="11" t="s">
        <v>9</v>
      </c>
      <c r="C829" s="11" t="s">
        <v>179</v>
      </c>
      <c r="D829" s="11" t="s">
        <v>180</v>
      </c>
      <c r="E829" s="9" t="str">
        <f>+HYPERLINK("http://trademark.i-assist.jp/data/china/image_1908th/79802551.pdf", "79802551")</f>
        <v>79802551</v>
      </c>
      <c r="F829" s="11" t="s">
        <v>2486</v>
      </c>
      <c r="G829" s="11" t="s">
        <v>2487</v>
      </c>
      <c r="H829" s="11" t="s">
        <v>2488</v>
      </c>
      <c r="I829" s="11" t="s">
        <v>143</v>
      </c>
    </row>
    <row r="830" spans="1:9" x14ac:dyDescent="0.15">
      <c r="A830" s="10">
        <v>829</v>
      </c>
      <c r="B830" s="11" t="s">
        <v>9</v>
      </c>
      <c r="C830" s="11" t="s">
        <v>179</v>
      </c>
      <c r="D830" s="11" t="s">
        <v>180</v>
      </c>
      <c r="E830" s="9" t="str">
        <f>+HYPERLINK("http://trademark.i-assist.jp/data/china/image_1908th/79803540.pdf", "79803540")</f>
        <v>79803540</v>
      </c>
      <c r="F830" s="11" t="s">
        <v>2489</v>
      </c>
      <c r="G830" s="11" t="s">
        <v>2490</v>
      </c>
      <c r="H830" s="11" t="s">
        <v>2491</v>
      </c>
      <c r="I830" s="11" t="s">
        <v>143</v>
      </c>
    </row>
    <row r="831" spans="1:9" x14ac:dyDescent="0.15">
      <c r="A831" s="10">
        <v>830</v>
      </c>
      <c r="B831" s="11" t="s">
        <v>9</v>
      </c>
      <c r="C831" s="11" t="s">
        <v>179</v>
      </c>
      <c r="D831" s="11" t="s">
        <v>180</v>
      </c>
      <c r="E831" s="9" t="str">
        <f>+HYPERLINK("http://trademark.i-assist.jp/data/china/image_1908th/79803643.pdf", "79803643")</f>
        <v>79803643</v>
      </c>
      <c r="F831" s="11" t="s">
        <v>2492</v>
      </c>
      <c r="G831" s="11" t="s">
        <v>2493</v>
      </c>
      <c r="H831" s="11" t="s">
        <v>2494</v>
      </c>
      <c r="I831" s="11" t="s">
        <v>143</v>
      </c>
    </row>
    <row r="832" spans="1:9" x14ac:dyDescent="0.15">
      <c r="A832" s="10">
        <v>831</v>
      </c>
      <c r="B832" s="11" t="s">
        <v>9</v>
      </c>
      <c r="C832" s="11" t="s">
        <v>179</v>
      </c>
      <c r="D832" s="11" t="s">
        <v>180</v>
      </c>
      <c r="E832" s="9" t="str">
        <f>+HYPERLINK("http://trademark.i-assist.jp/data/china/image_1908th/79803746.pdf", "79803746")</f>
        <v>79803746</v>
      </c>
      <c r="F832" s="11" t="s">
        <v>2495</v>
      </c>
      <c r="G832" s="11" t="s">
        <v>2496</v>
      </c>
      <c r="H832" s="11" t="s">
        <v>2497</v>
      </c>
      <c r="I832" s="11" t="s">
        <v>143</v>
      </c>
    </row>
    <row r="833" spans="1:9" x14ac:dyDescent="0.15">
      <c r="A833" s="10">
        <v>832</v>
      </c>
      <c r="B833" s="11" t="s">
        <v>9</v>
      </c>
      <c r="C833" s="11" t="s">
        <v>179</v>
      </c>
      <c r="D833" s="11" t="s">
        <v>180</v>
      </c>
      <c r="E833" s="9" t="str">
        <f>+HYPERLINK("http://trademark.i-assist.jp/data/china/image_1908th/79804325.pdf", "79804325")</f>
        <v>79804325</v>
      </c>
      <c r="F833" s="11" t="s">
        <v>2498</v>
      </c>
      <c r="G833" s="11" t="s">
        <v>2499</v>
      </c>
      <c r="H833" s="11" t="s">
        <v>2500</v>
      </c>
      <c r="I833" s="11" t="s">
        <v>143</v>
      </c>
    </row>
    <row r="834" spans="1:9" x14ac:dyDescent="0.15">
      <c r="A834" s="10">
        <v>833</v>
      </c>
      <c r="B834" s="11" t="s">
        <v>9</v>
      </c>
      <c r="C834" s="11" t="s">
        <v>179</v>
      </c>
      <c r="D834" s="11" t="s">
        <v>180</v>
      </c>
      <c r="E834" s="9" t="str">
        <f>+HYPERLINK("http://trademark.i-assist.jp/data/china/image_1908th/79804336.pdf", "79804336")</f>
        <v>79804336</v>
      </c>
      <c r="F834" s="11" t="s">
        <v>2501</v>
      </c>
      <c r="G834" s="11" t="s">
        <v>2502</v>
      </c>
      <c r="H834" s="11" t="s">
        <v>2503</v>
      </c>
      <c r="I834" s="11" t="s">
        <v>143</v>
      </c>
    </row>
    <row r="835" spans="1:9" x14ac:dyDescent="0.15">
      <c r="A835" s="10">
        <v>834</v>
      </c>
      <c r="B835" s="11" t="s">
        <v>9</v>
      </c>
      <c r="C835" s="11" t="s">
        <v>179</v>
      </c>
      <c r="D835" s="11" t="s">
        <v>180</v>
      </c>
      <c r="E835" s="9" t="str">
        <f>+HYPERLINK("http://trademark.i-assist.jp/data/china/image_1908th/79804527.pdf", "79804527")</f>
        <v>79804527</v>
      </c>
      <c r="F835" s="11" t="s">
        <v>2504</v>
      </c>
      <c r="G835" s="11" t="s">
        <v>2505</v>
      </c>
      <c r="H835" s="11" t="s">
        <v>2506</v>
      </c>
      <c r="I835" s="11" t="s">
        <v>143</v>
      </c>
    </row>
    <row r="836" spans="1:9" x14ac:dyDescent="0.15">
      <c r="A836" s="10">
        <v>835</v>
      </c>
      <c r="B836" s="11" t="s">
        <v>9</v>
      </c>
      <c r="C836" s="11" t="s">
        <v>179</v>
      </c>
      <c r="D836" s="11" t="s">
        <v>180</v>
      </c>
      <c r="E836" s="9" t="str">
        <f>+HYPERLINK("http://trademark.i-assist.jp/data/china/image_1908th/79804994.pdf", "79804994")</f>
        <v>79804994</v>
      </c>
      <c r="F836" s="11" t="s">
        <v>2507</v>
      </c>
      <c r="G836" s="11" t="s">
        <v>2508</v>
      </c>
      <c r="H836" s="11" t="s">
        <v>2509</v>
      </c>
      <c r="I836" s="11" t="s">
        <v>143</v>
      </c>
    </row>
    <row r="837" spans="1:9" x14ac:dyDescent="0.15">
      <c r="A837" s="10">
        <v>836</v>
      </c>
      <c r="B837" s="11" t="s">
        <v>9</v>
      </c>
      <c r="C837" s="11" t="s">
        <v>179</v>
      </c>
      <c r="D837" s="11" t="s">
        <v>180</v>
      </c>
      <c r="E837" s="9" t="str">
        <f>+HYPERLINK("http://trademark.i-assist.jp/data/china/image_1908th/79805355.pdf", "79805355")</f>
        <v>79805355</v>
      </c>
      <c r="F837" s="11" t="s">
        <v>2510</v>
      </c>
      <c r="G837" s="11" t="s">
        <v>2511</v>
      </c>
      <c r="H837" s="11" t="s">
        <v>2512</v>
      </c>
      <c r="I837" s="11" t="s">
        <v>143</v>
      </c>
    </row>
    <row r="838" spans="1:9" x14ac:dyDescent="0.15">
      <c r="A838" s="10">
        <v>837</v>
      </c>
      <c r="B838" s="11" t="s">
        <v>9</v>
      </c>
      <c r="C838" s="11" t="s">
        <v>179</v>
      </c>
      <c r="D838" s="11" t="s">
        <v>180</v>
      </c>
      <c r="E838" s="9" t="str">
        <f>+HYPERLINK("http://trademark.i-assist.jp/data/china/image_1908th/79805467.pdf", "79805467")</f>
        <v>79805467</v>
      </c>
      <c r="F838" s="11" t="s">
        <v>2513</v>
      </c>
      <c r="G838" s="11" t="s">
        <v>2514</v>
      </c>
      <c r="H838" s="11" t="s">
        <v>2515</v>
      </c>
      <c r="I838" s="11" t="s">
        <v>143</v>
      </c>
    </row>
    <row r="839" spans="1:9" x14ac:dyDescent="0.15">
      <c r="A839" s="10">
        <v>838</v>
      </c>
      <c r="B839" s="11" t="s">
        <v>9</v>
      </c>
      <c r="C839" s="11" t="s">
        <v>179</v>
      </c>
      <c r="D839" s="11" t="s">
        <v>180</v>
      </c>
      <c r="E839" s="9" t="str">
        <f>+HYPERLINK("http://trademark.i-assist.jp/data/china/image_1908th/79806077.pdf", "79806077")</f>
        <v>79806077</v>
      </c>
      <c r="F839" s="11" t="s">
        <v>2516</v>
      </c>
      <c r="G839" s="11" t="s">
        <v>2517</v>
      </c>
      <c r="H839" s="11" t="s">
        <v>2518</v>
      </c>
      <c r="I839" s="11" t="s">
        <v>143</v>
      </c>
    </row>
    <row r="840" spans="1:9" x14ac:dyDescent="0.15">
      <c r="A840" s="10">
        <v>839</v>
      </c>
      <c r="B840" s="11" t="s">
        <v>9</v>
      </c>
      <c r="C840" s="11" t="s">
        <v>179</v>
      </c>
      <c r="D840" s="11" t="s">
        <v>180</v>
      </c>
      <c r="E840" s="9" t="str">
        <f>+HYPERLINK("http://trademark.i-assist.jp/data/china/image_1908th/79806110.pdf", "79806110")</f>
        <v>79806110</v>
      </c>
      <c r="F840" s="11" t="s">
        <v>2519</v>
      </c>
      <c r="G840" s="11" t="s">
        <v>2520</v>
      </c>
      <c r="H840" s="11" t="s">
        <v>2521</v>
      </c>
      <c r="I840" s="11" t="s">
        <v>143</v>
      </c>
    </row>
    <row r="841" spans="1:9" x14ac:dyDescent="0.15">
      <c r="A841" s="10">
        <v>840</v>
      </c>
      <c r="B841" s="11" t="s">
        <v>9</v>
      </c>
      <c r="C841" s="11" t="s">
        <v>179</v>
      </c>
      <c r="D841" s="11" t="s">
        <v>180</v>
      </c>
      <c r="E841" s="9" t="str">
        <f>+HYPERLINK("http://trademark.i-assist.jp/data/china/image_1908th/79806152.pdf", "79806152")</f>
        <v>79806152</v>
      </c>
      <c r="F841" s="11" t="s">
        <v>2522</v>
      </c>
      <c r="G841" s="11" t="s">
        <v>2353</v>
      </c>
      <c r="H841" s="11" t="s">
        <v>2523</v>
      </c>
      <c r="I841" s="11" t="s">
        <v>143</v>
      </c>
    </row>
    <row r="842" spans="1:9" x14ac:dyDescent="0.15">
      <c r="A842" s="10">
        <v>841</v>
      </c>
      <c r="B842" s="11" t="s">
        <v>9</v>
      </c>
      <c r="C842" s="11" t="s">
        <v>179</v>
      </c>
      <c r="D842" s="11" t="s">
        <v>180</v>
      </c>
      <c r="E842" s="9" t="str">
        <f>+HYPERLINK("http://trademark.i-assist.jp/data/china/image_1908th/79806282.pdf", "79806282")</f>
        <v>79806282</v>
      </c>
      <c r="F842" s="11" t="s">
        <v>10</v>
      </c>
      <c r="G842" s="11" t="s">
        <v>2524</v>
      </c>
      <c r="H842" s="11" t="s">
        <v>2525</v>
      </c>
      <c r="I842" s="11" t="s">
        <v>143</v>
      </c>
    </row>
    <row r="843" spans="1:9" x14ac:dyDescent="0.15">
      <c r="A843" s="10">
        <v>842</v>
      </c>
      <c r="B843" s="11" t="s">
        <v>9</v>
      </c>
      <c r="C843" s="11" t="s">
        <v>179</v>
      </c>
      <c r="D843" s="11" t="s">
        <v>180</v>
      </c>
      <c r="E843" s="9" t="str">
        <f>+HYPERLINK("http://trademark.i-assist.jp/data/china/image_1908th/79806751.pdf", "79806751")</f>
        <v>79806751</v>
      </c>
      <c r="F843" s="11" t="s">
        <v>2526</v>
      </c>
      <c r="G843" s="11" t="s">
        <v>2527</v>
      </c>
      <c r="H843" s="11" t="s">
        <v>2528</v>
      </c>
      <c r="I843" s="11" t="s">
        <v>143</v>
      </c>
    </row>
    <row r="844" spans="1:9" x14ac:dyDescent="0.15">
      <c r="A844" s="10">
        <v>843</v>
      </c>
      <c r="B844" s="11" t="s">
        <v>9</v>
      </c>
      <c r="C844" s="11" t="s">
        <v>179</v>
      </c>
      <c r="D844" s="11" t="s">
        <v>180</v>
      </c>
      <c r="E844" s="9" t="str">
        <f>+HYPERLINK("http://trademark.i-assist.jp/data/china/image_1908th/79806862.pdf", "79806862")</f>
        <v>79806862</v>
      </c>
      <c r="F844" s="11" t="s">
        <v>2529</v>
      </c>
      <c r="G844" s="11" t="s">
        <v>2530</v>
      </c>
      <c r="H844" s="11" t="s">
        <v>2531</v>
      </c>
      <c r="I844" s="11" t="s">
        <v>143</v>
      </c>
    </row>
    <row r="845" spans="1:9" x14ac:dyDescent="0.15">
      <c r="A845" s="10">
        <v>844</v>
      </c>
      <c r="B845" s="11" t="s">
        <v>9</v>
      </c>
      <c r="C845" s="11" t="s">
        <v>179</v>
      </c>
      <c r="D845" s="11" t="s">
        <v>180</v>
      </c>
      <c r="E845" s="9" t="str">
        <f>+HYPERLINK("http://trademark.i-assist.jp/data/china/image_1908th/79807695.pdf", "79807695")</f>
        <v>79807695</v>
      </c>
      <c r="F845" s="11" t="s">
        <v>2532</v>
      </c>
      <c r="G845" s="11" t="s">
        <v>2533</v>
      </c>
      <c r="H845" s="11" t="s">
        <v>2534</v>
      </c>
      <c r="I845" s="11" t="s">
        <v>143</v>
      </c>
    </row>
    <row r="846" spans="1:9" x14ac:dyDescent="0.15">
      <c r="A846" s="10">
        <v>845</v>
      </c>
      <c r="B846" s="11" t="s">
        <v>9</v>
      </c>
      <c r="C846" s="11" t="s">
        <v>179</v>
      </c>
      <c r="D846" s="11" t="s">
        <v>180</v>
      </c>
      <c r="E846" s="9" t="str">
        <f>+HYPERLINK("http://trademark.i-assist.jp/data/china/image_1908th/79809219.pdf", "79809219")</f>
        <v>79809219</v>
      </c>
      <c r="F846" s="11" t="s">
        <v>2535</v>
      </c>
      <c r="G846" s="11" t="s">
        <v>2536</v>
      </c>
      <c r="H846" s="11" t="s">
        <v>2537</v>
      </c>
      <c r="I846" s="11" t="s">
        <v>151</v>
      </c>
    </row>
    <row r="847" spans="1:9" x14ac:dyDescent="0.15">
      <c r="A847" s="10">
        <v>846</v>
      </c>
      <c r="B847" s="11" t="s">
        <v>9</v>
      </c>
      <c r="C847" s="11" t="s">
        <v>179</v>
      </c>
      <c r="D847" s="11" t="s">
        <v>180</v>
      </c>
      <c r="E847" s="9" t="str">
        <f>+HYPERLINK("http://trademark.i-assist.jp/data/china/image_1908th/79809284.pdf", "79809284")</f>
        <v>79809284</v>
      </c>
      <c r="F847" s="11" t="s">
        <v>2538</v>
      </c>
      <c r="G847" s="11" t="s">
        <v>2539</v>
      </c>
      <c r="H847" s="11" t="s">
        <v>2540</v>
      </c>
      <c r="I847" s="11" t="s">
        <v>151</v>
      </c>
    </row>
    <row r="848" spans="1:9" x14ac:dyDescent="0.15">
      <c r="A848" s="10">
        <v>847</v>
      </c>
      <c r="B848" s="11" t="s">
        <v>9</v>
      </c>
      <c r="C848" s="11" t="s">
        <v>179</v>
      </c>
      <c r="D848" s="11" t="s">
        <v>180</v>
      </c>
      <c r="E848" s="9" t="str">
        <f>+HYPERLINK("http://trademark.i-assist.jp/data/china/image_1908th/79809358.pdf", "79809358")</f>
        <v>79809358</v>
      </c>
      <c r="F848" s="11" t="s">
        <v>2541</v>
      </c>
      <c r="G848" s="11" t="s">
        <v>2542</v>
      </c>
      <c r="H848" s="11" t="s">
        <v>2543</v>
      </c>
      <c r="I848" s="11" t="s">
        <v>151</v>
      </c>
    </row>
    <row r="849" spans="1:9" x14ac:dyDescent="0.15">
      <c r="A849" s="10">
        <v>848</v>
      </c>
      <c r="B849" s="11" t="s">
        <v>9</v>
      </c>
      <c r="C849" s="11" t="s">
        <v>179</v>
      </c>
      <c r="D849" s="11" t="s">
        <v>180</v>
      </c>
      <c r="E849" s="9" t="str">
        <f>+HYPERLINK("http://trademark.i-assist.jp/data/china/image_1908th/79809393.pdf", "79809393")</f>
        <v>79809393</v>
      </c>
      <c r="F849" s="11" t="s">
        <v>2544</v>
      </c>
      <c r="G849" s="11" t="s">
        <v>2545</v>
      </c>
      <c r="H849" s="11" t="s">
        <v>2546</v>
      </c>
      <c r="I849" s="11" t="s">
        <v>151</v>
      </c>
    </row>
    <row r="850" spans="1:9" x14ac:dyDescent="0.15">
      <c r="A850" s="10">
        <v>849</v>
      </c>
      <c r="B850" s="11" t="s">
        <v>9</v>
      </c>
      <c r="C850" s="11" t="s">
        <v>179</v>
      </c>
      <c r="D850" s="11" t="s">
        <v>180</v>
      </c>
      <c r="E850" s="9" t="str">
        <f>+HYPERLINK("http://trademark.i-assist.jp/data/china/image_1908th/79809442.pdf", "79809442")</f>
        <v>79809442</v>
      </c>
      <c r="F850" s="11" t="s">
        <v>2547</v>
      </c>
      <c r="G850" s="11" t="s">
        <v>2548</v>
      </c>
      <c r="H850" s="11" t="s">
        <v>2549</v>
      </c>
      <c r="I850" s="11" t="s">
        <v>151</v>
      </c>
    </row>
    <row r="851" spans="1:9" x14ac:dyDescent="0.15">
      <c r="A851" s="10">
        <v>850</v>
      </c>
      <c r="B851" s="11" t="s">
        <v>9</v>
      </c>
      <c r="C851" s="11" t="s">
        <v>179</v>
      </c>
      <c r="D851" s="11" t="s">
        <v>180</v>
      </c>
      <c r="E851" s="9" t="str">
        <f>+HYPERLINK("http://trademark.i-assist.jp/data/china/image_1908th/79809971.pdf", "79809971")</f>
        <v>79809971</v>
      </c>
      <c r="F851" s="11" t="s">
        <v>2550</v>
      </c>
      <c r="G851" s="11" t="s">
        <v>2551</v>
      </c>
      <c r="H851" s="11" t="s">
        <v>2552</v>
      </c>
      <c r="I851" s="11" t="s">
        <v>151</v>
      </c>
    </row>
    <row r="852" spans="1:9" x14ac:dyDescent="0.15">
      <c r="A852" s="10">
        <v>851</v>
      </c>
      <c r="B852" s="11" t="s">
        <v>9</v>
      </c>
      <c r="C852" s="11" t="s">
        <v>179</v>
      </c>
      <c r="D852" s="11" t="s">
        <v>180</v>
      </c>
      <c r="E852" s="9" t="str">
        <f>+HYPERLINK("http://trademark.i-assist.jp/data/china/image_1908th/79810398.pdf", "79810398")</f>
        <v>79810398</v>
      </c>
      <c r="F852" s="11" t="s">
        <v>2553</v>
      </c>
      <c r="G852" s="11" t="s">
        <v>2554</v>
      </c>
      <c r="H852" s="11" t="s">
        <v>2555</v>
      </c>
      <c r="I852" s="11" t="s">
        <v>151</v>
      </c>
    </row>
    <row r="853" spans="1:9" x14ac:dyDescent="0.15">
      <c r="A853" s="10">
        <v>852</v>
      </c>
      <c r="B853" s="11" t="s">
        <v>9</v>
      </c>
      <c r="C853" s="11" t="s">
        <v>179</v>
      </c>
      <c r="D853" s="11" t="s">
        <v>180</v>
      </c>
      <c r="E853" s="9" t="str">
        <f>+HYPERLINK("http://trademark.i-assist.jp/data/china/image_1908th/79810774.pdf", "79810774")</f>
        <v>79810774</v>
      </c>
      <c r="F853" s="11" t="s">
        <v>2556</v>
      </c>
      <c r="G853" s="11" t="s">
        <v>2557</v>
      </c>
      <c r="H853" s="11" t="s">
        <v>2558</v>
      </c>
      <c r="I853" s="11" t="s">
        <v>151</v>
      </c>
    </row>
    <row r="854" spans="1:9" x14ac:dyDescent="0.15">
      <c r="A854" s="10">
        <v>853</v>
      </c>
      <c r="B854" s="11" t="s">
        <v>9</v>
      </c>
      <c r="C854" s="11" t="s">
        <v>179</v>
      </c>
      <c r="D854" s="11" t="s">
        <v>180</v>
      </c>
      <c r="E854" s="9" t="str">
        <f>+HYPERLINK("http://trademark.i-assist.jp/data/china/image_1908th/79810860.pdf", "79810860")</f>
        <v>79810860</v>
      </c>
      <c r="F854" s="11" t="s">
        <v>2559</v>
      </c>
      <c r="G854" s="11" t="s">
        <v>2560</v>
      </c>
      <c r="H854" s="11" t="s">
        <v>2561</v>
      </c>
      <c r="I854" s="11" t="s">
        <v>151</v>
      </c>
    </row>
    <row r="855" spans="1:9" x14ac:dyDescent="0.15">
      <c r="A855" s="10">
        <v>854</v>
      </c>
      <c r="B855" s="11" t="s">
        <v>9</v>
      </c>
      <c r="C855" s="11" t="s">
        <v>179</v>
      </c>
      <c r="D855" s="11" t="s">
        <v>180</v>
      </c>
      <c r="E855" s="9" t="str">
        <f>+HYPERLINK("http://trademark.i-assist.jp/data/china/image_1908th/79810956.pdf", "79810956")</f>
        <v>79810956</v>
      </c>
      <c r="F855" s="11" t="s">
        <v>2562</v>
      </c>
      <c r="G855" s="11" t="s">
        <v>2563</v>
      </c>
      <c r="H855" s="11" t="s">
        <v>2564</v>
      </c>
      <c r="I855" s="11" t="s">
        <v>151</v>
      </c>
    </row>
    <row r="856" spans="1:9" x14ac:dyDescent="0.15">
      <c r="A856" s="10">
        <v>855</v>
      </c>
      <c r="B856" s="11" t="s">
        <v>9</v>
      </c>
      <c r="C856" s="11" t="s">
        <v>179</v>
      </c>
      <c r="D856" s="11" t="s">
        <v>180</v>
      </c>
      <c r="E856" s="9" t="str">
        <f>+HYPERLINK("http://trademark.i-assist.jp/data/china/image_1908th/79811052.pdf", "79811052")</f>
        <v>79811052</v>
      </c>
      <c r="F856" s="11" t="s">
        <v>2565</v>
      </c>
      <c r="G856" s="11" t="s">
        <v>2566</v>
      </c>
      <c r="H856" s="11" t="s">
        <v>2567</v>
      </c>
      <c r="I856" s="11" t="s">
        <v>151</v>
      </c>
    </row>
    <row r="857" spans="1:9" x14ac:dyDescent="0.15">
      <c r="A857" s="10">
        <v>856</v>
      </c>
      <c r="B857" s="11" t="s">
        <v>9</v>
      </c>
      <c r="C857" s="11" t="s">
        <v>179</v>
      </c>
      <c r="D857" s="11" t="s">
        <v>180</v>
      </c>
      <c r="E857" s="9" t="str">
        <f>+HYPERLINK("http://trademark.i-assist.jp/data/china/image_1908th/79811132.pdf", "79811132")</f>
        <v>79811132</v>
      </c>
      <c r="F857" s="11" t="s">
        <v>2568</v>
      </c>
      <c r="G857" s="11" t="s">
        <v>2569</v>
      </c>
      <c r="H857" s="11" t="s">
        <v>2570</v>
      </c>
      <c r="I857" s="11" t="s">
        <v>151</v>
      </c>
    </row>
    <row r="858" spans="1:9" x14ac:dyDescent="0.15">
      <c r="A858" s="10">
        <v>857</v>
      </c>
      <c r="B858" s="11" t="s">
        <v>9</v>
      </c>
      <c r="C858" s="11" t="s">
        <v>179</v>
      </c>
      <c r="D858" s="11" t="s">
        <v>180</v>
      </c>
      <c r="E858" s="9" t="str">
        <f>+HYPERLINK("http://trademark.i-assist.jp/data/china/image_1908th/79811753.pdf", "79811753")</f>
        <v>79811753</v>
      </c>
      <c r="F858" s="11" t="s">
        <v>2571</v>
      </c>
      <c r="G858" s="11" t="s">
        <v>2572</v>
      </c>
      <c r="H858" s="11" t="s">
        <v>2573</v>
      </c>
      <c r="I858" s="11" t="s">
        <v>151</v>
      </c>
    </row>
    <row r="859" spans="1:9" x14ac:dyDescent="0.15">
      <c r="A859" s="10">
        <v>858</v>
      </c>
      <c r="B859" s="11" t="s">
        <v>9</v>
      </c>
      <c r="C859" s="11" t="s">
        <v>179</v>
      </c>
      <c r="D859" s="11" t="s">
        <v>180</v>
      </c>
      <c r="E859" s="9" t="str">
        <f>+HYPERLINK("http://trademark.i-assist.jp/data/china/image_1908th/79812733.pdf", "79812733")</f>
        <v>79812733</v>
      </c>
      <c r="F859" s="11" t="s">
        <v>2574</v>
      </c>
      <c r="G859" s="11" t="s">
        <v>2575</v>
      </c>
      <c r="H859" s="11" t="s">
        <v>2576</v>
      </c>
      <c r="I859" s="11" t="s">
        <v>151</v>
      </c>
    </row>
    <row r="860" spans="1:9" x14ac:dyDescent="0.15">
      <c r="A860" s="10">
        <v>859</v>
      </c>
      <c r="B860" s="11" t="s">
        <v>9</v>
      </c>
      <c r="C860" s="11" t="s">
        <v>179</v>
      </c>
      <c r="D860" s="11" t="s">
        <v>180</v>
      </c>
      <c r="E860" s="9" t="str">
        <f>+HYPERLINK("http://trademark.i-assist.jp/data/china/image_1908th/79812863.pdf", "79812863")</f>
        <v>79812863</v>
      </c>
      <c r="F860" s="11" t="s">
        <v>2577</v>
      </c>
      <c r="G860" s="11" t="s">
        <v>2578</v>
      </c>
      <c r="H860" s="11" t="s">
        <v>2579</v>
      </c>
      <c r="I860" s="11" t="s">
        <v>151</v>
      </c>
    </row>
    <row r="861" spans="1:9" x14ac:dyDescent="0.15">
      <c r="A861" s="10">
        <v>860</v>
      </c>
      <c r="B861" s="11" t="s">
        <v>9</v>
      </c>
      <c r="C861" s="11" t="s">
        <v>179</v>
      </c>
      <c r="D861" s="11" t="s">
        <v>180</v>
      </c>
      <c r="E861" s="9" t="str">
        <f>+HYPERLINK("http://trademark.i-assist.jp/data/china/image_1908th/79813117.pdf", "79813117")</f>
        <v>79813117</v>
      </c>
      <c r="F861" s="11" t="s">
        <v>2580</v>
      </c>
      <c r="G861" s="11" t="s">
        <v>2581</v>
      </c>
      <c r="H861" s="11" t="s">
        <v>2582</v>
      </c>
      <c r="I861" s="11" t="s">
        <v>151</v>
      </c>
    </row>
    <row r="862" spans="1:9" x14ac:dyDescent="0.15">
      <c r="A862" s="10">
        <v>861</v>
      </c>
      <c r="B862" s="11" t="s">
        <v>9</v>
      </c>
      <c r="C862" s="11" t="s">
        <v>179</v>
      </c>
      <c r="D862" s="11" t="s">
        <v>180</v>
      </c>
      <c r="E862" s="9" t="str">
        <f>+HYPERLINK("http://trademark.i-assist.jp/data/china/image_1908th/79813296.pdf", "79813296")</f>
        <v>79813296</v>
      </c>
      <c r="F862" s="11" t="s">
        <v>2435</v>
      </c>
      <c r="G862" s="11" t="s">
        <v>2436</v>
      </c>
      <c r="H862" s="11" t="s">
        <v>2583</v>
      </c>
      <c r="I862" s="11" t="s">
        <v>151</v>
      </c>
    </row>
    <row r="863" spans="1:9" x14ac:dyDescent="0.15">
      <c r="A863" s="10">
        <v>862</v>
      </c>
      <c r="B863" s="11" t="s">
        <v>9</v>
      </c>
      <c r="C863" s="11" t="s">
        <v>179</v>
      </c>
      <c r="D863" s="11" t="s">
        <v>180</v>
      </c>
      <c r="E863" s="9" t="str">
        <f>+HYPERLINK("http://trademark.i-assist.jp/data/china/image_1908th/79813331.pdf", "79813331")</f>
        <v>79813331</v>
      </c>
      <c r="F863" s="11" t="s">
        <v>2584</v>
      </c>
      <c r="G863" s="11" t="s">
        <v>133</v>
      </c>
      <c r="H863" s="11" t="s">
        <v>2585</v>
      </c>
      <c r="I863" s="11" t="s">
        <v>151</v>
      </c>
    </row>
    <row r="864" spans="1:9" x14ac:dyDescent="0.15">
      <c r="A864" s="10">
        <v>863</v>
      </c>
      <c r="B864" s="11" t="s">
        <v>9</v>
      </c>
      <c r="C864" s="11" t="s">
        <v>179</v>
      </c>
      <c r="D864" s="11" t="s">
        <v>180</v>
      </c>
      <c r="E864" s="9" t="str">
        <f>+HYPERLINK("http://trademark.i-assist.jp/data/china/image_1908th/79813513.pdf", "79813513")</f>
        <v>79813513</v>
      </c>
      <c r="F864" s="11" t="s">
        <v>2586</v>
      </c>
      <c r="G864" s="11" t="s">
        <v>133</v>
      </c>
      <c r="H864" s="11" t="s">
        <v>2587</v>
      </c>
      <c r="I864" s="11" t="s">
        <v>151</v>
      </c>
    </row>
    <row r="865" spans="1:9" x14ac:dyDescent="0.15">
      <c r="A865" s="10">
        <v>864</v>
      </c>
      <c r="B865" s="11" t="s">
        <v>9</v>
      </c>
      <c r="C865" s="11" t="s">
        <v>179</v>
      </c>
      <c r="D865" s="11" t="s">
        <v>180</v>
      </c>
      <c r="E865" s="9" t="str">
        <f>+HYPERLINK("http://trademark.i-assist.jp/data/china/image_1908th/79813851.pdf", "79813851")</f>
        <v>79813851</v>
      </c>
      <c r="F865" s="11" t="s">
        <v>2588</v>
      </c>
      <c r="G865" s="11" t="s">
        <v>2589</v>
      </c>
      <c r="H865" s="11" t="s">
        <v>2590</v>
      </c>
      <c r="I865" s="11" t="s">
        <v>151</v>
      </c>
    </row>
    <row r="866" spans="1:9" x14ac:dyDescent="0.15">
      <c r="A866" s="10">
        <v>865</v>
      </c>
      <c r="B866" s="11" t="s">
        <v>9</v>
      </c>
      <c r="C866" s="11" t="s">
        <v>179</v>
      </c>
      <c r="D866" s="11" t="s">
        <v>180</v>
      </c>
      <c r="E866" s="9" t="str">
        <f>+HYPERLINK("http://trademark.i-assist.jp/data/china/image_1908th/79814214.pdf", "79814214")</f>
        <v>79814214</v>
      </c>
      <c r="F866" s="11" t="s">
        <v>2591</v>
      </c>
      <c r="G866" s="11" t="s">
        <v>2592</v>
      </c>
      <c r="H866" s="11" t="s">
        <v>2593</v>
      </c>
      <c r="I866" s="11" t="s">
        <v>151</v>
      </c>
    </row>
    <row r="867" spans="1:9" x14ac:dyDescent="0.15">
      <c r="A867" s="10">
        <v>866</v>
      </c>
      <c r="B867" s="11" t="s">
        <v>9</v>
      </c>
      <c r="C867" s="11" t="s">
        <v>179</v>
      </c>
      <c r="D867" s="11" t="s">
        <v>180</v>
      </c>
      <c r="E867" s="9" t="str">
        <f>+HYPERLINK("http://trademark.i-assist.jp/data/china/image_1908th/79814756.pdf", "79814756")</f>
        <v>79814756</v>
      </c>
      <c r="F867" s="11" t="s">
        <v>10</v>
      </c>
      <c r="G867" s="11" t="s">
        <v>2594</v>
      </c>
      <c r="H867" s="11" t="s">
        <v>2595</v>
      </c>
      <c r="I867" s="11" t="s">
        <v>151</v>
      </c>
    </row>
    <row r="868" spans="1:9" x14ac:dyDescent="0.15">
      <c r="A868" s="10">
        <v>867</v>
      </c>
      <c r="B868" s="11" t="s">
        <v>9</v>
      </c>
      <c r="C868" s="11" t="s">
        <v>179</v>
      </c>
      <c r="D868" s="11" t="s">
        <v>180</v>
      </c>
      <c r="E868" s="9" t="str">
        <f>+HYPERLINK("http://trademark.i-assist.jp/data/china/image_1908th/79814759.pdf", "79814759")</f>
        <v>79814759</v>
      </c>
      <c r="F868" s="11" t="s">
        <v>2596</v>
      </c>
      <c r="G868" s="11" t="s">
        <v>2597</v>
      </c>
      <c r="H868" s="11" t="s">
        <v>2598</v>
      </c>
      <c r="I868" s="11" t="s">
        <v>151</v>
      </c>
    </row>
    <row r="869" spans="1:9" x14ac:dyDescent="0.15">
      <c r="A869" s="10">
        <v>868</v>
      </c>
      <c r="B869" s="11" t="s">
        <v>9</v>
      </c>
      <c r="C869" s="11" t="s">
        <v>179</v>
      </c>
      <c r="D869" s="11" t="s">
        <v>180</v>
      </c>
      <c r="E869" s="9" t="str">
        <f>+HYPERLINK("http://trademark.i-assist.jp/data/china/image_1908th/79815135.pdf", "79815135")</f>
        <v>79815135</v>
      </c>
      <c r="F869" s="11" t="s">
        <v>2599</v>
      </c>
      <c r="G869" s="11" t="s">
        <v>2600</v>
      </c>
      <c r="H869" s="11" t="s">
        <v>2601</v>
      </c>
      <c r="I869" s="11" t="s">
        <v>151</v>
      </c>
    </row>
    <row r="870" spans="1:9" x14ac:dyDescent="0.15">
      <c r="A870" s="10">
        <v>869</v>
      </c>
      <c r="B870" s="11" t="s">
        <v>9</v>
      </c>
      <c r="C870" s="11" t="s">
        <v>179</v>
      </c>
      <c r="D870" s="11" t="s">
        <v>180</v>
      </c>
      <c r="E870" s="9" t="str">
        <f>+HYPERLINK("http://trademark.i-assist.jp/data/china/image_1908th/79815216.pdf", "79815216")</f>
        <v>79815216</v>
      </c>
      <c r="F870" s="11" t="s">
        <v>2602</v>
      </c>
      <c r="G870" s="11" t="s">
        <v>2603</v>
      </c>
      <c r="H870" s="11" t="s">
        <v>2604</v>
      </c>
      <c r="I870" s="11" t="s">
        <v>151</v>
      </c>
    </row>
    <row r="871" spans="1:9" x14ac:dyDescent="0.15">
      <c r="A871" s="10">
        <v>870</v>
      </c>
      <c r="B871" s="11" t="s">
        <v>9</v>
      </c>
      <c r="C871" s="11" t="s">
        <v>179</v>
      </c>
      <c r="D871" s="11" t="s">
        <v>180</v>
      </c>
      <c r="E871" s="9" t="str">
        <f>+HYPERLINK("http://trademark.i-assist.jp/data/china/image_1908th/79816210.pdf", "79816210")</f>
        <v>79816210</v>
      </c>
      <c r="F871" s="11" t="s">
        <v>10</v>
      </c>
      <c r="G871" s="11" t="s">
        <v>2605</v>
      </c>
      <c r="H871" s="11" t="s">
        <v>2606</v>
      </c>
      <c r="I871" s="11" t="s">
        <v>151</v>
      </c>
    </row>
    <row r="872" spans="1:9" x14ac:dyDescent="0.15">
      <c r="A872" s="10">
        <v>871</v>
      </c>
      <c r="B872" s="11" t="s">
        <v>9</v>
      </c>
      <c r="C872" s="11" t="s">
        <v>179</v>
      </c>
      <c r="D872" s="11" t="s">
        <v>180</v>
      </c>
      <c r="E872" s="9" t="str">
        <f>+HYPERLINK("http://trademark.i-assist.jp/data/china/image_1908th/79816315.pdf", "79816315")</f>
        <v>79816315</v>
      </c>
      <c r="F872" s="11" t="s">
        <v>2607</v>
      </c>
      <c r="G872" s="11" t="s">
        <v>2608</v>
      </c>
      <c r="H872" s="11" t="s">
        <v>2609</v>
      </c>
      <c r="I872" s="11" t="s">
        <v>151</v>
      </c>
    </row>
    <row r="873" spans="1:9" x14ac:dyDescent="0.15">
      <c r="A873" s="10">
        <v>872</v>
      </c>
      <c r="B873" s="11" t="s">
        <v>9</v>
      </c>
      <c r="C873" s="11" t="s">
        <v>179</v>
      </c>
      <c r="D873" s="11" t="s">
        <v>180</v>
      </c>
      <c r="E873" s="9" t="str">
        <f>+HYPERLINK("http://trademark.i-assist.jp/data/china/image_1908th/79816846.pdf", "79816846")</f>
        <v>79816846</v>
      </c>
      <c r="F873" s="11" t="s">
        <v>2610</v>
      </c>
      <c r="G873" s="11" t="s">
        <v>2611</v>
      </c>
      <c r="H873" s="11" t="s">
        <v>2612</v>
      </c>
      <c r="I873" s="11" t="s">
        <v>151</v>
      </c>
    </row>
    <row r="874" spans="1:9" x14ac:dyDescent="0.15">
      <c r="A874" s="10">
        <v>873</v>
      </c>
      <c r="B874" s="11" t="s">
        <v>9</v>
      </c>
      <c r="C874" s="11" t="s">
        <v>179</v>
      </c>
      <c r="D874" s="11" t="s">
        <v>180</v>
      </c>
      <c r="E874" s="9" t="str">
        <f>+HYPERLINK("http://trademark.i-assist.jp/data/china/image_1908th/79817168.pdf", "79817168")</f>
        <v>79817168</v>
      </c>
      <c r="F874" s="11" t="s">
        <v>2613</v>
      </c>
      <c r="G874" s="11" t="s">
        <v>2614</v>
      </c>
      <c r="H874" s="11" t="s">
        <v>2615</v>
      </c>
      <c r="I874" s="11" t="s">
        <v>151</v>
      </c>
    </row>
    <row r="875" spans="1:9" x14ac:dyDescent="0.15">
      <c r="A875" s="10">
        <v>874</v>
      </c>
      <c r="B875" s="11" t="s">
        <v>9</v>
      </c>
      <c r="C875" s="11" t="s">
        <v>179</v>
      </c>
      <c r="D875" s="11" t="s">
        <v>180</v>
      </c>
      <c r="E875" s="9" t="str">
        <f>+HYPERLINK("http://trademark.i-assist.jp/data/china/image_1908th/79817504.pdf", "79817504")</f>
        <v>79817504</v>
      </c>
      <c r="F875" s="11" t="s">
        <v>2616</v>
      </c>
      <c r="G875" s="11" t="s">
        <v>2617</v>
      </c>
      <c r="H875" s="11" t="s">
        <v>2618</v>
      </c>
      <c r="I875" s="11" t="s">
        <v>151</v>
      </c>
    </row>
    <row r="876" spans="1:9" x14ac:dyDescent="0.15">
      <c r="A876" s="10">
        <v>875</v>
      </c>
      <c r="B876" s="11" t="s">
        <v>9</v>
      </c>
      <c r="C876" s="11" t="s">
        <v>179</v>
      </c>
      <c r="D876" s="11" t="s">
        <v>180</v>
      </c>
      <c r="E876" s="9" t="str">
        <f>+HYPERLINK("http://trademark.i-assist.jp/data/china/image_1908th/79817901.pdf", "79817901")</f>
        <v>79817901</v>
      </c>
      <c r="F876" s="11" t="s">
        <v>10</v>
      </c>
      <c r="G876" s="11" t="s">
        <v>2619</v>
      </c>
      <c r="H876" s="11" t="s">
        <v>2620</v>
      </c>
      <c r="I876" s="11" t="s">
        <v>151</v>
      </c>
    </row>
    <row r="877" spans="1:9" x14ac:dyDescent="0.15">
      <c r="A877" s="10">
        <v>876</v>
      </c>
      <c r="B877" s="11" t="s">
        <v>9</v>
      </c>
      <c r="C877" s="11" t="s">
        <v>179</v>
      </c>
      <c r="D877" s="11" t="s">
        <v>180</v>
      </c>
      <c r="E877" s="9" t="str">
        <f>+HYPERLINK("http://trademark.i-assist.jp/data/china/image_1908th/79818027.pdf", "79818027")</f>
        <v>79818027</v>
      </c>
      <c r="F877" s="11" t="s">
        <v>2621</v>
      </c>
      <c r="G877" s="11" t="s">
        <v>2622</v>
      </c>
      <c r="H877" s="11" t="s">
        <v>2623</v>
      </c>
      <c r="I877" s="11" t="s">
        <v>151</v>
      </c>
    </row>
    <row r="878" spans="1:9" x14ac:dyDescent="0.15">
      <c r="A878" s="10">
        <v>877</v>
      </c>
      <c r="B878" s="11" t="s">
        <v>9</v>
      </c>
      <c r="C878" s="11" t="s">
        <v>179</v>
      </c>
      <c r="D878" s="11" t="s">
        <v>180</v>
      </c>
      <c r="E878" s="9" t="str">
        <f>+HYPERLINK("http://trademark.i-assist.jp/data/china/image_1908th/79818336.pdf", "79818336")</f>
        <v>79818336</v>
      </c>
      <c r="F878" s="11" t="s">
        <v>2624</v>
      </c>
      <c r="G878" s="11" t="s">
        <v>2625</v>
      </c>
      <c r="H878" s="11" t="s">
        <v>2626</v>
      </c>
      <c r="I878" s="11" t="s">
        <v>151</v>
      </c>
    </row>
    <row r="879" spans="1:9" x14ac:dyDescent="0.15">
      <c r="A879" s="10">
        <v>878</v>
      </c>
      <c r="B879" s="11" t="s">
        <v>9</v>
      </c>
      <c r="C879" s="11" t="s">
        <v>179</v>
      </c>
      <c r="D879" s="11" t="s">
        <v>180</v>
      </c>
      <c r="E879" s="9" t="str">
        <f>+HYPERLINK("http://trademark.i-assist.jp/data/china/image_1908th/79818475.pdf", "79818475")</f>
        <v>79818475</v>
      </c>
      <c r="F879" s="11" t="s">
        <v>2627</v>
      </c>
      <c r="G879" s="11" t="s">
        <v>2628</v>
      </c>
      <c r="H879" s="11" t="s">
        <v>2629</v>
      </c>
      <c r="I879" s="11" t="s">
        <v>151</v>
      </c>
    </row>
    <row r="880" spans="1:9" x14ac:dyDescent="0.15">
      <c r="A880" s="10">
        <v>879</v>
      </c>
      <c r="B880" s="11" t="s">
        <v>9</v>
      </c>
      <c r="C880" s="11" t="s">
        <v>179</v>
      </c>
      <c r="D880" s="11" t="s">
        <v>180</v>
      </c>
      <c r="E880" s="9" t="str">
        <f>+HYPERLINK("http://trademark.i-assist.jp/data/china/image_1908th/79818806.pdf", "79818806")</f>
        <v>79818806</v>
      </c>
      <c r="F880" s="11" t="s">
        <v>2630</v>
      </c>
      <c r="G880" s="11" t="s">
        <v>2631</v>
      </c>
      <c r="H880" s="11" t="s">
        <v>2632</v>
      </c>
      <c r="I880" s="11" t="s">
        <v>151</v>
      </c>
    </row>
    <row r="881" spans="1:9" x14ac:dyDescent="0.15">
      <c r="A881" s="10">
        <v>880</v>
      </c>
      <c r="B881" s="11" t="s">
        <v>9</v>
      </c>
      <c r="C881" s="11" t="s">
        <v>179</v>
      </c>
      <c r="D881" s="11" t="s">
        <v>180</v>
      </c>
      <c r="E881" s="9" t="str">
        <f>+HYPERLINK("http://trademark.i-assist.jp/data/china/image_1908th/79819872.pdf", "79819872")</f>
        <v>79819872</v>
      </c>
      <c r="F881" s="11" t="s">
        <v>2633</v>
      </c>
      <c r="G881" s="11" t="s">
        <v>2634</v>
      </c>
      <c r="H881" s="11" t="s">
        <v>2635</v>
      </c>
      <c r="I881" s="11" t="s">
        <v>151</v>
      </c>
    </row>
    <row r="882" spans="1:9" x14ac:dyDescent="0.15">
      <c r="A882" s="10">
        <v>881</v>
      </c>
      <c r="B882" s="11" t="s">
        <v>9</v>
      </c>
      <c r="C882" s="11" t="s">
        <v>179</v>
      </c>
      <c r="D882" s="11" t="s">
        <v>180</v>
      </c>
      <c r="E882" s="9" t="str">
        <f>+HYPERLINK("http://trademark.i-assist.jp/data/china/image_1908th/79820457.pdf", "79820457")</f>
        <v>79820457</v>
      </c>
      <c r="F882" s="11" t="s">
        <v>2636</v>
      </c>
      <c r="G882" s="11" t="s">
        <v>2637</v>
      </c>
      <c r="H882" s="11" t="s">
        <v>2638</v>
      </c>
      <c r="I882" s="11" t="s">
        <v>151</v>
      </c>
    </row>
    <row r="883" spans="1:9" x14ac:dyDescent="0.15">
      <c r="A883" s="10">
        <v>882</v>
      </c>
      <c r="B883" s="11" t="s">
        <v>9</v>
      </c>
      <c r="C883" s="11" t="s">
        <v>179</v>
      </c>
      <c r="D883" s="11" t="s">
        <v>180</v>
      </c>
      <c r="E883" s="9" t="str">
        <f>+HYPERLINK("http://trademark.i-assist.jp/data/china/image_1908th/79820496.pdf", "79820496")</f>
        <v>79820496</v>
      </c>
      <c r="F883" s="11" t="s">
        <v>2639</v>
      </c>
      <c r="G883" s="11" t="s">
        <v>2640</v>
      </c>
      <c r="H883" s="11" t="s">
        <v>2641</v>
      </c>
      <c r="I883" s="11" t="s">
        <v>151</v>
      </c>
    </row>
    <row r="884" spans="1:9" x14ac:dyDescent="0.15">
      <c r="A884" s="10">
        <v>883</v>
      </c>
      <c r="B884" s="11" t="s">
        <v>9</v>
      </c>
      <c r="C884" s="11" t="s">
        <v>179</v>
      </c>
      <c r="D884" s="11" t="s">
        <v>180</v>
      </c>
      <c r="E884" s="9" t="str">
        <f>+HYPERLINK("http://trademark.i-assist.jp/data/china/image_1908th/79820534.pdf", "79820534")</f>
        <v>79820534</v>
      </c>
      <c r="F884" s="11" t="s">
        <v>2642</v>
      </c>
      <c r="G884" s="11" t="s">
        <v>133</v>
      </c>
      <c r="H884" s="11" t="s">
        <v>2643</v>
      </c>
      <c r="I884" s="11" t="s">
        <v>151</v>
      </c>
    </row>
    <row r="885" spans="1:9" x14ac:dyDescent="0.15">
      <c r="A885" s="10">
        <v>884</v>
      </c>
      <c r="B885" s="11" t="s">
        <v>9</v>
      </c>
      <c r="C885" s="11" t="s">
        <v>179</v>
      </c>
      <c r="D885" s="11" t="s">
        <v>180</v>
      </c>
      <c r="E885" s="9" t="str">
        <f>+HYPERLINK("http://trademark.i-assist.jp/data/china/image_1908th/79820554.pdf", "79820554")</f>
        <v>79820554</v>
      </c>
      <c r="F885" s="11" t="s">
        <v>2644</v>
      </c>
      <c r="G885" s="11" t="s">
        <v>2645</v>
      </c>
      <c r="H885" s="11" t="s">
        <v>2646</v>
      </c>
      <c r="I885" s="11" t="s">
        <v>151</v>
      </c>
    </row>
    <row r="886" spans="1:9" x14ac:dyDescent="0.15">
      <c r="A886" s="10">
        <v>885</v>
      </c>
      <c r="B886" s="11" t="s">
        <v>9</v>
      </c>
      <c r="C886" s="11" t="s">
        <v>179</v>
      </c>
      <c r="D886" s="11" t="s">
        <v>180</v>
      </c>
      <c r="E886" s="9" t="str">
        <f>+HYPERLINK("http://trademark.i-assist.jp/data/china/image_1908th/79820843.pdf", "79820843")</f>
        <v>79820843</v>
      </c>
      <c r="F886" s="11" t="s">
        <v>2647</v>
      </c>
      <c r="G886" s="11" t="s">
        <v>2648</v>
      </c>
      <c r="H886" s="11" t="s">
        <v>2649</v>
      </c>
      <c r="I886" s="11" t="s">
        <v>151</v>
      </c>
    </row>
    <row r="887" spans="1:9" x14ac:dyDescent="0.15">
      <c r="A887" s="10">
        <v>886</v>
      </c>
      <c r="B887" s="11" t="s">
        <v>9</v>
      </c>
      <c r="C887" s="11" t="s">
        <v>179</v>
      </c>
      <c r="D887" s="11" t="s">
        <v>180</v>
      </c>
      <c r="E887" s="9" t="str">
        <f>+HYPERLINK("http://trademark.i-assist.jp/data/china/image_1908th/79820940.pdf", "79820940")</f>
        <v>79820940</v>
      </c>
      <c r="F887" s="11" t="s">
        <v>2650</v>
      </c>
      <c r="G887" s="11" t="s">
        <v>2651</v>
      </c>
      <c r="H887" s="11" t="s">
        <v>2652</v>
      </c>
      <c r="I887" s="11" t="s">
        <v>151</v>
      </c>
    </row>
    <row r="888" spans="1:9" x14ac:dyDescent="0.15">
      <c r="A888" s="10">
        <v>887</v>
      </c>
      <c r="B888" s="11" t="s">
        <v>9</v>
      </c>
      <c r="C888" s="11" t="s">
        <v>179</v>
      </c>
      <c r="D888" s="11" t="s">
        <v>180</v>
      </c>
      <c r="E888" s="9" t="str">
        <f>+HYPERLINK("http://trademark.i-assist.jp/data/china/image_1908th/79821163.pdf", "79821163")</f>
        <v>79821163</v>
      </c>
      <c r="F888" s="11" t="s">
        <v>2653</v>
      </c>
      <c r="G888" s="11" t="s">
        <v>2654</v>
      </c>
      <c r="H888" s="11" t="s">
        <v>2655</v>
      </c>
      <c r="I888" s="11" t="s">
        <v>151</v>
      </c>
    </row>
    <row r="889" spans="1:9" x14ac:dyDescent="0.15">
      <c r="A889" s="10">
        <v>888</v>
      </c>
      <c r="B889" s="11" t="s">
        <v>9</v>
      </c>
      <c r="C889" s="11" t="s">
        <v>179</v>
      </c>
      <c r="D889" s="11" t="s">
        <v>180</v>
      </c>
      <c r="E889" s="9" t="str">
        <f>+HYPERLINK("http://trademark.i-assist.jp/data/china/image_1908th/79821944.pdf", "79821944")</f>
        <v>79821944</v>
      </c>
      <c r="F889" s="11" t="s">
        <v>2656</v>
      </c>
      <c r="G889" s="11" t="s">
        <v>2657</v>
      </c>
      <c r="H889" s="11" t="s">
        <v>2658</v>
      </c>
      <c r="I889" s="11" t="s">
        <v>151</v>
      </c>
    </row>
    <row r="890" spans="1:9" x14ac:dyDescent="0.15">
      <c r="A890" s="10">
        <v>889</v>
      </c>
      <c r="B890" s="11" t="s">
        <v>9</v>
      </c>
      <c r="C890" s="11" t="s">
        <v>179</v>
      </c>
      <c r="D890" s="11" t="s">
        <v>180</v>
      </c>
      <c r="E890" s="9" t="str">
        <f>+HYPERLINK("http://trademark.i-assist.jp/data/china/image_1908th/79822104.pdf", "79822104")</f>
        <v>79822104</v>
      </c>
      <c r="F890" s="11" t="s">
        <v>2659</v>
      </c>
      <c r="G890" s="11" t="s">
        <v>2660</v>
      </c>
      <c r="H890" s="11" t="s">
        <v>2661</v>
      </c>
      <c r="I890" s="11" t="s">
        <v>151</v>
      </c>
    </row>
    <row r="891" spans="1:9" x14ac:dyDescent="0.15">
      <c r="A891" s="10">
        <v>890</v>
      </c>
      <c r="B891" s="11" t="s">
        <v>9</v>
      </c>
      <c r="C891" s="11" t="s">
        <v>179</v>
      </c>
      <c r="D891" s="11" t="s">
        <v>180</v>
      </c>
      <c r="E891" s="9" t="str">
        <f>+HYPERLINK("http://trademark.i-assist.jp/data/china/image_1908th/79822209.pdf", "79822209")</f>
        <v>79822209</v>
      </c>
      <c r="F891" s="11" t="s">
        <v>2662</v>
      </c>
      <c r="G891" s="11" t="s">
        <v>2663</v>
      </c>
      <c r="H891" s="11" t="s">
        <v>2664</v>
      </c>
      <c r="I891" s="11" t="s">
        <v>151</v>
      </c>
    </row>
    <row r="892" spans="1:9" x14ac:dyDescent="0.15">
      <c r="A892" s="10">
        <v>891</v>
      </c>
      <c r="B892" s="11" t="s">
        <v>9</v>
      </c>
      <c r="C892" s="11" t="s">
        <v>179</v>
      </c>
      <c r="D892" s="11" t="s">
        <v>180</v>
      </c>
      <c r="E892" s="9" t="str">
        <f>+HYPERLINK("http://trademark.i-assist.jp/data/china/image_1908th/79822417.pdf", "79822417")</f>
        <v>79822417</v>
      </c>
      <c r="F892" s="11" t="s">
        <v>2665</v>
      </c>
      <c r="G892" s="11" t="s">
        <v>2666</v>
      </c>
      <c r="H892" s="11" t="s">
        <v>2667</v>
      </c>
      <c r="I892" s="11" t="s">
        <v>151</v>
      </c>
    </row>
    <row r="893" spans="1:9" x14ac:dyDescent="0.15">
      <c r="A893" s="10">
        <v>892</v>
      </c>
      <c r="B893" s="11" t="s">
        <v>9</v>
      </c>
      <c r="C893" s="11" t="s">
        <v>179</v>
      </c>
      <c r="D893" s="11" t="s">
        <v>180</v>
      </c>
      <c r="E893" s="9" t="str">
        <f>+HYPERLINK("http://trademark.i-assist.jp/data/china/image_1908th/79822528.pdf", "79822528")</f>
        <v>79822528</v>
      </c>
      <c r="F893" s="11" t="s">
        <v>2668</v>
      </c>
      <c r="G893" s="11" t="s">
        <v>2669</v>
      </c>
      <c r="H893" s="11" t="s">
        <v>2670</v>
      </c>
      <c r="I893" s="11" t="s">
        <v>151</v>
      </c>
    </row>
    <row r="894" spans="1:9" x14ac:dyDescent="0.15">
      <c r="A894" s="10">
        <v>893</v>
      </c>
      <c r="B894" s="11" t="s">
        <v>9</v>
      </c>
      <c r="C894" s="11" t="s">
        <v>179</v>
      </c>
      <c r="D894" s="11" t="s">
        <v>180</v>
      </c>
      <c r="E894" s="9" t="str">
        <f>+HYPERLINK("http://trademark.i-assist.jp/data/china/image_1908th/79822530.pdf", "79822530")</f>
        <v>79822530</v>
      </c>
      <c r="F894" s="11" t="s">
        <v>10</v>
      </c>
      <c r="G894" s="11" t="s">
        <v>2671</v>
      </c>
      <c r="H894" s="11" t="s">
        <v>2672</v>
      </c>
      <c r="I894" s="11" t="s">
        <v>151</v>
      </c>
    </row>
    <row r="895" spans="1:9" x14ac:dyDescent="0.15">
      <c r="A895" s="10">
        <v>894</v>
      </c>
      <c r="B895" s="11" t="s">
        <v>9</v>
      </c>
      <c r="C895" s="11" t="s">
        <v>179</v>
      </c>
      <c r="D895" s="11" t="s">
        <v>180</v>
      </c>
      <c r="E895" s="9" t="str">
        <f>+HYPERLINK("http://trademark.i-assist.jp/data/china/image_1908th/79822725.pdf", "79822725")</f>
        <v>79822725</v>
      </c>
      <c r="F895" s="11" t="s">
        <v>2673</v>
      </c>
      <c r="G895" s="11" t="s">
        <v>2674</v>
      </c>
      <c r="H895" s="11" t="s">
        <v>2675</v>
      </c>
      <c r="I895" s="11" t="s">
        <v>151</v>
      </c>
    </row>
    <row r="896" spans="1:9" x14ac:dyDescent="0.15">
      <c r="A896" s="10">
        <v>895</v>
      </c>
      <c r="B896" s="11" t="s">
        <v>9</v>
      </c>
      <c r="C896" s="11" t="s">
        <v>179</v>
      </c>
      <c r="D896" s="11" t="s">
        <v>180</v>
      </c>
      <c r="E896" s="9" t="str">
        <f>+HYPERLINK("http://trademark.i-assist.jp/data/china/image_1908th/79822782.pdf", "79822782")</f>
        <v>79822782</v>
      </c>
      <c r="F896" s="11" t="s">
        <v>2676</v>
      </c>
      <c r="G896" s="11" t="s">
        <v>2677</v>
      </c>
      <c r="H896" s="11" t="s">
        <v>2678</v>
      </c>
      <c r="I896" s="11" t="s">
        <v>151</v>
      </c>
    </row>
    <row r="897" spans="1:9" x14ac:dyDescent="0.15">
      <c r="A897" s="10">
        <v>896</v>
      </c>
      <c r="B897" s="11" t="s">
        <v>9</v>
      </c>
      <c r="C897" s="11" t="s">
        <v>179</v>
      </c>
      <c r="D897" s="11" t="s">
        <v>180</v>
      </c>
      <c r="E897" s="9" t="str">
        <f>+HYPERLINK("http://trademark.i-assist.jp/data/china/image_1908th/79822950.pdf", "79822950")</f>
        <v>79822950</v>
      </c>
      <c r="F897" s="11" t="s">
        <v>2679</v>
      </c>
      <c r="G897" s="11" t="s">
        <v>2680</v>
      </c>
      <c r="H897" s="11" t="s">
        <v>2681</v>
      </c>
      <c r="I897" s="11" t="s">
        <v>151</v>
      </c>
    </row>
    <row r="898" spans="1:9" x14ac:dyDescent="0.15">
      <c r="A898" s="10">
        <v>897</v>
      </c>
      <c r="B898" s="11" t="s">
        <v>9</v>
      </c>
      <c r="C898" s="11" t="s">
        <v>179</v>
      </c>
      <c r="D898" s="11" t="s">
        <v>180</v>
      </c>
      <c r="E898" s="9" t="str">
        <f>+HYPERLINK("http://trademark.i-assist.jp/data/china/image_1908th/79823437.pdf", "79823437")</f>
        <v>79823437</v>
      </c>
      <c r="F898" s="11" t="s">
        <v>2682</v>
      </c>
      <c r="G898" s="11" t="s">
        <v>2683</v>
      </c>
      <c r="H898" s="11" t="s">
        <v>2684</v>
      </c>
      <c r="I898" s="11" t="s">
        <v>151</v>
      </c>
    </row>
    <row r="899" spans="1:9" x14ac:dyDescent="0.15">
      <c r="A899" s="10">
        <v>898</v>
      </c>
      <c r="B899" s="11" t="s">
        <v>9</v>
      </c>
      <c r="C899" s="11" t="s">
        <v>179</v>
      </c>
      <c r="D899" s="11" t="s">
        <v>180</v>
      </c>
      <c r="E899" s="9" t="str">
        <f>+HYPERLINK("http://trademark.i-assist.jp/data/china/image_1908th/79823639.pdf", "79823639")</f>
        <v>79823639</v>
      </c>
      <c r="F899" s="11" t="s">
        <v>2685</v>
      </c>
      <c r="G899" s="11" t="s">
        <v>128</v>
      </c>
      <c r="H899" s="11" t="s">
        <v>2686</v>
      </c>
      <c r="I899" s="11" t="s">
        <v>151</v>
      </c>
    </row>
    <row r="900" spans="1:9" x14ac:dyDescent="0.15">
      <c r="A900" s="10">
        <v>899</v>
      </c>
      <c r="B900" s="11" t="s">
        <v>9</v>
      </c>
      <c r="C900" s="11" t="s">
        <v>179</v>
      </c>
      <c r="D900" s="11" t="s">
        <v>180</v>
      </c>
      <c r="E900" s="9" t="str">
        <f>+HYPERLINK("http://trademark.i-assist.jp/data/china/image_1908th/79823721.pdf", "79823721")</f>
        <v>79823721</v>
      </c>
      <c r="F900" s="11" t="s">
        <v>2687</v>
      </c>
      <c r="G900" s="11" t="s">
        <v>2688</v>
      </c>
      <c r="H900" s="11" t="s">
        <v>2689</v>
      </c>
      <c r="I900" s="11" t="s">
        <v>151</v>
      </c>
    </row>
    <row r="901" spans="1:9" x14ac:dyDescent="0.15">
      <c r="A901" s="10">
        <v>900</v>
      </c>
      <c r="B901" s="11" t="s">
        <v>9</v>
      </c>
      <c r="C901" s="11" t="s">
        <v>179</v>
      </c>
      <c r="D901" s="11" t="s">
        <v>180</v>
      </c>
      <c r="E901" s="9" t="str">
        <f>+HYPERLINK("http://trademark.i-assist.jp/data/china/image_1908th/79824531.pdf", "79824531")</f>
        <v>79824531</v>
      </c>
      <c r="F901" s="11" t="s">
        <v>2690</v>
      </c>
      <c r="G901" s="11" t="s">
        <v>2691</v>
      </c>
      <c r="H901" s="11" t="s">
        <v>2692</v>
      </c>
      <c r="I901" s="11" t="s">
        <v>151</v>
      </c>
    </row>
    <row r="902" spans="1:9" x14ac:dyDescent="0.15">
      <c r="A902" s="10">
        <v>901</v>
      </c>
      <c r="B902" s="11" t="s">
        <v>9</v>
      </c>
      <c r="C902" s="11" t="s">
        <v>179</v>
      </c>
      <c r="D902" s="11" t="s">
        <v>180</v>
      </c>
      <c r="E902" s="9" t="str">
        <f>+HYPERLINK("http://trademark.i-assist.jp/data/china/image_1908th/79825041.pdf", "79825041")</f>
        <v>79825041</v>
      </c>
      <c r="F902" s="11" t="s">
        <v>2693</v>
      </c>
      <c r="G902" s="11" t="s">
        <v>114</v>
      </c>
      <c r="H902" s="11" t="s">
        <v>2694</v>
      </c>
      <c r="I902" s="11" t="s">
        <v>151</v>
      </c>
    </row>
    <row r="903" spans="1:9" x14ac:dyDescent="0.15">
      <c r="A903" s="10">
        <v>902</v>
      </c>
      <c r="B903" s="11" t="s">
        <v>9</v>
      </c>
      <c r="C903" s="11" t="s">
        <v>179</v>
      </c>
      <c r="D903" s="11" t="s">
        <v>180</v>
      </c>
      <c r="E903" s="9" t="str">
        <f>+HYPERLINK("http://trademark.i-assist.jp/data/china/image_1908th/79825242.pdf", "79825242")</f>
        <v>79825242</v>
      </c>
      <c r="F903" s="11" t="s">
        <v>2695</v>
      </c>
      <c r="G903" s="11" t="s">
        <v>2696</v>
      </c>
      <c r="H903" s="11" t="s">
        <v>2697</v>
      </c>
      <c r="I903" s="11" t="s">
        <v>151</v>
      </c>
    </row>
    <row r="904" spans="1:9" x14ac:dyDescent="0.15">
      <c r="A904" s="10">
        <v>903</v>
      </c>
      <c r="B904" s="11" t="s">
        <v>9</v>
      </c>
      <c r="C904" s="11" t="s">
        <v>179</v>
      </c>
      <c r="D904" s="11" t="s">
        <v>180</v>
      </c>
      <c r="E904" s="9" t="str">
        <f>+HYPERLINK("http://trademark.i-assist.jp/data/china/image_1908th/79825269.pdf", "79825269")</f>
        <v>79825269</v>
      </c>
      <c r="F904" s="11" t="s">
        <v>2698</v>
      </c>
      <c r="G904" s="11" t="s">
        <v>2557</v>
      </c>
      <c r="H904" s="11" t="s">
        <v>2699</v>
      </c>
      <c r="I904" s="11" t="s">
        <v>151</v>
      </c>
    </row>
    <row r="905" spans="1:9" x14ac:dyDescent="0.15">
      <c r="A905" s="10">
        <v>904</v>
      </c>
      <c r="B905" s="11" t="s">
        <v>9</v>
      </c>
      <c r="C905" s="11" t="s">
        <v>179</v>
      </c>
      <c r="D905" s="11" t="s">
        <v>180</v>
      </c>
      <c r="E905" s="9" t="str">
        <f>+HYPERLINK("http://trademark.i-assist.jp/data/china/image_1908th/79825846.pdf", "79825846")</f>
        <v>79825846</v>
      </c>
      <c r="F905" s="11" t="s">
        <v>2700</v>
      </c>
      <c r="G905" s="11" t="s">
        <v>2701</v>
      </c>
      <c r="H905" s="11" t="s">
        <v>2702</v>
      </c>
      <c r="I905" s="11" t="s">
        <v>151</v>
      </c>
    </row>
    <row r="906" spans="1:9" x14ac:dyDescent="0.15">
      <c r="A906" s="10">
        <v>905</v>
      </c>
      <c r="B906" s="11" t="s">
        <v>9</v>
      </c>
      <c r="C906" s="11" t="s">
        <v>179</v>
      </c>
      <c r="D906" s="11" t="s">
        <v>180</v>
      </c>
      <c r="E906" s="9" t="str">
        <f>+HYPERLINK("http://trademark.i-assist.jp/data/china/image_1908th/79825945.pdf", "79825945")</f>
        <v>79825945</v>
      </c>
      <c r="F906" s="11" t="s">
        <v>2703</v>
      </c>
      <c r="G906" s="11" t="s">
        <v>2704</v>
      </c>
      <c r="H906" s="11" t="s">
        <v>2705</v>
      </c>
      <c r="I906" s="11" t="s">
        <v>151</v>
      </c>
    </row>
    <row r="907" spans="1:9" x14ac:dyDescent="0.15">
      <c r="A907" s="10">
        <v>906</v>
      </c>
      <c r="B907" s="11" t="s">
        <v>9</v>
      </c>
      <c r="C907" s="11" t="s">
        <v>179</v>
      </c>
      <c r="D907" s="11" t="s">
        <v>180</v>
      </c>
      <c r="E907" s="9" t="str">
        <f>+HYPERLINK("http://trademark.i-assist.jp/data/china/image_1908th/79826281.pdf", "79826281")</f>
        <v>79826281</v>
      </c>
      <c r="F907" s="11" t="s">
        <v>2706</v>
      </c>
      <c r="G907" s="11" t="s">
        <v>2707</v>
      </c>
      <c r="H907" s="11" t="s">
        <v>2708</v>
      </c>
      <c r="I907" s="11" t="s">
        <v>151</v>
      </c>
    </row>
    <row r="908" spans="1:9" x14ac:dyDescent="0.15">
      <c r="A908" s="10">
        <v>907</v>
      </c>
      <c r="B908" s="11" t="s">
        <v>9</v>
      </c>
      <c r="C908" s="11" t="s">
        <v>179</v>
      </c>
      <c r="D908" s="11" t="s">
        <v>180</v>
      </c>
      <c r="E908" s="9" t="str">
        <f>+HYPERLINK("http://trademark.i-assist.jp/data/china/image_1908th/79826399.pdf", "79826399")</f>
        <v>79826399</v>
      </c>
      <c r="F908" s="11" t="s">
        <v>2709</v>
      </c>
      <c r="G908" s="11" t="s">
        <v>2710</v>
      </c>
      <c r="H908" s="11" t="s">
        <v>2711</v>
      </c>
      <c r="I908" s="11" t="s">
        <v>151</v>
      </c>
    </row>
    <row r="909" spans="1:9" x14ac:dyDescent="0.15">
      <c r="A909" s="10">
        <v>908</v>
      </c>
      <c r="B909" s="11" t="s">
        <v>9</v>
      </c>
      <c r="C909" s="11" t="s">
        <v>179</v>
      </c>
      <c r="D909" s="11" t="s">
        <v>180</v>
      </c>
      <c r="E909" s="9" t="str">
        <f>+HYPERLINK("http://trademark.i-assist.jp/data/china/image_1908th/79827204.pdf", "79827204")</f>
        <v>79827204</v>
      </c>
      <c r="F909" s="11" t="s">
        <v>2712</v>
      </c>
      <c r="G909" s="11" t="s">
        <v>2713</v>
      </c>
      <c r="H909" s="11" t="s">
        <v>2714</v>
      </c>
      <c r="I909" s="11" t="s">
        <v>151</v>
      </c>
    </row>
    <row r="910" spans="1:9" x14ac:dyDescent="0.15">
      <c r="A910" s="10">
        <v>909</v>
      </c>
      <c r="B910" s="11" t="s">
        <v>9</v>
      </c>
      <c r="C910" s="11" t="s">
        <v>179</v>
      </c>
      <c r="D910" s="11" t="s">
        <v>180</v>
      </c>
      <c r="E910" s="9" t="str">
        <f>+HYPERLINK("http://trademark.i-assist.jp/data/china/image_1908th/79827334.pdf", "79827334")</f>
        <v>79827334</v>
      </c>
      <c r="F910" s="11" t="s">
        <v>2715</v>
      </c>
      <c r="G910" s="11" t="s">
        <v>2716</v>
      </c>
      <c r="H910" s="11" t="s">
        <v>2717</v>
      </c>
      <c r="I910" s="11" t="s">
        <v>151</v>
      </c>
    </row>
    <row r="911" spans="1:9" x14ac:dyDescent="0.15">
      <c r="A911" s="10">
        <v>910</v>
      </c>
      <c r="B911" s="11" t="s">
        <v>9</v>
      </c>
      <c r="C911" s="11" t="s">
        <v>179</v>
      </c>
      <c r="D911" s="11" t="s">
        <v>180</v>
      </c>
      <c r="E911" s="9" t="str">
        <f>+HYPERLINK("http://trademark.i-assist.jp/data/china/image_1908th/79827704.pdf", "79827704")</f>
        <v>79827704</v>
      </c>
      <c r="F911" s="11" t="s">
        <v>2718</v>
      </c>
      <c r="G911" s="11" t="s">
        <v>2719</v>
      </c>
      <c r="H911" s="11" t="s">
        <v>2720</v>
      </c>
      <c r="I911" s="11" t="s">
        <v>151</v>
      </c>
    </row>
    <row r="912" spans="1:9" x14ac:dyDescent="0.15">
      <c r="A912" s="10">
        <v>911</v>
      </c>
      <c r="B912" s="11" t="s">
        <v>9</v>
      </c>
      <c r="C912" s="11" t="s">
        <v>179</v>
      </c>
      <c r="D912" s="11" t="s">
        <v>180</v>
      </c>
      <c r="E912" s="9" t="str">
        <f>+HYPERLINK("http://trademark.i-assist.jp/data/china/image_1908th/79827853.pdf", "79827853")</f>
        <v>79827853</v>
      </c>
      <c r="F912" s="11" t="s">
        <v>2721</v>
      </c>
      <c r="G912" s="11" t="s">
        <v>2722</v>
      </c>
      <c r="H912" s="11" t="s">
        <v>2723</v>
      </c>
      <c r="I912" s="11" t="s">
        <v>151</v>
      </c>
    </row>
    <row r="913" spans="1:9" x14ac:dyDescent="0.15">
      <c r="A913" s="10">
        <v>912</v>
      </c>
      <c r="B913" s="11" t="s">
        <v>9</v>
      </c>
      <c r="C913" s="11" t="s">
        <v>179</v>
      </c>
      <c r="D913" s="11" t="s">
        <v>180</v>
      </c>
      <c r="E913" s="9" t="str">
        <f>+HYPERLINK("http://trademark.i-assist.jp/data/china/image_1908th/79827902.pdf", "79827902")</f>
        <v>79827902</v>
      </c>
      <c r="F913" s="11" t="s">
        <v>2724</v>
      </c>
      <c r="G913" s="11" t="s">
        <v>2725</v>
      </c>
      <c r="H913" s="11" t="s">
        <v>2726</v>
      </c>
      <c r="I913" s="11" t="s">
        <v>151</v>
      </c>
    </row>
    <row r="914" spans="1:9" x14ac:dyDescent="0.15">
      <c r="A914" s="10">
        <v>913</v>
      </c>
      <c r="B914" s="11" t="s">
        <v>9</v>
      </c>
      <c r="C914" s="11" t="s">
        <v>179</v>
      </c>
      <c r="D914" s="11" t="s">
        <v>180</v>
      </c>
      <c r="E914" s="9" t="str">
        <f>+HYPERLINK("http://trademark.i-assist.jp/data/china/image_1908th/79828397.pdf", "79828397")</f>
        <v>79828397</v>
      </c>
      <c r="F914" s="11" t="s">
        <v>2727</v>
      </c>
      <c r="G914" s="11" t="s">
        <v>2728</v>
      </c>
      <c r="H914" s="11" t="s">
        <v>2729</v>
      </c>
      <c r="I914" s="11" t="s">
        <v>151</v>
      </c>
    </row>
    <row r="915" spans="1:9" x14ac:dyDescent="0.15">
      <c r="A915" s="10">
        <v>914</v>
      </c>
      <c r="B915" s="11" t="s">
        <v>9</v>
      </c>
      <c r="C915" s="11" t="s">
        <v>179</v>
      </c>
      <c r="D915" s="11" t="s">
        <v>180</v>
      </c>
      <c r="E915" s="9" t="str">
        <f>+HYPERLINK("http://trademark.i-assist.jp/data/china/image_1908th/79828436.pdf", "79828436")</f>
        <v>79828436</v>
      </c>
      <c r="F915" s="11" t="s">
        <v>2730</v>
      </c>
      <c r="G915" s="11" t="s">
        <v>2731</v>
      </c>
      <c r="H915" s="11" t="s">
        <v>2732</v>
      </c>
      <c r="I915" s="11" t="s">
        <v>151</v>
      </c>
    </row>
    <row r="916" spans="1:9" x14ac:dyDescent="0.15">
      <c r="A916" s="10">
        <v>915</v>
      </c>
      <c r="B916" s="11" t="s">
        <v>9</v>
      </c>
      <c r="C916" s="11" t="s">
        <v>179</v>
      </c>
      <c r="D916" s="11" t="s">
        <v>180</v>
      </c>
      <c r="E916" s="9" t="str">
        <f>+HYPERLINK("http://trademark.i-assist.jp/data/china/image_1908th/79829565.pdf", "79829565")</f>
        <v>79829565</v>
      </c>
      <c r="F916" s="11" t="s">
        <v>2733</v>
      </c>
      <c r="G916" s="11" t="s">
        <v>55</v>
      </c>
      <c r="H916" s="11" t="s">
        <v>2734</v>
      </c>
      <c r="I916" s="11" t="s">
        <v>151</v>
      </c>
    </row>
    <row r="917" spans="1:9" x14ac:dyDescent="0.15">
      <c r="A917" s="10">
        <v>916</v>
      </c>
      <c r="B917" s="11" t="s">
        <v>9</v>
      </c>
      <c r="C917" s="11" t="s">
        <v>179</v>
      </c>
      <c r="D917" s="11" t="s">
        <v>180</v>
      </c>
      <c r="E917" s="9" t="str">
        <f>+HYPERLINK("http://trademark.i-assist.jp/data/china/image_1908th/79829662.pdf", "79829662")</f>
        <v>79829662</v>
      </c>
      <c r="F917" s="11" t="s">
        <v>2735</v>
      </c>
      <c r="G917" s="11" t="s">
        <v>2648</v>
      </c>
      <c r="H917" s="11" t="s">
        <v>2736</v>
      </c>
      <c r="I917" s="11" t="s">
        <v>151</v>
      </c>
    </row>
    <row r="918" spans="1:9" x14ac:dyDescent="0.15">
      <c r="A918" s="10">
        <v>917</v>
      </c>
      <c r="B918" s="11" t="s">
        <v>9</v>
      </c>
      <c r="C918" s="11" t="s">
        <v>179</v>
      </c>
      <c r="D918" s="11" t="s">
        <v>180</v>
      </c>
      <c r="E918" s="9" t="str">
        <f>+HYPERLINK("http://trademark.i-assist.jp/data/china/image_1908th/79829819.pdf", "79829819")</f>
        <v>79829819</v>
      </c>
      <c r="F918" s="11" t="s">
        <v>10</v>
      </c>
      <c r="G918" s="11" t="s">
        <v>2737</v>
      </c>
      <c r="H918" s="11" t="s">
        <v>2738</v>
      </c>
      <c r="I918" s="11" t="s">
        <v>151</v>
      </c>
    </row>
    <row r="919" spans="1:9" x14ac:dyDescent="0.15">
      <c r="A919" s="10">
        <v>918</v>
      </c>
      <c r="B919" s="11" t="s">
        <v>9</v>
      </c>
      <c r="C919" s="11" t="s">
        <v>179</v>
      </c>
      <c r="D919" s="11" t="s">
        <v>180</v>
      </c>
      <c r="E919" s="9" t="str">
        <f>+HYPERLINK("http://trademark.i-assist.jp/data/china/image_1908th/79829923.pdf", "79829923")</f>
        <v>79829923</v>
      </c>
      <c r="F919" s="11" t="s">
        <v>2739</v>
      </c>
      <c r="G919" s="11" t="s">
        <v>2740</v>
      </c>
      <c r="H919" s="11" t="s">
        <v>2741</v>
      </c>
      <c r="I919" s="11" t="s">
        <v>151</v>
      </c>
    </row>
    <row r="920" spans="1:9" x14ac:dyDescent="0.15">
      <c r="A920" s="10">
        <v>919</v>
      </c>
      <c r="B920" s="11" t="s">
        <v>9</v>
      </c>
      <c r="C920" s="11" t="s">
        <v>179</v>
      </c>
      <c r="D920" s="11" t="s">
        <v>180</v>
      </c>
      <c r="E920" s="9" t="str">
        <f>+HYPERLINK("http://trademark.i-assist.jp/data/china/image_1908th/79830289.pdf", "79830289")</f>
        <v>79830289</v>
      </c>
      <c r="F920" s="11" t="s">
        <v>10</v>
      </c>
      <c r="G920" s="11" t="s">
        <v>2742</v>
      </c>
      <c r="H920" s="11" t="s">
        <v>2743</v>
      </c>
      <c r="I920" s="11" t="s">
        <v>151</v>
      </c>
    </row>
    <row r="921" spans="1:9" x14ac:dyDescent="0.15">
      <c r="A921" s="10">
        <v>920</v>
      </c>
      <c r="B921" s="11" t="s">
        <v>9</v>
      </c>
      <c r="C921" s="11" t="s">
        <v>179</v>
      </c>
      <c r="D921" s="11" t="s">
        <v>180</v>
      </c>
      <c r="E921" s="9" t="str">
        <f>+HYPERLINK("http://trademark.i-assist.jp/data/china/image_1908th/79830458.pdf", "79830458")</f>
        <v>79830458</v>
      </c>
      <c r="F921" s="11" t="s">
        <v>2744</v>
      </c>
      <c r="G921" s="11" t="s">
        <v>2745</v>
      </c>
      <c r="H921" s="11" t="s">
        <v>2746</v>
      </c>
      <c r="I921" s="11" t="s">
        <v>151</v>
      </c>
    </row>
    <row r="922" spans="1:9" x14ac:dyDescent="0.15">
      <c r="A922" s="10">
        <v>921</v>
      </c>
      <c r="B922" s="11" t="s">
        <v>9</v>
      </c>
      <c r="C922" s="11" t="s">
        <v>179</v>
      </c>
      <c r="D922" s="11" t="s">
        <v>180</v>
      </c>
      <c r="E922" s="9" t="str">
        <f>+HYPERLINK("http://trademark.i-assist.jp/data/china/image_1908th/79830643.pdf", "79830643")</f>
        <v>79830643</v>
      </c>
      <c r="F922" s="11" t="s">
        <v>2747</v>
      </c>
      <c r="G922" s="11" t="s">
        <v>2622</v>
      </c>
      <c r="H922" s="11" t="s">
        <v>2748</v>
      </c>
      <c r="I922" s="11" t="s">
        <v>151</v>
      </c>
    </row>
    <row r="923" spans="1:9" x14ac:dyDescent="0.15">
      <c r="A923" s="10">
        <v>922</v>
      </c>
      <c r="B923" s="11" t="s">
        <v>9</v>
      </c>
      <c r="C923" s="11" t="s">
        <v>179</v>
      </c>
      <c r="D923" s="11" t="s">
        <v>180</v>
      </c>
      <c r="E923" s="9" t="str">
        <f>+HYPERLINK("http://trademark.i-assist.jp/data/china/image_1908th/79831099.pdf", "79831099")</f>
        <v>79831099</v>
      </c>
      <c r="F923" s="11" t="s">
        <v>2749</v>
      </c>
      <c r="G923" s="11" t="s">
        <v>2750</v>
      </c>
      <c r="H923" s="11" t="s">
        <v>2751</v>
      </c>
      <c r="I923" s="11" t="s">
        <v>151</v>
      </c>
    </row>
    <row r="924" spans="1:9" x14ac:dyDescent="0.15">
      <c r="A924" s="10">
        <v>923</v>
      </c>
      <c r="B924" s="11" t="s">
        <v>9</v>
      </c>
      <c r="C924" s="11" t="s">
        <v>179</v>
      </c>
      <c r="D924" s="11" t="s">
        <v>180</v>
      </c>
      <c r="E924" s="9" t="str">
        <f>+HYPERLINK("http://trademark.i-assist.jp/data/china/image_1908th/79831873.pdf", "79831873")</f>
        <v>79831873</v>
      </c>
      <c r="F924" s="11" t="s">
        <v>2752</v>
      </c>
      <c r="G924" s="11" t="s">
        <v>2753</v>
      </c>
      <c r="H924" s="11" t="s">
        <v>2754</v>
      </c>
      <c r="I924" s="11" t="s">
        <v>151</v>
      </c>
    </row>
    <row r="925" spans="1:9" x14ac:dyDescent="0.15">
      <c r="A925" s="10">
        <v>924</v>
      </c>
      <c r="B925" s="11" t="s">
        <v>9</v>
      </c>
      <c r="C925" s="11" t="s">
        <v>179</v>
      </c>
      <c r="D925" s="11" t="s">
        <v>180</v>
      </c>
      <c r="E925" s="9" t="str">
        <f>+HYPERLINK("http://trademark.i-assist.jp/data/china/image_1908th/79832032.pdf", "79832032")</f>
        <v>79832032</v>
      </c>
      <c r="F925" s="11" t="s">
        <v>2755</v>
      </c>
      <c r="G925" s="11" t="s">
        <v>2756</v>
      </c>
      <c r="H925" s="11" t="s">
        <v>2757</v>
      </c>
      <c r="I925" s="11" t="s">
        <v>151</v>
      </c>
    </row>
    <row r="926" spans="1:9" x14ac:dyDescent="0.15">
      <c r="A926" s="10">
        <v>925</v>
      </c>
      <c r="B926" s="11" t="s">
        <v>9</v>
      </c>
      <c r="C926" s="11" t="s">
        <v>179</v>
      </c>
      <c r="D926" s="11" t="s">
        <v>180</v>
      </c>
      <c r="E926" s="9" t="str">
        <f>+HYPERLINK("http://trademark.i-assist.jp/data/china/image_1908th/79832093.pdf", "79832093")</f>
        <v>79832093</v>
      </c>
      <c r="F926" s="11" t="s">
        <v>2758</v>
      </c>
      <c r="G926" s="11" t="s">
        <v>2759</v>
      </c>
      <c r="H926" s="11" t="s">
        <v>2760</v>
      </c>
      <c r="I926" s="11" t="s">
        <v>151</v>
      </c>
    </row>
    <row r="927" spans="1:9" x14ac:dyDescent="0.15">
      <c r="A927" s="10">
        <v>926</v>
      </c>
      <c r="B927" s="11" t="s">
        <v>9</v>
      </c>
      <c r="C927" s="11" t="s">
        <v>179</v>
      </c>
      <c r="D927" s="11" t="s">
        <v>180</v>
      </c>
      <c r="E927" s="9" t="str">
        <f>+HYPERLINK("http://trademark.i-assist.jp/data/china/image_1908th/79832861.pdf", "79832861")</f>
        <v>79832861</v>
      </c>
      <c r="F927" s="11" t="s">
        <v>2761</v>
      </c>
      <c r="G927" s="11" t="s">
        <v>2762</v>
      </c>
      <c r="H927" s="11" t="s">
        <v>2763</v>
      </c>
      <c r="I927" s="11" t="s">
        <v>154</v>
      </c>
    </row>
    <row r="928" spans="1:9" x14ac:dyDescent="0.15">
      <c r="A928" s="10">
        <v>927</v>
      </c>
      <c r="B928" s="11" t="s">
        <v>9</v>
      </c>
      <c r="C928" s="11" t="s">
        <v>179</v>
      </c>
      <c r="D928" s="11" t="s">
        <v>180</v>
      </c>
      <c r="E928" s="9" t="str">
        <f>+HYPERLINK("http://trademark.i-assist.jp/data/china/image_1908th/79833004.pdf", "79833004")</f>
        <v>79833004</v>
      </c>
      <c r="F928" s="11" t="s">
        <v>2764</v>
      </c>
      <c r="G928" s="11" t="s">
        <v>2765</v>
      </c>
      <c r="H928" s="11" t="s">
        <v>2766</v>
      </c>
      <c r="I928" s="11" t="s">
        <v>154</v>
      </c>
    </row>
    <row r="929" spans="1:9" x14ac:dyDescent="0.15">
      <c r="A929" s="10">
        <v>928</v>
      </c>
      <c r="B929" s="11" t="s">
        <v>9</v>
      </c>
      <c r="C929" s="11" t="s">
        <v>179</v>
      </c>
      <c r="D929" s="11" t="s">
        <v>180</v>
      </c>
      <c r="E929" s="9" t="str">
        <f>+HYPERLINK("http://trademark.i-assist.jp/data/china/image_1908th/79833379.pdf", "79833379")</f>
        <v>79833379</v>
      </c>
      <c r="F929" s="11" t="s">
        <v>2767</v>
      </c>
      <c r="G929" s="11" t="s">
        <v>2768</v>
      </c>
      <c r="H929" s="11" t="s">
        <v>2769</v>
      </c>
      <c r="I929" s="11" t="s">
        <v>154</v>
      </c>
    </row>
    <row r="930" spans="1:9" x14ac:dyDescent="0.15">
      <c r="A930" s="10">
        <v>929</v>
      </c>
      <c r="B930" s="11" t="s">
        <v>9</v>
      </c>
      <c r="C930" s="11" t="s">
        <v>179</v>
      </c>
      <c r="D930" s="11" t="s">
        <v>180</v>
      </c>
      <c r="E930" s="9" t="str">
        <f>+HYPERLINK("http://trademark.i-assist.jp/data/china/image_1908th/79833661.pdf", "79833661")</f>
        <v>79833661</v>
      </c>
      <c r="F930" s="11" t="s">
        <v>2770</v>
      </c>
      <c r="G930" s="11" t="s">
        <v>2771</v>
      </c>
      <c r="H930" s="11" t="s">
        <v>2772</v>
      </c>
      <c r="I930" s="11" t="s">
        <v>154</v>
      </c>
    </row>
    <row r="931" spans="1:9" x14ac:dyDescent="0.15">
      <c r="A931" s="10">
        <v>930</v>
      </c>
      <c r="B931" s="11" t="s">
        <v>9</v>
      </c>
      <c r="C931" s="11" t="s">
        <v>179</v>
      </c>
      <c r="D931" s="11" t="s">
        <v>180</v>
      </c>
      <c r="E931" s="9" t="str">
        <f>+HYPERLINK("http://trademark.i-assist.jp/data/china/image_1908th/79834180.pdf", "79834180")</f>
        <v>79834180</v>
      </c>
      <c r="F931" s="11" t="s">
        <v>2773</v>
      </c>
      <c r="G931" s="11" t="s">
        <v>2774</v>
      </c>
      <c r="H931" s="11" t="s">
        <v>2775</v>
      </c>
      <c r="I931" s="11" t="s">
        <v>154</v>
      </c>
    </row>
    <row r="932" spans="1:9" x14ac:dyDescent="0.15">
      <c r="A932" s="10">
        <v>931</v>
      </c>
      <c r="B932" s="11" t="s">
        <v>9</v>
      </c>
      <c r="C932" s="11" t="s">
        <v>179</v>
      </c>
      <c r="D932" s="11" t="s">
        <v>180</v>
      </c>
      <c r="E932" s="9" t="str">
        <f>+HYPERLINK("http://trademark.i-assist.jp/data/china/image_1908th/79834376.pdf", "79834376")</f>
        <v>79834376</v>
      </c>
      <c r="F932" s="11" t="s">
        <v>2776</v>
      </c>
      <c r="G932" s="11" t="s">
        <v>2777</v>
      </c>
      <c r="H932" s="11" t="s">
        <v>2778</v>
      </c>
      <c r="I932" s="11" t="s">
        <v>154</v>
      </c>
    </row>
    <row r="933" spans="1:9" x14ac:dyDescent="0.15">
      <c r="A933" s="10">
        <v>932</v>
      </c>
      <c r="B933" s="11" t="s">
        <v>9</v>
      </c>
      <c r="C933" s="11" t="s">
        <v>179</v>
      </c>
      <c r="D933" s="11" t="s">
        <v>180</v>
      </c>
      <c r="E933" s="9" t="str">
        <f>+HYPERLINK("http://trademark.i-assist.jp/data/china/image_1908th/79834379.pdf", "79834379")</f>
        <v>79834379</v>
      </c>
      <c r="F933" s="11" t="s">
        <v>2779</v>
      </c>
      <c r="G933" s="11" t="s">
        <v>2780</v>
      </c>
      <c r="H933" s="11" t="s">
        <v>2781</v>
      </c>
      <c r="I933" s="11" t="s">
        <v>154</v>
      </c>
    </row>
    <row r="934" spans="1:9" x14ac:dyDescent="0.15">
      <c r="A934" s="10">
        <v>933</v>
      </c>
      <c r="B934" s="11" t="s">
        <v>9</v>
      </c>
      <c r="C934" s="11" t="s">
        <v>179</v>
      </c>
      <c r="D934" s="11" t="s">
        <v>180</v>
      </c>
      <c r="E934" s="9" t="str">
        <f>+HYPERLINK("http://trademark.i-assist.jp/data/china/image_1908th/79834400.pdf", "79834400")</f>
        <v>79834400</v>
      </c>
      <c r="F934" s="11" t="s">
        <v>2782</v>
      </c>
      <c r="G934" s="11" t="s">
        <v>2783</v>
      </c>
      <c r="H934" s="11" t="s">
        <v>2784</v>
      </c>
      <c r="I934" s="11" t="s">
        <v>154</v>
      </c>
    </row>
    <row r="935" spans="1:9" x14ac:dyDescent="0.15">
      <c r="A935" s="10">
        <v>934</v>
      </c>
      <c r="B935" s="11" t="s">
        <v>9</v>
      </c>
      <c r="C935" s="11" t="s">
        <v>179</v>
      </c>
      <c r="D935" s="11" t="s">
        <v>180</v>
      </c>
      <c r="E935" s="9" t="str">
        <f>+HYPERLINK("http://trademark.i-assist.jp/data/china/image_1908th/79834994.pdf", "79834994")</f>
        <v>79834994</v>
      </c>
      <c r="F935" s="11" t="s">
        <v>2785</v>
      </c>
      <c r="G935" s="11" t="s">
        <v>2786</v>
      </c>
      <c r="H935" s="11" t="s">
        <v>2787</v>
      </c>
      <c r="I935" s="11" t="s">
        <v>154</v>
      </c>
    </row>
    <row r="936" spans="1:9" x14ac:dyDescent="0.15">
      <c r="A936" s="10">
        <v>935</v>
      </c>
      <c r="B936" s="11" t="s">
        <v>9</v>
      </c>
      <c r="C936" s="11" t="s">
        <v>179</v>
      </c>
      <c r="D936" s="11" t="s">
        <v>180</v>
      </c>
      <c r="E936" s="9" t="str">
        <f>+HYPERLINK("http://trademark.i-assist.jp/data/china/image_1908th/79834997.pdf", "79834997")</f>
        <v>79834997</v>
      </c>
      <c r="F936" s="11" t="s">
        <v>2788</v>
      </c>
      <c r="G936" s="11" t="s">
        <v>2786</v>
      </c>
      <c r="H936" s="11" t="s">
        <v>2789</v>
      </c>
      <c r="I936" s="11" t="s">
        <v>154</v>
      </c>
    </row>
    <row r="937" spans="1:9" x14ac:dyDescent="0.15">
      <c r="A937" s="10">
        <v>936</v>
      </c>
      <c r="B937" s="11" t="s">
        <v>9</v>
      </c>
      <c r="C937" s="11" t="s">
        <v>179</v>
      </c>
      <c r="D937" s="11" t="s">
        <v>180</v>
      </c>
      <c r="E937" s="9" t="str">
        <f>+HYPERLINK("http://trademark.i-assist.jp/data/china/image_1908th/79835447.pdf", "79835447")</f>
        <v>79835447</v>
      </c>
      <c r="F937" s="11" t="s">
        <v>2790</v>
      </c>
      <c r="G937" s="11" t="s">
        <v>2791</v>
      </c>
      <c r="H937" s="11" t="s">
        <v>2792</v>
      </c>
      <c r="I937" s="11" t="s">
        <v>154</v>
      </c>
    </row>
    <row r="938" spans="1:9" x14ac:dyDescent="0.15">
      <c r="A938" s="10">
        <v>937</v>
      </c>
      <c r="B938" s="11" t="s">
        <v>9</v>
      </c>
      <c r="C938" s="11" t="s">
        <v>179</v>
      </c>
      <c r="D938" s="11" t="s">
        <v>180</v>
      </c>
      <c r="E938" s="9" t="str">
        <f>+HYPERLINK("http://trademark.i-assist.jp/data/china/image_1908th/79836793.pdf", "79836793")</f>
        <v>79836793</v>
      </c>
      <c r="F938" s="11" t="s">
        <v>2793</v>
      </c>
      <c r="G938" s="11" t="s">
        <v>2794</v>
      </c>
      <c r="H938" s="11" t="s">
        <v>2795</v>
      </c>
      <c r="I938" s="11" t="s">
        <v>154</v>
      </c>
    </row>
    <row r="939" spans="1:9" x14ac:dyDescent="0.15">
      <c r="A939" s="10">
        <v>938</v>
      </c>
      <c r="B939" s="11" t="s">
        <v>9</v>
      </c>
      <c r="C939" s="11" t="s">
        <v>179</v>
      </c>
      <c r="D939" s="11" t="s">
        <v>180</v>
      </c>
      <c r="E939" s="9" t="str">
        <f>+HYPERLINK("http://trademark.i-assist.jp/data/china/image_1908th/79837064.pdf", "79837064")</f>
        <v>79837064</v>
      </c>
      <c r="F939" s="11" t="s">
        <v>2796</v>
      </c>
      <c r="G939" s="11" t="s">
        <v>2797</v>
      </c>
      <c r="H939" s="11" t="s">
        <v>2798</v>
      </c>
      <c r="I939" s="11" t="s">
        <v>154</v>
      </c>
    </row>
    <row r="940" spans="1:9" x14ac:dyDescent="0.15">
      <c r="A940" s="10">
        <v>939</v>
      </c>
      <c r="B940" s="11" t="s">
        <v>9</v>
      </c>
      <c r="C940" s="11" t="s">
        <v>179</v>
      </c>
      <c r="D940" s="11" t="s">
        <v>180</v>
      </c>
      <c r="E940" s="9" t="str">
        <f>+HYPERLINK("http://trademark.i-assist.jp/data/china/image_1908th/79837357.pdf", "79837357")</f>
        <v>79837357</v>
      </c>
      <c r="F940" s="11" t="s">
        <v>2799</v>
      </c>
      <c r="G940" s="11" t="s">
        <v>2800</v>
      </c>
      <c r="H940" s="11" t="s">
        <v>2801</v>
      </c>
      <c r="I940" s="11" t="s">
        <v>154</v>
      </c>
    </row>
    <row r="941" spans="1:9" x14ac:dyDescent="0.15">
      <c r="A941" s="10">
        <v>940</v>
      </c>
      <c r="B941" s="11" t="s">
        <v>9</v>
      </c>
      <c r="C941" s="11" t="s">
        <v>179</v>
      </c>
      <c r="D941" s="11" t="s">
        <v>180</v>
      </c>
      <c r="E941" s="9" t="str">
        <f>+HYPERLINK("http://trademark.i-assist.jp/data/china/image_1908th/79837880.pdf", "79837880")</f>
        <v>79837880</v>
      </c>
      <c r="F941" s="11" t="s">
        <v>2802</v>
      </c>
      <c r="G941" s="11" t="s">
        <v>2803</v>
      </c>
      <c r="H941" s="11" t="s">
        <v>2804</v>
      </c>
      <c r="I941" s="11" t="s">
        <v>154</v>
      </c>
    </row>
    <row r="942" spans="1:9" x14ac:dyDescent="0.15">
      <c r="A942" s="10">
        <v>941</v>
      </c>
      <c r="B942" s="11" t="s">
        <v>9</v>
      </c>
      <c r="C942" s="11" t="s">
        <v>179</v>
      </c>
      <c r="D942" s="11" t="s">
        <v>180</v>
      </c>
      <c r="E942" s="9" t="str">
        <f>+HYPERLINK("http://trademark.i-assist.jp/data/china/image_1908th/79838220.pdf", "79838220")</f>
        <v>79838220</v>
      </c>
      <c r="F942" s="11" t="s">
        <v>2805</v>
      </c>
      <c r="G942" s="11" t="s">
        <v>2806</v>
      </c>
      <c r="H942" s="11" t="s">
        <v>2807</v>
      </c>
      <c r="I942" s="11" t="s">
        <v>154</v>
      </c>
    </row>
    <row r="943" spans="1:9" x14ac:dyDescent="0.15">
      <c r="A943" s="10">
        <v>942</v>
      </c>
      <c r="B943" s="11" t="s">
        <v>9</v>
      </c>
      <c r="C943" s="11" t="s">
        <v>179</v>
      </c>
      <c r="D943" s="11" t="s">
        <v>180</v>
      </c>
      <c r="E943" s="9" t="str">
        <f>+HYPERLINK("http://trademark.i-assist.jp/data/china/image_1908th/79838512.pdf", "79838512")</f>
        <v>79838512</v>
      </c>
      <c r="F943" s="11" t="s">
        <v>2808</v>
      </c>
      <c r="G943" s="11" t="s">
        <v>2809</v>
      </c>
      <c r="H943" s="11" t="s">
        <v>2810</v>
      </c>
      <c r="I943" s="11" t="s">
        <v>154</v>
      </c>
    </row>
    <row r="944" spans="1:9" x14ac:dyDescent="0.15">
      <c r="A944" s="10">
        <v>943</v>
      </c>
      <c r="B944" s="11" t="s">
        <v>9</v>
      </c>
      <c r="C944" s="11" t="s">
        <v>179</v>
      </c>
      <c r="D944" s="11" t="s">
        <v>180</v>
      </c>
      <c r="E944" s="9" t="str">
        <f>+HYPERLINK("http://trademark.i-assist.jp/data/china/image_1908th/79838807.pdf", "79838807")</f>
        <v>79838807</v>
      </c>
      <c r="F944" s="11" t="s">
        <v>2811</v>
      </c>
      <c r="G944" s="11" t="s">
        <v>2812</v>
      </c>
      <c r="H944" s="11" t="s">
        <v>2813</v>
      </c>
      <c r="I944" s="11" t="s">
        <v>154</v>
      </c>
    </row>
    <row r="945" spans="1:9" x14ac:dyDescent="0.15">
      <c r="A945" s="10">
        <v>944</v>
      </c>
      <c r="B945" s="11" t="s">
        <v>9</v>
      </c>
      <c r="C945" s="11" t="s">
        <v>179</v>
      </c>
      <c r="D945" s="11" t="s">
        <v>180</v>
      </c>
      <c r="E945" s="9" t="str">
        <f>+HYPERLINK("http://trademark.i-assist.jp/data/china/image_1908th/79838815.pdf", "79838815")</f>
        <v>79838815</v>
      </c>
      <c r="F945" s="11" t="s">
        <v>2814</v>
      </c>
      <c r="G945" s="11" t="s">
        <v>2815</v>
      </c>
      <c r="H945" s="11" t="s">
        <v>2816</v>
      </c>
      <c r="I945" s="11" t="s">
        <v>154</v>
      </c>
    </row>
    <row r="946" spans="1:9" x14ac:dyDescent="0.15">
      <c r="A946" s="10">
        <v>945</v>
      </c>
      <c r="B946" s="11" t="s">
        <v>9</v>
      </c>
      <c r="C946" s="11" t="s">
        <v>179</v>
      </c>
      <c r="D946" s="11" t="s">
        <v>180</v>
      </c>
      <c r="E946" s="9" t="str">
        <f>+HYPERLINK("http://trademark.i-assist.jp/data/china/image_1908th/79839460.pdf", "79839460")</f>
        <v>79839460</v>
      </c>
      <c r="F946" s="11" t="s">
        <v>2817</v>
      </c>
      <c r="G946" s="11" t="s">
        <v>2818</v>
      </c>
      <c r="H946" s="11" t="s">
        <v>2819</v>
      </c>
      <c r="I946" s="11" t="s">
        <v>154</v>
      </c>
    </row>
    <row r="947" spans="1:9" x14ac:dyDescent="0.15">
      <c r="A947" s="10">
        <v>946</v>
      </c>
      <c r="B947" s="11" t="s">
        <v>9</v>
      </c>
      <c r="C947" s="11" t="s">
        <v>179</v>
      </c>
      <c r="D947" s="11" t="s">
        <v>180</v>
      </c>
      <c r="E947" s="9" t="str">
        <f>+HYPERLINK("http://trademark.i-assist.jp/data/china/image_1908th/79839689.pdf", "79839689")</f>
        <v>79839689</v>
      </c>
      <c r="F947" s="11" t="s">
        <v>2820</v>
      </c>
      <c r="G947" s="11" t="s">
        <v>2821</v>
      </c>
      <c r="H947" s="11" t="s">
        <v>2822</v>
      </c>
      <c r="I947" s="11" t="s">
        <v>154</v>
      </c>
    </row>
    <row r="948" spans="1:9" x14ac:dyDescent="0.15">
      <c r="A948" s="10">
        <v>947</v>
      </c>
      <c r="B948" s="11" t="s">
        <v>9</v>
      </c>
      <c r="C948" s="11" t="s">
        <v>179</v>
      </c>
      <c r="D948" s="11" t="s">
        <v>180</v>
      </c>
      <c r="E948" s="9" t="str">
        <f>+HYPERLINK("http://trademark.i-assist.jp/data/china/image_1908th/79840204.pdf", "79840204")</f>
        <v>79840204</v>
      </c>
      <c r="F948" s="11" t="s">
        <v>2823</v>
      </c>
      <c r="G948" s="11" t="s">
        <v>2824</v>
      </c>
      <c r="H948" s="11" t="s">
        <v>2825</v>
      </c>
      <c r="I948" s="11" t="s">
        <v>154</v>
      </c>
    </row>
    <row r="949" spans="1:9" x14ac:dyDescent="0.15">
      <c r="A949" s="10">
        <v>948</v>
      </c>
      <c r="B949" s="11" t="s">
        <v>9</v>
      </c>
      <c r="C949" s="11" t="s">
        <v>179</v>
      </c>
      <c r="D949" s="11" t="s">
        <v>180</v>
      </c>
      <c r="E949" s="9" t="str">
        <f>+HYPERLINK("http://trademark.i-assist.jp/data/china/image_1908th/79840590.pdf", "79840590")</f>
        <v>79840590</v>
      </c>
      <c r="F949" s="11" t="s">
        <v>2826</v>
      </c>
      <c r="G949" s="11" t="s">
        <v>39</v>
      </c>
      <c r="H949" s="11" t="s">
        <v>2827</v>
      </c>
      <c r="I949" s="11" t="s">
        <v>154</v>
      </c>
    </row>
    <row r="950" spans="1:9" x14ac:dyDescent="0.15">
      <c r="A950" s="10">
        <v>949</v>
      </c>
      <c r="B950" s="11" t="s">
        <v>9</v>
      </c>
      <c r="C950" s="11" t="s">
        <v>179</v>
      </c>
      <c r="D950" s="11" t="s">
        <v>180</v>
      </c>
      <c r="E950" s="9" t="str">
        <f>+HYPERLINK("http://trademark.i-assist.jp/data/china/image_1908th/79840609.pdf", "79840609")</f>
        <v>79840609</v>
      </c>
      <c r="F950" s="11" t="s">
        <v>2828</v>
      </c>
      <c r="G950" s="11" t="s">
        <v>39</v>
      </c>
      <c r="H950" s="11" t="s">
        <v>2829</v>
      </c>
      <c r="I950" s="11" t="s">
        <v>154</v>
      </c>
    </row>
    <row r="951" spans="1:9" x14ac:dyDescent="0.15">
      <c r="A951" s="10">
        <v>950</v>
      </c>
      <c r="B951" s="11" t="s">
        <v>9</v>
      </c>
      <c r="C951" s="11" t="s">
        <v>179</v>
      </c>
      <c r="D951" s="11" t="s">
        <v>180</v>
      </c>
      <c r="E951" s="9" t="str">
        <f>+HYPERLINK("http://trademark.i-assist.jp/data/china/image_1908th/79840894.pdf", "79840894")</f>
        <v>79840894</v>
      </c>
      <c r="F951" s="11" t="s">
        <v>2830</v>
      </c>
      <c r="G951" s="11" t="s">
        <v>2831</v>
      </c>
      <c r="H951" s="11" t="s">
        <v>2832</v>
      </c>
      <c r="I951" s="11" t="s">
        <v>154</v>
      </c>
    </row>
    <row r="952" spans="1:9" x14ac:dyDescent="0.15">
      <c r="A952" s="10">
        <v>951</v>
      </c>
      <c r="B952" s="11" t="s">
        <v>9</v>
      </c>
      <c r="C952" s="11" t="s">
        <v>179</v>
      </c>
      <c r="D952" s="11" t="s">
        <v>180</v>
      </c>
      <c r="E952" s="9" t="str">
        <f>+HYPERLINK("http://trademark.i-assist.jp/data/china/image_1908th/79841282.pdf", "79841282")</f>
        <v>79841282</v>
      </c>
      <c r="F952" s="11" t="s">
        <v>2833</v>
      </c>
      <c r="G952" s="11" t="s">
        <v>2834</v>
      </c>
      <c r="H952" s="11" t="s">
        <v>2835</v>
      </c>
      <c r="I952" s="11" t="s">
        <v>154</v>
      </c>
    </row>
    <row r="953" spans="1:9" x14ac:dyDescent="0.15">
      <c r="A953" s="10">
        <v>952</v>
      </c>
      <c r="B953" s="11" t="s">
        <v>9</v>
      </c>
      <c r="C953" s="11" t="s">
        <v>179</v>
      </c>
      <c r="D953" s="11" t="s">
        <v>180</v>
      </c>
      <c r="E953" s="9" t="str">
        <f>+HYPERLINK("http://trademark.i-assist.jp/data/china/image_1908th/79841415.pdf", "79841415")</f>
        <v>79841415</v>
      </c>
      <c r="F953" s="11" t="s">
        <v>2836</v>
      </c>
      <c r="G953" s="11" t="s">
        <v>2837</v>
      </c>
      <c r="H953" s="11" t="s">
        <v>2838</v>
      </c>
      <c r="I953" s="11" t="s">
        <v>154</v>
      </c>
    </row>
    <row r="954" spans="1:9" x14ac:dyDescent="0.15">
      <c r="A954" s="10">
        <v>953</v>
      </c>
      <c r="B954" s="11" t="s">
        <v>9</v>
      </c>
      <c r="C954" s="11" t="s">
        <v>179</v>
      </c>
      <c r="D954" s="11" t="s">
        <v>180</v>
      </c>
      <c r="E954" s="9" t="str">
        <f>+HYPERLINK("http://trademark.i-assist.jp/data/china/image_1908th/79841484.pdf", "79841484")</f>
        <v>79841484</v>
      </c>
      <c r="F954" s="11" t="s">
        <v>2839</v>
      </c>
      <c r="G954" s="11" t="s">
        <v>2840</v>
      </c>
      <c r="H954" s="11" t="s">
        <v>2841</v>
      </c>
      <c r="I954" s="11" t="s">
        <v>154</v>
      </c>
    </row>
    <row r="955" spans="1:9" x14ac:dyDescent="0.15">
      <c r="A955" s="10">
        <v>954</v>
      </c>
      <c r="B955" s="11" t="s">
        <v>9</v>
      </c>
      <c r="C955" s="11" t="s">
        <v>179</v>
      </c>
      <c r="D955" s="11" t="s">
        <v>180</v>
      </c>
      <c r="E955" s="9" t="str">
        <f>+HYPERLINK("http://trademark.i-assist.jp/data/china/image_1908th/79841758.pdf", "79841758")</f>
        <v>79841758</v>
      </c>
      <c r="F955" s="11" t="s">
        <v>2842</v>
      </c>
      <c r="G955" s="11" t="s">
        <v>2843</v>
      </c>
      <c r="H955" s="11" t="s">
        <v>2844</v>
      </c>
      <c r="I955" s="11" t="s">
        <v>154</v>
      </c>
    </row>
    <row r="956" spans="1:9" x14ac:dyDescent="0.15">
      <c r="A956" s="10">
        <v>955</v>
      </c>
      <c r="B956" s="11" t="s">
        <v>9</v>
      </c>
      <c r="C956" s="11" t="s">
        <v>179</v>
      </c>
      <c r="D956" s="11" t="s">
        <v>180</v>
      </c>
      <c r="E956" s="9" t="str">
        <f>+HYPERLINK("http://trademark.i-assist.jp/data/china/image_1908th/79842367.pdf", "79842367")</f>
        <v>79842367</v>
      </c>
      <c r="F956" s="11" t="s">
        <v>2845</v>
      </c>
      <c r="G956" s="11" t="s">
        <v>2846</v>
      </c>
      <c r="H956" s="11" t="s">
        <v>2847</v>
      </c>
      <c r="I956" s="11" t="s">
        <v>154</v>
      </c>
    </row>
    <row r="957" spans="1:9" x14ac:dyDescent="0.15">
      <c r="A957" s="10">
        <v>956</v>
      </c>
      <c r="B957" s="11" t="s">
        <v>9</v>
      </c>
      <c r="C957" s="11" t="s">
        <v>179</v>
      </c>
      <c r="D957" s="11" t="s">
        <v>180</v>
      </c>
      <c r="E957" s="9" t="str">
        <f>+HYPERLINK("http://trademark.i-assist.jp/data/china/image_1908th/79842835.pdf", "79842835")</f>
        <v>79842835</v>
      </c>
      <c r="F957" s="11" t="s">
        <v>2848</v>
      </c>
      <c r="G957" s="11" t="s">
        <v>2786</v>
      </c>
      <c r="H957" s="11" t="s">
        <v>2849</v>
      </c>
      <c r="I957" s="11" t="s">
        <v>154</v>
      </c>
    </row>
    <row r="958" spans="1:9" x14ac:dyDescent="0.15">
      <c r="A958" s="10">
        <v>957</v>
      </c>
      <c r="B958" s="11" t="s">
        <v>9</v>
      </c>
      <c r="C958" s="11" t="s">
        <v>179</v>
      </c>
      <c r="D958" s="11" t="s">
        <v>180</v>
      </c>
      <c r="E958" s="9" t="str">
        <f>+HYPERLINK("http://trademark.i-assist.jp/data/china/image_1908th/79843049.pdf", "79843049")</f>
        <v>79843049</v>
      </c>
      <c r="F958" s="11" t="s">
        <v>2850</v>
      </c>
      <c r="G958" s="11" t="s">
        <v>2851</v>
      </c>
      <c r="H958" s="11" t="s">
        <v>2852</v>
      </c>
      <c r="I958" s="11" t="s">
        <v>154</v>
      </c>
    </row>
    <row r="959" spans="1:9" x14ac:dyDescent="0.15">
      <c r="A959" s="10">
        <v>958</v>
      </c>
      <c r="B959" s="11" t="s">
        <v>9</v>
      </c>
      <c r="C959" s="11" t="s">
        <v>179</v>
      </c>
      <c r="D959" s="11" t="s">
        <v>180</v>
      </c>
      <c r="E959" s="9" t="str">
        <f>+HYPERLINK("http://trademark.i-assist.jp/data/china/image_1908th/79843065.pdf", "79843065")</f>
        <v>79843065</v>
      </c>
      <c r="F959" s="11" t="s">
        <v>2853</v>
      </c>
      <c r="G959" s="11" t="s">
        <v>2854</v>
      </c>
      <c r="H959" s="11" t="s">
        <v>2855</v>
      </c>
      <c r="I959" s="11" t="s">
        <v>154</v>
      </c>
    </row>
    <row r="960" spans="1:9" x14ac:dyDescent="0.15">
      <c r="A960" s="10">
        <v>959</v>
      </c>
      <c r="B960" s="11" t="s">
        <v>9</v>
      </c>
      <c r="C960" s="11" t="s">
        <v>179</v>
      </c>
      <c r="D960" s="11" t="s">
        <v>180</v>
      </c>
      <c r="E960" s="9" t="str">
        <f>+HYPERLINK("http://trademark.i-assist.jp/data/china/image_1908th/79843424.pdf", "79843424")</f>
        <v>79843424</v>
      </c>
      <c r="F960" s="11" t="s">
        <v>2856</v>
      </c>
      <c r="G960" s="11" t="s">
        <v>21</v>
      </c>
      <c r="H960" s="11" t="s">
        <v>2857</v>
      </c>
      <c r="I960" s="11" t="s">
        <v>154</v>
      </c>
    </row>
    <row r="961" spans="1:9" x14ac:dyDescent="0.15">
      <c r="A961" s="10">
        <v>960</v>
      </c>
      <c r="B961" s="11" t="s">
        <v>9</v>
      </c>
      <c r="C961" s="11" t="s">
        <v>179</v>
      </c>
      <c r="D961" s="11" t="s">
        <v>180</v>
      </c>
      <c r="E961" s="9" t="str">
        <f>+HYPERLINK("http://trademark.i-assist.jp/data/china/image_1908th/79843455.pdf", "79843455")</f>
        <v>79843455</v>
      </c>
      <c r="F961" s="11" t="s">
        <v>2858</v>
      </c>
      <c r="G961" s="11" t="s">
        <v>21</v>
      </c>
      <c r="H961" s="11" t="s">
        <v>2859</v>
      </c>
      <c r="I961" s="11" t="s">
        <v>154</v>
      </c>
    </row>
    <row r="962" spans="1:9" x14ac:dyDescent="0.15">
      <c r="A962" s="10">
        <v>961</v>
      </c>
      <c r="B962" s="11" t="s">
        <v>9</v>
      </c>
      <c r="C962" s="11" t="s">
        <v>179</v>
      </c>
      <c r="D962" s="11" t="s">
        <v>180</v>
      </c>
      <c r="E962" s="9" t="str">
        <f>+HYPERLINK("http://trademark.i-assist.jp/data/china/image_1908th/79843874.pdf", "79843874")</f>
        <v>79843874</v>
      </c>
      <c r="F962" s="11" t="s">
        <v>2860</v>
      </c>
      <c r="G962" s="11" t="s">
        <v>2861</v>
      </c>
      <c r="H962" s="11" t="s">
        <v>2862</v>
      </c>
      <c r="I962" s="11" t="s">
        <v>154</v>
      </c>
    </row>
    <row r="963" spans="1:9" x14ac:dyDescent="0.15">
      <c r="A963" s="10">
        <v>962</v>
      </c>
      <c r="B963" s="11" t="s">
        <v>9</v>
      </c>
      <c r="C963" s="11" t="s">
        <v>179</v>
      </c>
      <c r="D963" s="11" t="s">
        <v>180</v>
      </c>
      <c r="E963" s="9" t="str">
        <f>+HYPERLINK("http://trademark.i-assist.jp/data/china/image_1908th/79843937.pdf", "79843937")</f>
        <v>79843937</v>
      </c>
      <c r="F963" s="11" t="s">
        <v>2863</v>
      </c>
      <c r="G963" s="11" t="s">
        <v>2864</v>
      </c>
      <c r="H963" s="11" t="s">
        <v>2865</v>
      </c>
      <c r="I963" s="11" t="s">
        <v>154</v>
      </c>
    </row>
    <row r="964" spans="1:9" x14ac:dyDescent="0.15">
      <c r="A964" s="10">
        <v>963</v>
      </c>
      <c r="B964" s="11" t="s">
        <v>9</v>
      </c>
      <c r="C964" s="11" t="s">
        <v>179</v>
      </c>
      <c r="D964" s="11" t="s">
        <v>180</v>
      </c>
      <c r="E964" s="9" t="str">
        <f>+HYPERLINK("http://trademark.i-assist.jp/data/china/image_1908th/79843978.pdf", "79843978")</f>
        <v>79843978</v>
      </c>
      <c r="F964" s="11" t="s">
        <v>2866</v>
      </c>
      <c r="G964" s="11" t="s">
        <v>2867</v>
      </c>
      <c r="H964" s="11" t="s">
        <v>2868</v>
      </c>
      <c r="I964" s="11" t="s">
        <v>154</v>
      </c>
    </row>
    <row r="965" spans="1:9" x14ac:dyDescent="0.15">
      <c r="A965" s="10">
        <v>964</v>
      </c>
      <c r="B965" s="11" t="s">
        <v>9</v>
      </c>
      <c r="C965" s="11" t="s">
        <v>179</v>
      </c>
      <c r="D965" s="11" t="s">
        <v>180</v>
      </c>
      <c r="E965" s="9" t="str">
        <f>+HYPERLINK("http://trademark.i-assist.jp/data/china/image_1908th/79844453.pdf", "79844453")</f>
        <v>79844453</v>
      </c>
      <c r="F965" s="11" t="s">
        <v>2869</v>
      </c>
      <c r="G965" s="11" t="s">
        <v>2870</v>
      </c>
      <c r="H965" s="11" t="s">
        <v>2871</v>
      </c>
      <c r="I965" s="11" t="s">
        <v>154</v>
      </c>
    </row>
    <row r="966" spans="1:9" x14ac:dyDescent="0.15">
      <c r="A966" s="10">
        <v>965</v>
      </c>
      <c r="B966" s="11" t="s">
        <v>9</v>
      </c>
      <c r="C966" s="11" t="s">
        <v>179</v>
      </c>
      <c r="D966" s="11" t="s">
        <v>180</v>
      </c>
      <c r="E966" s="9" t="str">
        <f>+HYPERLINK("http://trademark.i-assist.jp/data/china/image_1908th/79844510.pdf", "79844510")</f>
        <v>79844510</v>
      </c>
      <c r="F966" s="11" t="s">
        <v>2872</v>
      </c>
      <c r="G966" s="11" t="s">
        <v>39</v>
      </c>
      <c r="H966" s="11" t="s">
        <v>2873</v>
      </c>
      <c r="I966" s="11" t="s">
        <v>154</v>
      </c>
    </row>
    <row r="967" spans="1:9" x14ac:dyDescent="0.15">
      <c r="A967" s="10">
        <v>966</v>
      </c>
      <c r="B967" s="11" t="s">
        <v>9</v>
      </c>
      <c r="C967" s="11" t="s">
        <v>179</v>
      </c>
      <c r="D967" s="11" t="s">
        <v>180</v>
      </c>
      <c r="E967" s="9" t="str">
        <f>+HYPERLINK("http://trademark.i-assist.jp/data/china/image_1908th/79844783.pdf", "79844783")</f>
        <v>79844783</v>
      </c>
      <c r="F967" s="11" t="s">
        <v>2874</v>
      </c>
      <c r="G967" s="11" t="s">
        <v>124</v>
      </c>
      <c r="H967" s="11" t="s">
        <v>2875</v>
      </c>
      <c r="I967" s="11" t="s">
        <v>154</v>
      </c>
    </row>
    <row r="968" spans="1:9" x14ac:dyDescent="0.15">
      <c r="A968" s="10">
        <v>967</v>
      </c>
      <c r="B968" s="11" t="s">
        <v>9</v>
      </c>
      <c r="C968" s="11" t="s">
        <v>179</v>
      </c>
      <c r="D968" s="11" t="s">
        <v>180</v>
      </c>
      <c r="E968" s="9" t="str">
        <f>+HYPERLINK("http://trademark.i-assist.jp/data/china/image_1908th/79845184.pdf", "79845184")</f>
        <v>79845184</v>
      </c>
      <c r="F968" s="11" t="s">
        <v>2876</v>
      </c>
      <c r="G968" s="11" t="s">
        <v>2877</v>
      </c>
      <c r="H968" s="11" t="s">
        <v>2878</v>
      </c>
      <c r="I968" s="11" t="s">
        <v>154</v>
      </c>
    </row>
    <row r="969" spans="1:9" x14ac:dyDescent="0.15">
      <c r="A969" s="10">
        <v>968</v>
      </c>
      <c r="B969" s="11" t="s">
        <v>9</v>
      </c>
      <c r="C969" s="11" t="s">
        <v>179</v>
      </c>
      <c r="D969" s="11" t="s">
        <v>180</v>
      </c>
      <c r="E969" s="9" t="str">
        <f>+HYPERLINK("http://trademark.i-assist.jp/data/china/image_1908th/79845236.pdf", "79845236")</f>
        <v>79845236</v>
      </c>
      <c r="F969" s="11" t="s">
        <v>2879</v>
      </c>
      <c r="G969" s="11" t="s">
        <v>2867</v>
      </c>
      <c r="H969" s="11" t="s">
        <v>2880</v>
      </c>
      <c r="I969" s="11" t="s">
        <v>154</v>
      </c>
    </row>
    <row r="970" spans="1:9" x14ac:dyDescent="0.15">
      <c r="A970" s="10">
        <v>969</v>
      </c>
      <c r="B970" s="11" t="s">
        <v>9</v>
      </c>
      <c r="C970" s="11" t="s">
        <v>179</v>
      </c>
      <c r="D970" s="11" t="s">
        <v>180</v>
      </c>
      <c r="E970" s="9" t="str">
        <f>+HYPERLINK("http://trademark.i-assist.jp/data/china/image_1908th/79845305.pdf", "79845305")</f>
        <v>79845305</v>
      </c>
      <c r="F970" s="11" t="s">
        <v>10</v>
      </c>
      <c r="G970" s="11" t="s">
        <v>2881</v>
      </c>
      <c r="H970" s="11" t="s">
        <v>2882</v>
      </c>
      <c r="I970" s="11" t="s">
        <v>154</v>
      </c>
    </row>
    <row r="971" spans="1:9" x14ac:dyDescent="0.15">
      <c r="A971" s="10">
        <v>970</v>
      </c>
      <c r="B971" s="11" t="s">
        <v>9</v>
      </c>
      <c r="C971" s="11" t="s">
        <v>179</v>
      </c>
      <c r="D971" s="11" t="s">
        <v>180</v>
      </c>
      <c r="E971" s="9" t="str">
        <f>+HYPERLINK("http://trademark.i-assist.jp/data/china/image_1908th/79845311.pdf", "79845311")</f>
        <v>79845311</v>
      </c>
      <c r="F971" s="11" t="s">
        <v>2883</v>
      </c>
      <c r="G971" s="11" t="s">
        <v>2447</v>
      </c>
      <c r="H971" s="11" t="s">
        <v>2884</v>
      </c>
      <c r="I971" s="11" t="s">
        <v>154</v>
      </c>
    </row>
    <row r="972" spans="1:9" x14ac:dyDescent="0.15">
      <c r="A972" s="10">
        <v>971</v>
      </c>
      <c r="B972" s="11" t="s">
        <v>9</v>
      </c>
      <c r="C972" s="11" t="s">
        <v>179</v>
      </c>
      <c r="D972" s="11" t="s">
        <v>180</v>
      </c>
      <c r="E972" s="9" t="str">
        <f>+HYPERLINK("http://trademark.i-assist.jp/data/china/image_1908th/79845325.pdf", "79845325")</f>
        <v>79845325</v>
      </c>
      <c r="F972" s="11" t="s">
        <v>2885</v>
      </c>
      <c r="G972" s="11" t="s">
        <v>2886</v>
      </c>
      <c r="H972" s="11" t="s">
        <v>2887</v>
      </c>
      <c r="I972" s="11" t="s">
        <v>154</v>
      </c>
    </row>
    <row r="973" spans="1:9" x14ac:dyDescent="0.15">
      <c r="A973" s="10">
        <v>972</v>
      </c>
      <c r="B973" s="11" t="s">
        <v>9</v>
      </c>
      <c r="C973" s="11" t="s">
        <v>179</v>
      </c>
      <c r="D973" s="11" t="s">
        <v>180</v>
      </c>
      <c r="E973" s="9" t="str">
        <f>+HYPERLINK("http://trademark.i-assist.jp/data/china/image_1908th/79845367.pdf", "79845367")</f>
        <v>79845367</v>
      </c>
      <c r="F973" s="11" t="s">
        <v>2888</v>
      </c>
      <c r="G973" s="11" t="s">
        <v>2889</v>
      </c>
      <c r="H973" s="11" t="s">
        <v>2890</v>
      </c>
      <c r="I973" s="11" t="s">
        <v>154</v>
      </c>
    </row>
    <row r="974" spans="1:9" x14ac:dyDescent="0.15">
      <c r="A974" s="10">
        <v>973</v>
      </c>
      <c r="B974" s="11" t="s">
        <v>9</v>
      </c>
      <c r="C974" s="11" t="s">
        <v>179</v>
      </c>
      <c r="D974" s="11" t="s">
        <v>180</v>
      </c>
      <c r="E974" s="9" t="str">
        <f>+HYPERLINK("http://trademark.i-assist.jp/data/china/image_1908th/79845567.pdf", "79845567")</f>
        <v>79845567</v>
      </c>
      <c r="F974" s="11" t="s">
        <v>2891</v>
      </c>
      <c r="G974" s="11" t="s">
        <v>2892</v>
      </c>
      <c r="H974" s="11" t="s">
        <v>2893</v>
      </c>
      <c r="I974" s="11" t="s">
        <v>154</v>
      </c>
    </row>
    <row r="975" spans="1:9" x14ac:dyDescent="0.15">
      <c r="A975" s="10">
        <v>974</v>
      </c>
      <c r="B975" s="11" t="s">
        <v>9</v>
      </c>
      <c r="C975" s="11" t="s">
        <v>179</v>
      </c>
      <c r="D975" s="11" t="s">
        <v>180</v>
      </c>
      <c r="E975" s="9" t="str">
        <f>+HYPERLINK("http://trademark.i-assist.jp/data/china/image_1908th/79845981.pdf", "79845981")</f>
        <v>79845981</v>
      </c>
      <c r="F975" s="11" t="s">
        <v>2894</v>
      </c>
      <c r="G975" s="11" t="s">
        <v>2895</v>
      </c>
      <c r="H975" s="11" t="s">
        <v>2896</v>
      </c>
      <c r="I975" s="11" t="s">
        <v>154</v>
      </c>
    </row>
    <row r="976" spans="1:9" x14ac:dyDescent="0.15">
      <c r="A976" s="10">
        <v>975</v>
      </c>
      <c r="B976" s="11" t="s">
        <v>9</v>
      </c>
      <c r="C976" s="11" t="s">
        <v>179</v>
      </c>
      <c r="D976" s="11" t="s">
        <v>180</v>
      </c>
      <c r="E976" s="9" t="str">
        <f>+HYPERLINK("http://trademark.i-assist.jp/data/china/image_1908th/79846443.pdf", "79846443")</f>
        <v>79846443</v>
      </c>
      <c r="F976" s="11" t="s">
        <v>2897</v>
      </c>
      <c r="G976" s="11" t="s">
        <v>2898</v>
      </c>
      <c r="H976" s="11" t="s">
        <v>2899</v>
      </c>
      <c r="I976" s="11" t="s">
        <v>154</v>
      </c>
    </row>
    <row r="977" spans="1:9" x14ac:dyDescent="0.15">
      <c r="A977" s="10">
        <v>976</v>
      </c>
      <c r="B977" s="11" t="s">
        <v>9</v>
      </c>
      <c r="C977" s="11" t="s">
        <v>179</v>
      </c>
      <c r="D977" s="11" t="s">
        <v>180</v>
      </c>
      <c r="E977" s="9" t="str">
        <f>+HYPERLINK("http://trademark.i-assist.jp/data/china/image_1908th/79846539.pdf", "79846539")</f>
        <v>79846539</v>
      </c>
      <c r="F977" s="11" t="s">
        <v>2900</v>
      </c>
      <c r="G977" s="11" t="s">
        <v>1386</v>
      </c>
      <c r="H977" s="11" t="s">
        <v>2901</v>
      </c>
      <c r="I977" s="11" t="s">
        <v>154</v>
      </c>
    </row>
    <row r="978" spans="1:9" x14ac:dyDescent="0.15">
      <c r="A978" s="10">
        <v>977</v>
      </c>
      <c r="B978" s="11" t="s">
        <v>9</v>
      </c>
      <c r="C978" s="11" t="s">
        <v>179</v>
      </c>
      <c r="D978" s="11" t="s">
        <v>180</v>
      </c>
      <c r="E978" s="9" t="str">
        <f>+HYPERLINK("http://trademark.i-assist.jp/data/china/image_1908th/79847125.pdf", "79847125")</f>
        <v>79847125</v>
      </c>
      <c r="F978" s="11" t="s">
        <v>2902</v>
      </c>
      <c r="G978" s="11" t="s">
        <v>2903</v>
      </c>
      <c r="H978" s="11" t="s">
        <v>2904</v>
      </c>
      <c r="I978" s="11" t="s">
        <v>154</v>
      </c>
    </row>
    <row r="979" spans="1:9" x14ac:dyDescent="0.15">
      <c r="A979" s="10">
        <v>978</v>
      </c>
      <c r="B979" s="11" t="s">
        <v>9</v>
      </c>
      <c r="C979" s="11" t="s">
        <v>179</v>
      </c>
      <c r="D979" s="11" t="s">
        <v>180</v>
      </c>
      <c r="E979" s="9" t="str">
        <f>+HYPERLINK("http://trademark.i-assist.jp/data/china/image_1908th/79847139.pdf", "79847139")</f>
        <v>79847139</v>
      </c>
      <c r="F979" s="11" t="s">
        <v>2905</v>
      </c>
      <c r="G979" s="11" t="s">
        <v>115</v>
      </c>
      <c r="H979" s="11" t="s">
        <v>2906</v>
      </c>
      <c r="I979" s="11" t="s">
        <v>154</v>
      </c>
    </row>
    <row r="980" spans="1:9" x14ac:dyDescent="0.15">
      <c r="A980" s="10">
        <v>979</v>
      </c>
      <c r="B980" s="11" t="s">
        <v>9</v>
      </c>
      <c r="C980" s="11" t="s">
        <v>179</v>
      </c>
      <c r="D980" s="11" t="s">
        <v>180</v>
      </c>
      <c r="E980" s="9" t="str">
        <f>+HYPERLINK("http://trademark.i-assist.jp/data/china/image_1908th/79847362.pdf", "79847362")</f>
        <v>79847362</v>
      </c>
      <c r="F980" s="11" t="s">
        <v>2907</v>
      </c>
      <c r="G980" s="11" t="s">
        <v>2908</v>
      </c>
      <c r="H980" s="11" t="s">
        <v>2909</v>
      </c>
      <c r="I980" s="11" t="s">
        <v>154</v>
      </c>
    </row>
    <row r="981" spans="1:9" x14ac:dyDescent="0.15">
      <c r="A981" s="10">
        <v>980</v>
      </c>
      <c r="B981" s="11" t="s">
        <v>9</v>
      </c>
      <c r="C981" s="11" t="s">
        <v>179</v>
      </c>
      <c r="D981" s="11" t="s">
        <v>180</v>
      </c>
      <c r="E981" s="9" t="str">
        <f>+HYPERLINK("http://trademark.i-assist.jp/data/china/image_1908th/79847606.pdf", "79847606")</f>
        <v>79847606</v>
      </c>
      <c r="F981" s="11" t="s">
        <v>2910</v>
      </c>
      <c r="G981" s="11" t="s">
        <v>2911</v>
      </c>
      <c r="H981" s="11" t="s">
        <v>2912</v>
      </c>
      <c r="I981" s="11" t="s">
        <v>154</v>
      </c>
    </row>
    <row r="982" spans="1:9" x14ac:dyDescent="0.15">
      <c r="A982" s="10">
        <v>981</v>
      </c>
      <c r="B982" s="11" t="s">
        <v>9</v>
      </c>
      <c r="C982" s="11" t="s">
        <v>179</v>
      </c>
      <c r="D982" s="11" t="s">
        <v>180</v>
      </c>
      <c r="E982" s="9" t="str">
        <f>+HYPERLINK("http://trademark.i-assist.jp/data/china/image_1908th/79847716.pdf", "79847716")</f>
        <v>79847716</v>
      </c>
      <c r="F982" s="11" t="s">
        <v>2913</v>
      </c>
      <c r="G982" s="11" t="s">
        <v>2914</v>
      </c>
      <c r="H982" s="11" t="s">
        <v>2915</v>
      </c>
      <c r="I982" s="11" t="s">
        <v>154</v>
      </c>
    </row>
    <row r="983" spans="1:9" x14ac:dyDescent="0.15">
      <c r="A983" s="10">
        <v>982</v>
      </c>
      <c r="B983" s="11" t="s">
        <v>9</v>
      </c>
      <c r="C983" s="11" t="s">
        <v>179</v>
      </c>
      <c r="D983" s="11" t="s">
        <v>180</v>
      </c>
      <c r="E983" s="9" t="str">
        <f>+HYPERLINK("http://trademark.i-assist.jp/data/china/image_1908th/79848966.pdf", "79848966")</f>
        <v>79848966</v>
      </c>
      <c r="F983" s="11" t="s">
        <v>2916</v>
      </c>
      <c r="G983" s="11" t="s">
        <v>2917</v>
      </c>
      <c r="H983" s="11" t="s">
        <v>2918</v>
      </c>
      <c r="I983" s="11" t="s">
        <v>154</v>
      </c>
    </row>
    <row r="984" spans="1:9" x14ac:dyDescent="0.15">
      <c r="A984" s="10">
        <v>983</v>
      </c>
      <c r="B984" s="11" t="s">
        <v>9</v>
      </c>
      <c r="C984" s="11" t="s">
        <v>179</v>
      </c>
      <c r="D984" s="11" t="s">
        <v>180</v>
      </c>
      <c r="E984" s="9" t="str">
        <f>+HYPERLINK("http://trademark.i-assist.jp/data/china/image_1908th/79849642.pdf", "79849642")</f>
        <v>79849642</v>
      </c>
      <c r="F984" s="11" t="s">
        <v>2919</v>
      </c>
      <c r="G984" s="11" t="s">
        <v>2920</v>
      </c>
      <c r="H984" s="11" t="s">
        <v>2921</v>
      </c>
      <c r="I984" s="11" t="s">
        <v>154</v>
      </c>
    </row>
    <row r="985" spans="1:9" x14ac:dyDescent="0.15">
      <c r="A985" s="10">
        <v>984</v>
      </c>
      <c r="B985" s="11" t="s">
        <v>9</v>
      </c>
      <c r="C985" s="11" t="s">
        <v>179</v>
      </c>
      <c r="D985" s="11" t="s">
        <v>180</v>
      </c>
      <c r="E985" s="9" t="str">
        <f>+HYPERLINK("http://trademark.i-assist.jp/data/china/image_1908th/79850142.pdf", "79850142")</f>
        <v>79850142</v>
      </c>
      <c r="F985" s="11" t="s">
        <v>10</v>
      </c>
      <c r="G985" s="11" t="s">
        <v>2922</v>
      </c>
      <c r="H985" s="11" t="s">
        <v>2923</v>
      </c>
      <c r="I985" s="11" t="s">
        <v>154</v>
      </c>
    </row>
    <row r="986" spans="1:9" x14ac:dyDescent="0.15">
      <c r="A986" s="10">
        <v>985</v>
      </c>
      <c r="B986" s="11" t="s">
        <v>9</v>
      </c>
      <c r="C986" s="11" t="s">
        <v>179</v>
      </c>
      <c r="D986" s="11" t="s">
        <v>180</v>
      </c>
      <c r="E986" s="9" t="str">
        <f>+HYPERLINK("http://trademark.i-assist.jp/data/china/image_1908th/79850440.pdf", "79850440")</f>
        <v>79850440</v>
      </c>
      <c r="F986" s="11" t="s">
        <v>2924</v>
      </c>
      <c r="G986" s="11" t="s">
        <v>2925</v>
      </c>
      <c r="H986" s="11" t="s">
        <v>2926</v>
      </c>
      <c r="I986" s="11" t="s">
        <v>154</v>
      </c>
    </row>
    <row r="987" spans="1:9" x14ac:dyDescent="0.15">
      <c r="A987" s="10">
        <v>986</v>
      </c>
      <c r="B987" s="11" t="s">
        <v>9</v>
      </c>
      <c r="C987" s="11" t="s">
        <v>179</v>
      </c>
      <c r="D987" s="11" t="s">
        <v>180</v>
      </c>
      <c r="E987" s="9" t="str">
        <f>+HYPERLINK("http://trademark.i-assist.jp/data/china/image_1908th/79851074.pdf", "79851074")</f>
        <v>79851074</v>
      </c>
      <c r="F987" s="11" t="s">
        <v>2927</v>
      </c>
      <c r="G987" s="11" t="s">
        <v>2928</v>
      </c>
      <c r="H987" s="11" t="s">
        <v>2929</v>
      </c>
      <c r="I987" s="11" t="s">
        <v>154</v>
      </c>
    </row>
    <row r="988" spans="1:9" x14ac:dyDescent="0.15">
      <c r="A988" s="10">
        <v>987</v>
      </c>
      <c r="B988" s="11" t="s">
        <v>9</v>
      </c>
      <c r="C988" s="11" t="s">
        <v>179</v>
      </c>
      <c r="D988" s="11" t="s">
        <v>180</v>
      </c>
      <c r="E988" s="9" t="str">
        <f>+HYPERLINK("http://trademark.i-assist.jp/data/china/image_1908th/79851308.pdf", "79851308")</f>
        <v>79851308</v>
      </c>
      <c r="F988" s="11" t="s">
        <v>2930</v>
      </c>
      <c r="G988" s="11" t="s">
        <v>2931</v>
      </c>
      <c r="H988" s="11" t="s">
        <v>2932</v>
      </c>
      <c r="I988" s="11" t="s">
        <v>154</v>
      </c>
    </row>
    <row r="989" spans="1:9" x14ac:dyDescent="0.15">
      <c r="A989" s="10">
        <v>988</v>
      </c>
      <c r="B989" s="11" t="s">
        <v>9</v>
      </c>
      <c r="C989" s="11" t="s">
        <v>179</v>
      </c>
      <c r="D989" s="11" t="s">
        <v>180</v>
      </c>
      <c r="E989" s="9" t="str">
        <f>+HYPERLINK("http://trademark.i-assist.jp/data/china/image_1908th/79851529.pdf", "79851529")</f>
        <v>79851529</v>
      </c>
      <c r="F989" s="11" t="s">
        <v>2933</v>
      </c>
      <c r="G989" s="11" t="s">
        <v>2934</v>
      </c>
      <c r="H989" s="11" t="s">
        <v>2935</v>
      </c>
      <c r="I989" s="11" t="s">
        <v>154</v>
      </c>
    </row>
    <row r="990" spans="1:9" x14ac:dyDescent="0.15">
      <c r="A990" s="10">
        <v>989</v>
      </c>
      <c r="B990" s="11" t="s">
        <v>9</v>
      </c>
      <c r="C990" s="11" t="s">
        <v>179</v>
      </c>
      <c r="D990" s="11" t="s">
        <v>180</v>
      </c>
      <c r="E990" s="9" t="str">
        <f>+HYPERLINK("http://trademark.i-assist.jp/data/china/image_1908th/79851618.pdf", "79851618")</f>
        <v>79851618</v>
      </c>
      <c r="F990" s="11" t="s">
        <v>2936</v>
      </c>
      <c r="G990" s="11" t="s">
        <v>2937</v>
      </c>
      <c r="H990" s="11" t="s">
        <v>2938</v>
      </c>
      <c r="I990" s="11" t="s">
        <v>154</v>
      </c>
    </row>
    <row r="991" spans="1:9" x14ac:dyDescent="0.15">
      <c r="A991" s="10">
        <v>990</v>
      </c>
      <c r="B991" s="11" t="s">
        <v>9</v>
      </c>
      <c r="C991" s="11" t="s">
        <v>179</v>
      </c>
      <c r="D991" s="11" t="s">
        <v>180</v>
      </c>
      <c r="E991" s="9" t="str">
        <f>+HYPERLINK("http://trademark.i-assist.jp/data/china/image_1908th/79851683.pdf", "79851683")</f>
        <v>79851683</v>
      </c>
      <c r="F991" s="11" t="s">
        <v>2939</v>
      </c>
      <c r="G991" s="11" t="s">
        <v>2940</v>
      </c>
      <c r="H991" s="11" t="s">
        <v>2941</v>
      </c>
      <c r="I991" s="11" t="s">
        <v>154</v>
      </c>
    </row>
    <row r="992" spans="1:9" x14ac:dyDescent="0.15">
      <c r="A992" s="10">
        <v>991</v>
      </c>
      <c r="B992" s="11" t="s">
        <v>9</v>
      </c>
      <c r="C992" s="11" t="s">
        <v>179</v>
      </c>
      <c r="D992" s="11" t="s">
        <v>180</v>
      </c>
      <c r="E992" s="9" t="str">
        <f>+HYPERLINK("http://trademark.i-assist.jp/data/china/image_1908th/79852120.pdf", "79852120")</f>
        <v>79852120</v>
      </c>
      <c r="F992" s="11" t="s">
        <v>2942</v>
      </c>
      <c r="G992" s="11" t="s">
        <v>2943</v>
      </c>
      <c r="H992" s="11" t="s">
        <v>2944</v>
      </c>
      <c r="I992" s="11" t="s">
        <v>154</v>
      </c>
    </row>
    <row r="993" spans="1:9" x14ac:dyDescent="0.15">
      <c r="A993" s="10">
        <v>992</v>
      </c>
      <c r="B993" s="11" t="s">
        <v>9</v>
      </c>
      <c r="C993" s="11" t="s">
        <v>179</v>
      </c>
      <c r="D993" s="11" t="s">
        <v>180</v>
      </c>
      <c r="E993" s="9" t="str">
        <f>+HYPERLINK("http://trademark.i-assist.jp/data/china/image_1908th/79852217.pdf", "79852217")</f>
        <v>79852217</v>
      </c>
      <c r="F993" s="11" t="s">
        <v>2945</v>
      </c>
      <c r="G993" s="11" t="s">
        <v>2946</v>
      </c>
      <c r="H993" s="11" t="s">
        <v>2947</v>
      </c>
      <c r="I993" s="11" t="s">
        <v>154</v>
      </c>
    </row>
    <row r="994" spans="1:9" x14ac:dyDescent="0.15">
      <c r="A994" s="10">
        <v>993</v>
      </c>
      <c r="B994" s="11" t="s">
        <v>9</v>
      </c>
      <c r="C994" s="11" t="s">
        <v>179</v>
      </c>
      <c r="D994" s="11" t="s">
        <v>180</v>
      </c>
      <c r="E994" s="9" t="str">
        <f>+HYPERLINK("http://trademark.i-assist.jp/data/china/image_1908th/79852677.pdf", "79852677")</f>
        <v>79852677</v>
      </c>
      <c r="F994" s="11" t="s">
        <v>2948</v>
      </c>
      <c r="G994" s="11" t="s">
        <v>2870</v>
      </c>
      <c r="H994" s="11" t="s">
        <v>2949</v>
      </c>
      <c r="I994" s="11" t="s">
        <v>154</v>
      </c>
    </row>
    <row r="995" spans="1:9" x14ac:dyDescent="0.15">
      <c r="A995" s="10">
        <v>994</v>
      </c>
      <c r="B995" s="11" t="s">
        <v>9</v>
      </c>
      <c r="C995" s="11" t="s">
        <v>179</v>
      </c>
      <c r="D995" s="11" t="s">
        <v>180</v>
      </c>
      <c r="E995" s="9" t="str">
        <f>+HYPERLINK("http://trademark.i-assist.jp/data/china/image_1908th/79852881.pdf", "79852881")</f>
        <v>79852881</v>
      </c>
      <c r="F995" s="11" t="s">
        <v>2950</v>
      </c>
      <c r="G995" s="11" t="s">
        <v>2951</v>
      </c>
      <c r="H995" s="11" t="s">
        <v>2952</v>
      </c>
      <c r="I995" s="11" t="s">
        <v>154</v>
      </c>
    </row>
    <row r="996" spans="1:9" x14ac:dyDescent="0.15">
      <c r="A996" s="10">
        <v>995</v>
      </c>
      <c r="B996" s="11" t="s">
        <v>9</v>
      </c>
      <c r="C996" s="11" t="s">
        <v>179</v>
      </c>
      <c r="D996" s="11" t="s">
        <v>180</v>
      </c>
      <c r="E996" s="9" t="str">
        <f>+HYPERLINK("http://trademark.i-assist.jp/data/china/image_1908th/79852922.pdf", "79852922")</f>
        <v>79852922</v>
      </c>
      <c r="F996" s="11" t="s">
        <v>2953</v>
      </c>
      <c r="G996" s="11" t="s">
        <v>2954</v>
      </c>
      <c r="H996" s="11" t="s">
        <v>2955</v>
      </c>
      <c r="I996" s="11" t="s">
        <v>154</v>
      </c>
    </row>
    <row r="997" spans="1:9" x14ac:dyDescent="0.15">
      <c r="A997" s="10">
        <v>996</v>
      </c>
      <c r="B997" s="11" t="s">
        <v>9</v>
      </c>
      <c r="C997" s="11" t="s">
        <v>179</v>
      </c>
      <c r="D997" s="11" t="s">
        <v>180</v>
      </c>
      <c r="E997" s="9" t="str">
        <f>+HYPERLINK("http://trademark.i-assist.jp/data/china/image_1908th/79852923.pdf", "79852923")</f>
        <v>79852923</v>
      </c>
      <c r="F997" s="11" t="s">
        <v>10</v>
      </c>
      <c r="G997" s="11" t="s">
        <v>2956</v>
      </c>
      <c r="H997" s="11" t="s">
        <v>2957</v>
      </c>
      <c r="I997" s="11" t="s">
        <v>154</v>
      </c>
    </row>
    <row r="998" spans="1:9" x14ac:dyDescent="0.15">
      <c r="A998" s="10">
        <v>997</v>
      </c>
      <c r="B998" s="11" t="s">
        <v>9</v>
      </c>
      <c r="C998" s="11" t="s">
        <v>179</v>
      </c>
      <c r="D998" s="11" t="s">
        <v>180</v>
      </c>
      <c r="E998" s="9" t="str">
        <f>+HYPERLINK("http://trademark.i-assist.jp/data/china/image_1908th/79853620.pdf", "79853620")</f>
        <v>79853620</v>
      </c>
      <c r="F998" s="11" t="s">
        <v>2958</v>
      </c>
      <c r="G998" s="11" t="s">
        <v>2959</v>
      </c>
      <c r="H998" s="11" t="s">
        <v>2960</v>
      </c>
      <c r="I998" s="11" t="s">
        <v>154</v>
      </c>
    </row>
    <row r="999" spans="1:9" x14ac:dyDescent="0.15">
      <c r="A999" s="10">
        <v>998</v>
      </c>
      <c r="B999" s="11" t="s">
        <v>9</v>
      </c>
      <c r="C999" s="11" t="s">
        <v>179</v>
      </c>
      <c r="D999" s="11" t="s">
        <v>180</v>
      </c>
      <c r="E999" s="9" t="str">
        <f>+HYPERLINK("http://trademark.i-assist.jp/data/china/image_1908th/79853892.pdf", "79853892")</f>
        <v>79853892</v>
      </c>
      <c r="F999" s="11" t="s">
        <v>2961</v>
      </c>
      <c r="G999" s="11" t="s">
        <v>2962</v>
      </c>
      <c r="H999" s="11" t="s">
        <v>2963</v>
      </c>
      <c r="I999" s="11" t="s">
        <v>154</v>
      </c>
    </row>
    <row r="1000" spans="1:9" x14ac:dyDescent="0.15">
      <c r="A1000" s="10">
        <v>999</v>
      </c>
      <c r="B1000" s="11" t="s">
        <v>9</v>
      </c>
      <c r="C1000" s="11" t="s">
        <v>179</v>
      </c>
      <c r="D1000" s="11" t="s">
        <v>180</v>
      </c>
      <c r="E1000" s="9" t="str">
        <f>+HYPERLINK("http://trademark.i-assist.jp/data/china/image_1908th/79854381.pdf", "79854381")</f>
        <v>79854381</v>
      </c>
      <c r="F1000" s="11" t="s">
        <v>2964</v>
      </c>
      <c r="G1000" s="11" t="s">
        <v>2965</v>
      </c>
      <c r="H1000" s="11" t="s">
        <v>2966</v>
      </c>
      <c r="I1000" s="11" t="s">
        <v>154</v>
      </c>
    </row>
    <row r="1001" spans="1:9" x14ac:dyDescent="0.15">
      <c r="A1001" s="10">
        <v>1000</v>
      </c>
      <c r="B1001" s="11" t="s">
        <v>9</v>
      </c>
      <c r="C1001" s="11" t="s">
        <v>179</v>
      </c>
      <c r="D1001" s="11" t="s">
        <v>180</v>
      </c>
      <c r="E1001" s="9" t="str">
        <f>+HYPERLINK("http://trademark.i-assist.jp/data/china/image_1908th/79854399.pdf", "79854399")</f>
        <v>79854399</v>
      </c>
      <c r="F1001" s="11" t="s">
        <v>2967</v>
      </c>
      <c r="G1001" s="11" t="s">
        <v>2968</v>
      </c>
      <c r="H1001" s="11" t="s">
        <v>2969</v>
      </c>
      <c r="I1001" s="11" t="s">
        <v>154</v>
      </c>
    </row>
    <row r="1002" spans="1:9" x14ac:dyDescent="0.15">
      <c r="A1002" s="10">
        <v>1001</v>
      </c>
      <c r="B1002" s="11" t="s">
        <v>9</v>
      </c>
      <c r="C1002" s="11" t="s">
        <v>179</v>
      </c>
      <c r="D1002" s="11" t="s">
        <v>180</v>
      </c>
      <c r="E1002" s="9" t="str">
        <f>+HYPERLINK("http://trademark.i-assist.jp/data/china/image_1908th/79854942.pdf", "79854942")</f>
        <v>79854942</v>
      </c>
      <c r="F1002" s="11" t="s">
        <v>2970</v>
      </c>
      <c r="G1002" s="11" t="s">
        <v>2971</v>
      </c>
      <c r="H1002" s="11" t="s">
        <v>2972</v>
      </c>
      <c r="I1002" s="11" t="s">
        <v>154</v>
      </c>
    </row>
    <row r="1003" spans="1:9" x14ac:dyDescent="0.15">
      <c r="A1003" s="10">
        <v>1002</v>
      </c>
      <c r="B1003" s="11" t="s">
        <v>9</v>
      </c>
      <c r="C1003" s="11" t="s">
        <v>179</v>
      </c>
      <c r="D1003" s="11" t="s">
        <v>180</v>
      </c>
      <c r="E1003" s="9" t="str">
        <f>+HYPERLINK("http://trademark.i-assist.jp/data/china/image_1908th/79854965.pdf", "79854965")</f>
        <v>79854965</v>
      </c>
      <c r="F1003" s="11" t="s">
        <v>2973</v>
      </c>
      <c r="G1003" s="11" t="s">
        <v>2974</v>
      </c>
      <c r="H1003" s="11" t="s">
        <v>2975</v>
      </c>
      <c r="I1003" s="11" t="s">
        <v>154</v>
      </c>
    </row>
    <row r="1004" spans="1:9" x14ac:dyDescent="0.15">
      <c r="A1004" s="10">
        <v>1003</v>
      </c>
      <c r="B1004" s="11" t="s">
        <v>9</v>
      </c>
      <c r="C1004" s="11" t="s">
        <v>179</v>
      </c>
      <c r="D1004" s="11" t="s">
        <v>180</v>
      </c>
      <c r="E1004" s="9" t="str">
        <f>+HYPERLINK("http://trademark.i-assist.jp/data/china/image_1908th/79855177.pdf", "79855177")</f>
        <v>79855177</v>
      </c>
      <c r="F1004" s="11" t="s">
        <v>2976</v>
      </c>
      <c r="G1004" s="11" t="s">
        <v>2977</v>
      </c>
      <c r="H1004" s="11" t="s">
        <v>2978</v>
      </c>
      <c r="I1004" s="11" t="s">
        <v>154</v>
      </c>
    </row>
    <row r="1005" spans="1:9" x14ac:dyDescent="0.15">
      <c r="A1005" s="10">
        <v>1004</v>
      </c>
      <c r="B1005" s="11" t="s">
        <v>9</v>
      </c>
      <c r="C1005" s="11" t="s">
        <v>179</v>
      </c>
      <c r="D1005" s="11" t="s">
        <v>180</v>
      </c>
      <c r="E1005" s="9" t="str">
        <f>+HYPERLINK("http://trademark.i-assist.jp/data/china/image_1908th/79855407.pdf", "79855407")</f>
        <v>79855407</v>
      </c>
      <c r="F1005" s="11" t="s">
        <v>10</v>
      </c>
      <c r="G1005" s="11" t="s">
        <v>2979</v>
      </c>
      <c r="H1005" s="11" t="s">
        <v>2980</v>
      </c>
      <c r="I1005" s="11" t="s">
        <v>154</v>
      </c>
    </row>
    <row r="1006" spans="1:9" x14ac:dyDescent="0.15">
      <c r="A1006" s="10">
        <v>1005</v>
      </c>
      <c r="B1006" s="11" t="s">
        <v>9</v>
      </c>
      <c r="C1006" s="11" t="s">
        <v>179</v>
      </c>
      <c r="D1006" s="11" t="s">
        <v>180</v>
      </c>
      <c r="E1006" s="9" t="str">
        <f>+HYPERLINK("http://trademark.i-assist.jp/data/china/image_1908th/79855543.pdf", "79855543")</f>
        <v>79855543</v>
      </c>
      <c r="F1006" s="11" t="s">
        <v>2981</v>
      </c>
      <c r="G1006" s="11" t="s">
        <v>124</v>
      </c>
      <c r="H1006" s="11" t="s">
        <v>2982</v>
      </c>
      <c r="I1006" s="11" t="s">
        <v>154</v>
      </c>
    </row>
    <row r="1007" spans="1:9" x14ac:dyDescent="0.15">
      <c r="A1007" s="10">
        <v>1006</v>
      </c>
      <c r="B1007" s="11" t="s">
        <v>9</v>
      </c>
      <c r="C1007" s="11" t="s">
        <v>179</v>
      </c>
      <c r="D1007" s="11" t="s">
        <v>180</v>
      </c>
      <c r="E1007" s="9" t="str">
        <f>+HYPERLINK("http://trademark.i-assist.jp/data/china/image_1908th/79855935.pdf", "79855935")</f>
        <v>79855935</v>
      </c>
      <c r="F1007" s="11" t="s">
        <v>2983</v>
      </c>
      <c r="G1007" s="11" t="s">
        <v>2984</v>
      </c>
      <c r="H1007" s="11" t="s">
        <v>2985</v>
      </c>
      <c r="I1007" s="11" t="s">
        <v>154</v>
      </c>
    </row>
    <row r="1008" spans="1:9" x14ac:dyDescent="0.15">
      <c r="A1008" s="10">
        <v>1007</v>
      </c>
      <c r="B1008" s="11" t="s">
        <v>9</v>
      </c>
      <c r="C1008" s="11" t="s">
        <v>179</v>
      </c>
      <c r="D1008" s="11" t="s">
        <v>180</v>
      </c>
      <c r="E1008" s="9" t="str">
        <f>+HYPERLINK("http://trademark.i-assist.jp/data/china/image_1908th/79856486.pdf", "79856486")</f>
        <v>79856486</v>
      </c>
      <c r="F1008" s="11" t="s">
        <v>2986</v>
      </c>
      <c r="G1008" s="11" t="s">
        <v>2987</v>
      </c>
      <c r="H1008" s="11" t="s">
        <v>2988</v>
      </c>
      <c r="I1008" s="11" t="s">
        <v>154</v>
      </c>
    </row>
    <row r="1009" spans="1:9" x14ac:dyDescent="0.15">
      <c r="A1009" s="10">
        <v>1008</v>
      </c>
      <c r="B1009" s="11" t="s">
        <v>9</v>
      </c>
      <c r="C1009" s="11" t="s">
        <v>179</v>
      </c>
      <c r="D1009" s="11" t="s">
        <v>180</v>
      </c>
      <c r="E1009" s="9" t="str">
        <f>+HYPERLINK("http://trademark.i-assist.jp/data/china/image_1908th/79856745.pdf", "79856745")</f>
        <v>79856745</v>
      </c>
      <c r="F1009" s="11" t="s">
        <v>2989</v>
      </c>
      <c r="G1009" s="11" t="s">
        <v>2911</v>
      </c>
      <c r="H1009" s="11" t="s">
        <v>2990</v>
      </c>
      <c r="I1009" s="11" t="s">
        <v>154</v>
      </c>
    </row>
    <row r="1010" spans="1:9" x14ac:dyDescent="0.15">
      <c r="A1010" s="10">
        <v>1009</v>
      </c>
      <c r="B1010" s="11" t="s">
        <v>9</v>
      </c>
      <c r="C1010" s="11" t="s">
        <v>179</v>
      </c>
      <c r="D1010" s="11" t="s">
        <v>180</v>
      </c>
      <c r="E1010" s="9" t="str">
        <f>+HYPERLINK("http://trademark.i-assist.jp/data/china/image_1908th/79857031.pdf", "79857031")</f>
        <v>79857031</v>
      </c>
      <c r="F1010" s="11" t="s">
        <v>2991</v>
      </c>
      <c r="G1010" s="11" t="s">
        <v>2992</v>
      </c>
      <c r="H1010" s="11" t="s">
        <v>2993</v>
      </c>
      <c r="I1010" s="11" t="s">
        <v>156</v>
      </c>
    </row>
    <row r="1011" spans="1:9" x14ac:dyDescent="0.15">
      <c r="A1011" s="10">
        <v>1010</v>
      </c>
      <c r="B1011" s="11" t="s">
        <v>9</v>
      </c>
      <c r="C1011" s="11" t="s">
        <v>179</v>
      </c>
      <c r="D1011" s="11" t="s">
        <v>180</v>
      </c>
      <c r="E1011" s="9" t="str">
        <f>+HYPERLINK("http://trademark.i-assist.jp/data/china/image_1908th/79857281.pdf", "79857281")</f>
        <v>79857281</v>
      </c>
      <c r="F1011" s="11" t="s">
        <v>2994</v>
      </c>
      <c r="G1011" s="11" t="s">
        <v>2995</v>
      </c>
      <c r="H1011" s="11" t="s">
        <v>2996</v>
      </c>
      <c r="I1011" s="11" t="s">
        <v>156</v>
      </c>
    </row>
    <row r="1012" spans="1:9" x14ac:dyDescent="0.15">
      <c r="A1012" s="10">
        <v>1011</v>
      </c>
      <c r="B1012" s="11" t="s">
        <v>9</v>
      </c>
      <c r="C1012" s="11" t="s">
        <v>179</v>
      </c>
      <c r="D1012" s="11" t="s">
        <v>180</v>
      </c>
      <c r="E1012" s="9" t="str">
        <f>+HYPERLINK("http://trademark.i-assist.jp/data/china/image_1908th/79857643.pdf", "79857643")</f>
        <v>79857643</v>
      </c>
      <c r="F1012" s="11" t="s">
        <v>2997</v>
      </c>
      <c r="G1012" s="11" t="s">
        <v>157</v>
      </c>
      <c r="H1012" s="11" t="s">
        <v>2998</v>
      </c>
      <c r="I1012" s="11" t="s">
        <v>156</v>
      </c>
    </row>
    <row r="1013" spans="1:9" x14ac:dyDescent="0.15">
      <c r="A1013" s="10">
        <v>1012</v>
      </c>
      <c r="B1013" s="11" t="s">
        <v>9</v>
      </c>
      <c r="C1013" s="11" t="s">
        <v>179</v>
      </c>
      <c r="D1013" s="11" t="s">
        <v>180</v>
      </c>
      <c r="E1013" s="9" t="str">
        <f>+HYPERLINK("http://trademark.i-assist.jp/data/china/image_1908th/79858316.pdf", "79858316")</f>
        <v>79858316</v>
      </c>
      <c r="F1013" s="11" t="s">
        <v>2999</v>
      </c>
      <c r="G1013" s="11" t="s">
        <v>3000</v>
      </c>
      <c r="H1013" s="11" t="s">
        <v>3001</v>
      </c>
      <c r="I1013" s="11" t="s">
        <v>156</v>
      </c>
    </row>
    <row r="1014" spans="1:9" x14ac:dyDescent="0.15">
      <c r="A1014" s="10">
        <v>1013</v>
      </c>
      <c r="B1014" s="11" t="s">
        <v>9</v>
      </c>
      <c r="C1014" s="11" t="s">
        <v>179</v>
      </c>
      <c r="D1014" s="11" t="s">
        <v>180</v>
      </c>
      <c r="E1014" s="9" t="str">
        <f>+HYPERLINK("http://trademark.i-assist.jp/data/china/image_1908th/79858418.pdf", "79858418")</f>
        <v>79858418</v>
      </c>
      <c r="F1014" s="11" t="s">
        <v>3002</v>
      </c>
      <c r="G1014" s="11" t="s">
        <v>3003</v>
      </c>
      <c r="H1014" s="11" t="s">
        <v>3004</v>
      </c>
      <c r="I1014" s="11" t="s">
        <v>156</v>
      </c>
    </row>
    <row r="1015" spans="1:9" x14ac:dyDescent="0.15">
      <c r="A1015" s="10">
        <v>1014</v>
      </c>
      <c r="B1015" s="11" t="s">
        <v>9</v>
      </c>
      <c r="C1015" s="11" t="s">
        <v>179</v>
      </c>
      <c r="D1015" s="11" t="s">
        <v>180</v>
      </c>
      <c r="E1015" s="9" t="str">
        <f>+HYPERLINK("http://trademark.i-assist.jp/data/china/image_1908th/79858452.pdf", "79858452")</f>
        <v>79858452</v>
      </c>
      <c r="F1015" s="11" t="s">
        <v>3005</v>
      </c>
      <c r="G1015" s="11" t="s">
        <v>3003</v>
      </c>
      <c r="H1015" s="11" t="s">
        <v>3006</v>
      </c>
      <c r="I1015" s="11" t="s">
        <v>156</v>
      </c>
    </row>
    <row r="1016" spans="1:9" x14ac:dyDescent="0.15">
      <c r="A1016" s="10">
        <v>1015</v>
      </c>
      <c r="B1016" s="11" t="s">
        <v>9</v>
      </c>
      <c r="C1016" s="11" t="s">
        <v>179</v>
      </c>
      <c r="D1016" s="11" t="s">
        <v>180</v>
      </c>
      <c r="E1016" s="9" t="str">
        <f>+HYPERLINK("http://trademark.i-assist.jp/data/china/image_1908th/79858520.pdf", "79858520")</f>
        <v>79858520</v>
      </c>
      <c r="F1016" s="11" t="s">
        <v>3007</v>
      </c>
      <c r="G1016" s="11" t="s">
        <v>3008</v>
      </c>
      <c r="H1016" s="11" t="s">
        <v>3009</v>
      </c>
      <c r="I1016" s="11" t="s">
        <v>156</v>
      </c>
    </row>
    <row r="1017" spans="1:9" x14ac:dyDescent="0.15">
      <c r="A1017" s="10">
        <v>1016</v>
      </c>
      <c r="B1017" s="11" t="s">
        <v>9</v>
      </c>
      <c r="C1017" s="11" t="s">
        <v>179</v>
      </c>
      <c r="D1017" s="11" t="s">
        <v>180</v>
      </c>
      <c r="E1017" s="9" t="str">
        <f>+HYPERLINK("http://trademark.i-assist.jp/data/china/image_1908th/79858586.pdf", "79858586")</f>
        <v>79858586</v>
      </c>
      <c r="F1017" s="11" t="s">
        <v>3010</v>
      </c>
      <c r="G1017" s="11" t="s">
        <v>3011</v>
      </c>
      <c r="H1017" s="11" t="s">
        <v>3012</v>
      </c>
      <c r="I1017" s="11" t="s">
        <v>156</v>
      </c>
    </row>
    <row r="1018" spans="1:9" x14ac:dyDescent="0.15">
      <c r="A1018" s="10">
        <v>1017</v>
      </c>
      <c r="B1018" s="11" t="s">
        <v>9</v>
      </c>
      <c r="C1018" s="11" t="s">
        <v>179</v>
      </c>
      <c r="D1018" s="11" t="s">
        <v>180</v>
      </c>
      <c r="E1018" s="9" t="str">
        <f>+HYPERLINK("http://trademark.i-assist.jp/data/china/image_1908th/79859428.pdf", "79859428")</f>
        <v>79859428</v>
      </c>
      <c r="F1018" s="11" t="s">
        <v>3013</v>
      </c>
      <c r="G1018" s="11" t="s">
        <v>3014</v>
      </c>
      <c r="H1018" s="11" t="s">
        <v>3015</v>
      </c>
      <c r="I1018" s="11" t="s">
        <v>156</v>
      </c>
    </row>
    <row r="1019" spans="1:9" x14ac:dyDescent="0.15">
      <c r="A1019" s="10">
        <v>1018</v>
      </c>
      <c r="B1019" s="11" t="s">
        <v>9</v>
      </c>
      <c r="C1019" s="11" t="s">
        <v>179</v>
      </c>
      <c r="D1019" s="11" t="s">
        <v>180</v>
      </c>
      <c r="E1019" s="9" t="str">
        <f>+HYPERLINK("http://trademark.i-assist.jp/data/china/image_1908th/79859502.pdf", "79859502")</f>
        <v>79859502</v>
      </c>
      <c r="F1019" s="11" t="s">
        <v>3016</v>
      </c>
      <c r="G1019" s="11" t="s">
        <v>3017</v>
      </c>
      <c r="H1019" s="11" t="s">
        <v>3018</v>
      </c>
      <c r="I1019" s="11" t="s">
        <v>156</v>
      </c>
    </row>
    <row r="1020" spans="1:9" x14ac:dyDescent="0.15">
      <c r="A1020" s="10">
        <v>1019</v>
      </c>
      <c r="B1020" s="11" t="s">
        <v>9</v>
      </c>
      <c r="C1020" s="11" t="s">
        <v>179</v>
      </c>
      <c r="D1020" s="11" t="s">
        <v>180</v>
      </c>
      <c r="E1020" s="9" t="str">
        <f>+HYPERLINK("http://trademark.i-assist.jp/data/china/image_1908th/79860687.pdf", "79860687")</f>
        <v>79860687</v>
      </c>
      <c r="F1020" s="11" t="s">
        <v>3019</v>
      </c>
      <c r="G1020" s="11" t="s">
        <v>2059</v>
      </c>
      <c r="H1020" s="11" t="s">
        <v>3020</v>
      </c>
      <c r="I1020" s="11" t="s">
        <v>156</v>
      </c>
    </row>
    <row r="1021" spans="1:9" x14ac:dyDescent="0.15">
      <c r="A1021" s="10">
        <v>1020</v>
      </c>
      <c r="B1021" s="11" t="s">
        <v>9</v>
      </c>
      <c r="C1021" s="11" t="s">
        <v>179</v>
      </c>
      <c r="D1021" s="11" t="s">
        <v>180</v>
      </c>
      <c r="E1021" s="9" t="str">
        <f>+HYPERLINK("http://trademark.i-assist.jp/data/china/image_1908th/79860849.pdf", "79860849")</f>
        <v>79860849</v>
      </c>
      <c r="F1021" s="11" t="s">
        <v>3021</v>
      </c>
      <c r="G1021" s="11" t="s">
        <v>3000</v>
      </c>
      <c r="H1021" s="11" t="s">
        <v>3022</v>
      </c>
      <c r="I1021" s="11" t="s">
        <v>156</v>
      </c>
    </row>
    <row r="1022" spans="1:9" x14ac:dyDescent="0.15">
      <c r="A1022" s="10">
        <v>1021</v>
      </c>
      <c r="B1022" s="11" t="s">
        <v>9</v>
      </c>
      <c r="C1022" s="11" t="s">
        <v>179</v>
      </c>
      <c r="D1022" s="11" t="s">
        <v>180</v>
      </c>
      <c r="E1022" s="9" t="str">
        <f>+HYPERLINK("http://trademark.i-assist.jp/data/china/image_1908th/79860911.pdf", "79860911")</f>
        <v>79860911</v>
      </c>
      <c r="F1022" s="11" t="s">
        <v>3023</v>
      </c>
      <c r="G1022" s="11" t="s">
        <v>3024</v>
      </c>
      <c r="H1022" s="11" t="s">
        <v>3025</v>
      </c>
      <c r="I1022" s="11" t="s">
        <v>156</v>
      </c>
    </row>
    <row r="1023" spans="1:9" x14ac:dyDescent="0.15">
      <c r="A1023" s="10">
        <v>1022</v>
      </c>
      <c r="B1023" s="11" t="s">
        <v>9</v>
      </c>
      <c r="C1023" s="11" t="s">
        <v>179</v>
      </c>
      <c r="D1023" s="11" t="s">
        <v>180</v>
      </c>
      <c r="E1023" s="9" t="str">
        <f>+HYPERLINK("http://trademark.i-assist.jp/data/china/image_1908th/79861204.pdf", "79861204")</f>
        <v>79861204</v>
      </c>
      <c r="F1023" s="11" t="s">
        <v>3026</v>
      </c>
      <c r="G1023" s="11" t="s">
        <v>3011</v>
      </c>
      <c r="H1023" s="11" t="s">
        <v>3027</v>
      </c>
      <c r="I1023" s="11" t="s">
        <v>156</v>
      </c>
    </row>
    <row r="1024" spans="1:9" x14ac:dyDescent="0.15">
      <c r="A1024" s="10">
        <v>1023</v>
      </c>
      <c r="B1024" s="11" t="s">
        <v>9</v>
      </c>
      <c r="C1024" s="11" t="s">
        <v>179</v>
      </c>
      <c r="D1024" s="11" t="s">
        <v>180</v>
      </c>
      <c r="E1024" s="9" t="str">
        <f>+HYPERLINK("http://trademark.i-assist.jp/data/china/image_1908th/79861429.pdf", "79861429")</f>
        <v>79861429</v>
      </c>
      <c r="F1024" s="11" t="s">
        <v>3028</v>
      </c>
      <c r="G1024" s="11" t="s">
        <v>3029</v>
      </c>
      <c r="H1024" s="11" t="s">
        <v>3030</v>
      </c>
      <c r="I1024" s="11" t="s">
        <v>156</v>
      </c>
    </row>
    <row r="1025" spans="1:9" x14ac:dyDescent="0.15">
      <c r="A1025" s="10">
        <v>1024</v>
      </c>
      <c r="B1025" s="11" t="s">
        <v>9</v>
      </c>
      <c r="C1025" s="11" t="s">
        <v>179</v>
      </c>
      <c r="D1025" s="11" t="s">
        <v>180</v>
      </c>
      <c r="E1025" s="9" t="str">
        <f>+HYPERLINK("http://trademark.i-assist.jp/data/china/image_1908th/79861536.pdf", "79861536")</f>
        <v>79861536</v>
      </c>
      <c r="F1025" s="11" t="s">
        <v>3031</v>
      </c>
      <c r="G1025" s="11" t="s">
        <v>3032</v>
      </c>
      <c r="H1025" s="11" t="s">
        <v>3033</v>
      </c>
      <c r="I1025" s="11" t="s">
        <v>156</v>
      </c>
    </row>
    <row r="1026" spans="1:9" x14ac:dyDescent="0.15">
      <c r="A1026" s="10">
        <v>1025</v>
      </c>
      <c r="B1026" s="11" t="s">
        <v>9</v>
      </c>
      <c r="C1026" s="11" t="s">
        <v>179</v>
      </c>
      <c r="D1026" s="11" t="s">
        <v>180</v>
      </c>
      <c r="E1026" s="9" t="str">
        <f>+HYPERLINK("http://trademark.i-assist.jp/data/china/image_1908th/79861947.pdf", "79861947")</f>
        <v>79861947</v>
      </c>
      <c r="F1026" s="11" t="s">
        <v>3034</v>
      </c>
      <c r="G1026" s="11" t="s">
        <v>3035</v>
      </c>
      <c r="H1026" s="11" t="s">
        <v>3036</v>
      </c>
      <c r="I1026" s="11" t="s">
        <v>156</v>
      </c>
    </row>
    <row r="1027" spans="1:9" x14ac:dyDescent="0.15">
      <c r="A1027" s="10">
        <v>1026</v>
      </c>
      <c r="B1027" s="11" t="s">
        <v>9</v>
      </c>
      <c r="C1027" s="11" t="s">
        <v>179</v>
      </c>
      <c r="D1027" s="11" t="s">
        <v>180</v>
      </c>
      <c r="E1027" s="9" t="str">
        <f>+HYPERLINK("http://trademark.i-assist.jp/data/china/image_1908th/79862968.pdf", "79862968")</f>
        <v>79862968</v>
      </c>
      <c r="F1027" s="11" t="s">
        <v>3037</v>
      </c>
      <c r="G1027" s="11" t="s">
        <v>3038</v>
      </c>
      <c r="H1027" s="11" t="s">
        <v>3039</v>
      </c>
      <c r="I1027" s="11" t="s">
        <v>156</v>
      </c>
    </row>
    <row r="1028" spans="1:9" x14ac:dyDescent="0.15">
      <c r="A1028" s="10">
        <v>1027</v>
      </c>
      <c r="B1028" s="11" t="s">
        <v>9</v>
      </c>
      <c r="C1028" s="11" t="s">
        <v>179</v>
      </c>
      <c r="D1028" s="11" t="s">
        <v>180</v>
      </c>
      <c r="E1028" s="9" t="str">
        <f>+HYPERLINK("http://trademark.i-assist.jp/data/china/image_1908th/79863328.pdf", "79863328")</f>
        <v>79863328</v>
      </c>
      <c r="F1028" s="11" t="s">
        <v>3040</v>
      </c>
      <c r="G1028" s="11" t="s">
        <v>3041</v>
      </c>
      <c r="H1028" s="11" t="s">
        <v>3042</v>
      </c>
      <c r="I1028" s="11" t="s">
        <v>156</v>
      </c>
    </row>
    <row r="1029" spans="1:9" x14ac:dyDescent="0.15">
      <c r="A1029" s="10">
        <v>1028</v>
      </c>
      <c r="B1029" s="11" t="s">
        <v>9</v>
      </c>
      <c r="C1029" s="11" t="s">
        <v>179</v>
      </c>
      <c r="D1029" s="11" t="s">
        <v>180</v>
      </c>
      <c r="E1029" s="9" t="str">
        <f>+HYPERLINK("http://trademark.i-assist.jp/data/china/image_1908th/79863345.pdf", "79863345")</f>
        <v>79863345</v>
      </c>
      <c r="F1029" s="11" t="s">
        <v>3043</v>
      </c>
      <c r="G1029" s="11" t="s">
        <v>3044</v>
      </c>
      <c r="H1029" s="11" t="s">
        <v>3045</v>
      </c>
      <c r="I1029" s="11" t="s">
        <v>156</v>
      </c>
    </row>
    <row r="1030" spans="1:9" x14ac:dyDescent="0.15">
      <c r="A1030" s="10">
        <v>1029</v>
      </c>
      <c r="B1030" s="11" t="s">
        <v>9</v>
      </c>
      <c r="C1030" s="11" t="s">
        <v>179</v>
      </c>
      <c r="D1030" s="11" t="s">
        <v>180</v>
      </c>
      <c r="E1030" s="9" t="str">
        <f>+HYPERLINK("http://trademark.i-assist.jp/data/china/image_1908th/79863505.pdf", "79863505")</f>
        <v>79863505</v>
      </c>
      <c r="F1030" s="11" t="s">
        <v>3046</v>
      </c>
      <c r="G1030" s="11" t="s">
        <v>3047</v>
      </c>
      <c r="H1030" s="11" t="s">
        <v>3048</v>
      </c>
      <c r="I1030" s="11" t="s">
        <v>156</v>
      </c>
    </row>
    <row r="1031" spans="1:9" x14ac:dyDescent="0.15">
      <c r="A1031" s="10">
        <v>1030</v>
      </c>
      <c r="B1031" s="11" t="s">
        <v>9</v>
      </c>
      <c r="C1031" s="11" t="s">
        <v>179</v>
      </c>
      <c r="D1031" s="11" t="s">
        <v>180</v>
      </c>
      <c r="E1031" s="9" t="str">
        <f>+HYPERLINK("http://trademark.i-assist.jp/data/china/image_1908th/79863565.pdf", "79863565")</f>
        <v>79863565</v>
      </c>
      <c r="F1031" s="11" t="s">
        <v>3049</v>
      </c>
      <c r="G1031" s="11" t="s">
        <v>3050</v>
      </c>
      <c r="H1031" s="11" t="s">
        <v>3051</v>
      </c>
      <c r="I1031" s="11" t="s">
        <v>156</v>
      </c>
    </row>
    <row r="1032" spans="1:9" x14ac:dyDescent="0.15">
      <c r="A1032" s="10">
        <v>1031</v>
      </c>
      <c r="B1032" s="11" t="s">
        <v>9</v>
      </c>
      <c r="C1032" s="11" t="s">
        <v>179</v>
      </c>
      <c r="D1032" s="11" t="s">
        <v>180</v>
      </c>
      <c r="E1032" s="9" t="str">
        <f>+HYPERLINK("http://trademark.i-assist.jp/data/china/image_1908th/79863586.pdf", "79863586")</f>
        <v>79863586</v>
      </c>
      <c r="F1032" s="11" t="s">
        <v>3052</v>
      </c>
      <c r="G1032" s="11" t="s">
        <v>3053</v>
      </c>
      <c r="H1032" s="11" t="s">
        <v>3054</v>
      </c>
      <c r="I1032" s="11" t="s">
        <v>156</v>
      </c>
    </row>
    <row r="1033" spans="1:9" x14ac:dyDescent="0.15">
      <c r="A1033" s="10">
        <v>1032</v>
      </c>
      <c r="B1033" s="11" t="s">
        <v>9</v>
      </c>
      <c r="C1033" s="11" t="s">
        <v>179</v>
      </c>
      <c r="D1033" s="11" t="s">
        <v>180</v>
      </c>
      <c r="E1033" s="9" t="str">
        <f>+HYPERLINK("http://trademark.i-assist.jp/data/china/image_1908th/79865066.pdf", "79865066")</f>
        <v>79865066</v>
      </c>
      <c r="F1033" s="11" t="s">
        <v>3055</v>
      </c>
      <c r="G1033" s="11" t="s">
        <v>99</v>
      </c>
      <c r="H1033" s="11" t="s">
        <v>3056</v>
      </c>
      <c r="I1033" s="11" t="s">
        <v>156</v>
      </c>
    </row>
    <row r="1034" spans="1:9" x14ac:dyDescent="0.15">
      <c r="A1034" s="10">
        <v>1033</v>
      </c>
      <c r="B1034" s="11" t="s">
        <v>9</v>
      </c>
      <c r="C1034" s="11" t="s">
        <v>179</v>
      </c>
      <c r="D1034" s="11" t="s">
        <v>180</v>
      </c>
      <c r="E1034" s="9" t="str">
        <f>+HYPERLINK("http://trademark.i-assist.jp/data/china/image_1908th/79865184.pdf", "79865184")</f>
        <v>79865184</v>
      </c>
      <c r="F1034" s="11" t="s">
        <v>3057</v>
      </c>
      <c r="G1034" s="11" t="s">
        <v>3058</v>
      </c>
      <c r="H1034" s="11" t="s">
        <v>3059</v>
      </c>
      <c r="I1034" s="11" t="s">
        <v>156</v>
      </c>
    </row>
    <row r="1035" spans="1:9" x14ac:dyDescent="0.15">
      <c r="A1035" s="10">
        <v>1034</v>
      </c>
      <c r="B1035" s="11" t="s">
        <v>9</v>
      </c>
      <c r="C1035" s="11" t="s">
        <v>179</v>
      </c>
      <c r="D1035" s="11" t="s">
        <v>180</v>
      </c>
      <c r="E1035" s="9" t="str">
        <f>+HYPERLINK("http://trademark.i-assist.jp/data/china/image_1908th/79865267.pdf", "79865267")</f>
        <v>79865267</v>
      </c>
      <c r="F1035" s="11" t="s">
        <v>3060</v>
      </c>
      <c r="G1035" s="11" t="s">
        <v>3061</v>
      </c>
      <c r="H1035" s="11" t="s">
        <v>3062</v>
      </c>
      <c r="I1035" s="11" t="s">
        <v>156</v>
      </c>
    </row>
    <row r="1036" spans="1:9" x14ac:dyDescent="0.15">
      <c r="A1036" s="10">
        <v>1035</v>
      </c>
      <c r="B1036" s="11" t="s">
        <v>9</v>
      </c>
      <c r="C1036" s="11" t="s">
        <v>179</v>
      </c>
      <c r="D1036" s="11" t="s">
        <v>180</v>
      </c>
      <c r="E1036" s="9" t="str">
        <f>+HYPERLINK("http://trademark.i-assist.jp/data/china/image_1908th/79865684.pdf", "79865684")</f>
        <v>79865684</v>
      </c>
      <c r="F1036" s="11" t="s">
        <v>10</v>
      </c>
      <c r="G1036" s="11" t="s">
        <v>3063</v>
      </c>
      <c r="H1036" s="11" t="s">
        <v>3064</v>
      </c>
      <c r="I1036" s="11" t="s">
        <v>156</v>
      </c>
    </row>
    <row r="1037" spans="1:9" x14ac:dyDescent="0.15">
      <c r="A1037" s="10">
        <v>1036</v>
      </c>
      <c r="B1037" s="11" t="s">
        <v>9</v>
      </c>
      <c r="C1037" s="11" t="s">
        <v>179</v>
      </c>
      <c r="D1037" s="11" t="s">
        <v>180</v>
      </c>
      <c r="E1037" s="9" t="str">
        <f>+HYPERLINK("http://trademark.i-assist.jp/data/china/image_1908th/79865847.pdf", "79865847")</f>
        <v>79865847</v>
      </c>
      <c r="F1037" s="11" t="s">
        <v>3065</v>
      </c>
      <c r="G1037" s="11" t="s">
        <v>3066</v>
      </c>
      <c r="H1037" s="11" t="s">
        <v>3067</v>
      </c>
      <c r="I1037" s="11" t="s">
        <v>156</v>
      </c>
    </row>
    <row r="1038" spans="1:9" x14ac:dyDescent="0.15">
      <c r="A1038" s="10">
        <v>1037</v>
      </c>
      <c r="B1038" s="11" t="s">
        <v>9</v>
      </c>
      <c r="C1038" s="11" t="s">
        <v>179</v>
      </c>
      <c r="D1038" s="11" t="s">
        <v>180</v>
      </c>
      <c r="E1038" s="9" t="str">
        <f>+HYPERLINK("http://trademark.i-assist.jp/data/china/image_1908th/79867320.pdf", "79867320")</f>
        <v>79867320</v>
      </c>
      <c r="F1038" s="11" t="s">
        <v>3068</v>
      </c>
      <c r="G1038" s="11" t="s">
        <v>3069</v>
      </c>
      <c r="H1038" s="11" t="s">
        <v>3070</v>
      </c>
      <c r="I1038" s="11" t="s">
        <v>156</v>
      </c>
    </row>
    <row r="1039" spans="1:9" x14ac:dyDescent="0.15">
      <c r="A1039" s="10">
        <v>1038</v>
      </c>
      <c r="B1039" s="11" t="s">
        <v>9</v>
      </c>
      <c r="C1039" s="11" t="s">
        <v>179</v>
      </c>
      <c r="D1039" s="11" t="s">
        <v>180</v>
      </c>
      <c r="E1039" s="9" t="str">
        <f>+HYPERLINK("http://trademark.i-assist.jp/data/china/image_1908th/79867331.pdf", "79867331")</f>
        <v>79867331</v>
      </c>
      <c r="F1039" s="11" t="s">
        <v>3071</v>
      </c>
      <c r="G1039" s="11" t="s">
        <v>3072</v>
      </c>
      <c r="H1039" s="11" t="s">
        <v>3073</v>
      </c>
      <c r="I1039" s="11" t="s">
        <v>156</v>
      </c>
    </row>
    <row r="1040" spans="1:9" x14ac:dyDescent="0.15">
      <c r="A1040" s="10">
        <v>1039</v>
      </c>
      <c r="B1040" s="11" t="s">
        <v>9</v>
      </c>
      <c r="C1040" s="11" t="s">
        <v>179</v>
      </c>
      <c r="D1040" s="11" t="s">
        <v>180</v>
      </c>
      <c r="E1040" s="9" t="str">
        <f>+HYPERLINK("http://trademark.i-assist.jp/data/china/image_1908th/79868227.pdf", "79868227")</f>
        <v>79868227</v>
      </c>
      <c r="F1040" s="11" t="s">
        <v>3074</v>
      </c>
      <c r="G1040" s="11" t="s">
        <v>3011</v>
      </c>
      <c r="H1040" s="11" t="s">
        <v>3075</v>
      </c>
      <c r="I1040" s="11" t="s">
        <v>156</v>
      </c>
    </row>
    <row r="1041" spans="1:9" x14ac:dyDescent="0.15">
      <c r="A1041" s="10">
        <v>1040</v>
      </c>
      <c r="B1041" s="11" t="s">
        <v>9</v>
      </c>
      <c r="C1041" s="11" t="s">
        <v>179</v>
      </c>
      <c r="D1041" s="11" t="s">
        <v>180</v>
      </c>
      <c r="E1041" s="9" t="str">
        <f>+HYPERLINK("http://trademark.i-assist.jp/data/china/image_1908th/79868316.pdf", "79868316")</f>
        <v>79868316</v>
      </c>
      <c r="F1041" s="11" t="s">
        <v>3076</v>
      </c>
      <c r="G1041" s="11" t="s">
        <v>160</v>
      </c>
      <c r="H1041" s="11" t="s">
        <v>3077</v>
      </c>
      <c r="I1041" s="11" t="s">
        <v>156</v>
      </c>
    </row>
    <row r="1042" spans="1:9" x14ac:dyDescent="0.15">
      <c r="A1042" s="10">
        <v>1041</v>
      </c>
      <c r="B1042" s="11" t="s">
        <v>9</v>
      </c>
      <c r="C1042" s="11" t="s">
        <v>179</v>
      </c>
      <c r="D1042" s="11" t="s">
        <v>180</v>
      </c>
      <c r="E1042" s="9" t="str">
        <f>+HYPERLINK("http://trademark.i-assist.jp/data/china/image_1908th/79868838.pdf", "79868838")</f>
        <v>79868838</v>
      </c>
      <c r="F1042" s="11" t="s">
        <v>3078</v>
      </c>
      <c r="G1042" s="11" t="s">
        <v>3079</v>
      </c>
      <c r="H1042" s="11" t="s">
        <v>3080</v>
      </c>
      <c r="I1042" s="11" t="s">
        <v>156</v>
      </c>
    </row>
    <row r="1043" spans="1:9" x14ac:dyDescent="0.15">
      <c r="A1043" s="10">
        <v>1042</v>
      </c>
      <c r="B1043" s="11" t="s">
        <v>9</v>
      </c>
      <c r="C1043" s="11" t="s">
        <v>179</v>
      </c>
      <c r="D1043" s="11" t="s">
        <v>180</v>
      </c>
      <c r="E1043" s="9" t="str">
        <f>+HYPERLINK("http://trademark.i-assist.jp/data/china/image_1908th/79868914.pdf", "79868914")</f>
        <v>79868914</v>
      </c>
      <c r="F1043" s="11" t="s">
        <v>3081</v>
      </c>
      <c r="G1043" s="11" t="s">
        <v>3082</v>
      </c>
      <c r="H1043" s="11" t="s">
        <v>3083</v>
      </c>
      <c r="I1043" s="11" t="s">
        <v>156</v>
      </c>
    </row>
    <row r="1044" spans="1:9" x14ac:dyDescent="0.15">
      <c r="A1044" s="10">
        <v>1043</v>
      </c>
      <c r="B1044" s="11" t="s">
        <v>9</v>
      </c>
      <c r="C1044" s="11" t="s">
        <v>179</v>
      </c>
      <c r="D1044" s="11" t="s">
        <v>180</v>
      </c>
      <c r="E1044" s="9" t="str">
        <f>+HYPERLINK("http://trademark.i-assist.jp/data/china/image_1908th/79869074.pdf", "79869074")</f>
        <v>79869074</v>
      </c>
      <c r="F1044" s="11" t="s">
        <v>3084</v>
      </c>
      <c r="G1044" s="11" t="s">
        <v>3085</v>
      </c>
      <c r="H1044" s="11" t="s">
        <v>3086</v>
      </c>
      <c r="I1044" s="11" t="s">
        <v>156</v>
      </c>
    </row>
    <row r="1045" spans="1:9" x14ac:dyDescent="0.15">
      <c r="A1045" s="10">
        <v>1044</v>
      </c>
      <c r="B1045" s="11" t="s">
        <v>9</v>
      </c>
      <c r="C1045" s="11" t="s">
        <v>179</v>
      </c>
      <c r="D1045" s="11" t="s">
        <v>180</v>
      </c>
      <c r="E1045" s="9" t="str">
        <f>+HYPERLINK("http://trademark.i-assist.jp/data/china/image_1908th/79869262.pdf", "79869262")</f>
        <v>79869262</v>
      </c>
      <c r="F1045" s="11" t="s">
        <v>3087</v>
      </c>
      <c r="G1045" s="11" t="s">
        <v>3088</v>
      </c>
      <c r="H1045" s="11" t="s">
        <v>3089</v>
      </c>
      <c r="I1045" s="11" t="s">
        <v>156</v>
      </c>
    </row>
    <row r="1046" spans="1:9" x14ac:dyDescent="0.15">
      <c r="A1046" s="10">
        <v>1045</v>
      </c>
      <c r="B1046" s="11" t="s">
        <v>9</v>
      </c>
      <c r="C1046" s="11" t="s">
        <v>179</v>
      </c>
      <c r="D1046" s="11" t="s">
        <v>180</v>
      </c>
      <c r="E1046" s="9" t="str">
        <f>+HYPERLINK("http://trademark.i-assist.jp/data/china/image_1908th/79869277.pdf", "79869277")</f>
        <v>79869277</v>
      </c>
      <c r="F1046" s="11" t="s">
        <v>10</v>
      </c>
      <c r="G1046" s="11" t="s">
        <v>3090</v>
      </c>
      <c r="H1046" s="11" t="s">
        <v>3091</v>
      </c>
      <c r="I1046" s="11" t="s">
        <v>156</v>
      </c>
    </row>
    <row r="1047" spans="1:9" x14ac:dyDescent="0.15">
      <c r="A1047" s="10">
        <v>1046</v>
      </c>
      <c r="B1047" s="11" t="s">
        <v>9</v>
      </c>
      <c r="C1047" s="11" t="s">
        <v>179</v>
      </c>
      <c r="D1047" s="11" t="s">
        <v>180</v>
      </c>
      <c r="E1047" s="9" t="str">
        <f>+HYPERLINK("http://trademark.i-assist.jp/data/china/image_1908th/79869697.pdf", "79869697")</f>
        <v>79869697</v>
      </c>
      <c r="F1047" s="11" t="s">
        <v>3092</v>
      </c>
      <c r="G1047" s="11" t="s">
        <v>3093</v>
      </c>
      <c r="H1047" s="11" t="s">
        <v>3094</v>
      </c>
      <c r="I1047" s="11" t="s">
        <v>156</v>
      </c>
    </row>
    <row r="1048" spans="1:9" x14ac:dyDescent="0.15">
      <c r="A1048" s="10">
        <v>1047</v>
      </c>
      <c r="B1048" s="11" t="s">
        <v>9</v>
      </c>
      <c r="C1048" s="11" t="s">
        <v>179</v>
      </c>
      <c r="D1048" s="11" t="s">
        <v>180</v>
      </c>
      <c r="E1048" s="9" t="str">
        <f>+HYPERLINK("http://trademark.i-assist.jp/data/china/image_1908th/79870439.pdf", "79870439")</f>
        <v>79870439</v>
      </c>
      <c r="F1048" s="11" t="s">
        <v>3095</v>
      </c>
      <c r="G1048" s="11" t="s">
        <v>160</v>
      </c>
      <c r="H1048" s="11" t="s">
        <v>3096</v>
      </c>
      <c r="I1048" s="11" t="s">
        <v>156</v>
      </c>
    </row>
    <row r="1049" spans="1:9" x14ac:dyDescent="0.15">
      <c r="A1049" s="10">
        <v>1048</v>
      </c>
      <c r="B1049" s="11" t="s">
        <v>9</v>
      </c>
      <c r="C1049" s="11" t="s">
        <v>179</v>
      </c>
      <c r="D1049" s="11" t="s">
        <v>180</v>
      </c>
      <c r="E1049" s="9" t="str">
        <f>+HYPERLINK("http://trademark.i-assist.jp/data/china/image_1908th/79870948.pdf", "79870948")</f>
        <v>79870948</v>
      </c>
      <c r="F1049" s="11" t="s">
        <v>3097</v>
      </c>
      <c r="G1049" s="11" t="s">
        <v>3098</v>
      </c>
      <c r="H1049" s="11" t="s">
        <v>3099</v>
      </c>
      <c r="I1049" s="11" t="s">
        <v>156</v>
      </c>
    </row>
    <row r="1050" spans="1:9" x14ac:dyDescent="0.15">
      <c r="A1050" s="10">
        <v>1049</v>
      </c>
      <c r="B1050" s="11" t="s">
        <v>9</v>
      </c>
      <c r="C1050" s="11" t="s">
        <v>179</v>
      </c>
      <c r="D1050" s="11" t="s">
        <v>180</v>
      </c>
      <c r="E1050" s="9" t="str">
        <f>+HYPERLINK("http://trademark.i-assist.jp/data/china/image_1908th/79871452.pdf", "79871452")</f>
        <v>79871452</v>
      </c>
      <c r="F1050" s="11" t="s">
        <v>10</v>
      </c>
      <c r="G1050" s="11" t="s">
        <v>3100</v>
      </c>
      <c r="H1050" s="11" t="s">
        <v>3101</v>
      </c>
      <c r="I1050" s="11" t="s">
        <v>156</v>
      </c>
    </row>
    <row r="1051" spans="1:9" x14ac:dyDescent="0.15">
      <c r="A1051" s="10">
        <v>1050</v>
      </c>
      <c r="B1051" s="11" t="s">
        <v>9</v>
      </c>
      <c r="C1051" s="11" t="s">
        <v>179</v>
      </c>
      <c r="D1051" s="11" t="s">
        <v>180</v>
      </c>
      <c r="E1051" s="9" t="str">
        <f>+HYPERLINK("http://trademark.i-assist.jp/data/china/image_1908th/79871583.pdf", "79871583")</f>
        <v>79871583</v>
      </c>
      <c r="F1051" s="11" t="s">
        <v>3102</v>
      </c>
      <c r="G1051" s="11" t="s">
        <v>3011</v>
      </c>
      <c r="H1051" s="11" t="s">
        <v>3103</v>
      </c>
      <c r="I1051" s="11" t="s">
        <v>156</v>
      </c>
    </row>
    <row r="1052" spans="1:9" x14ac:dyDescent="0.15">
      <c r="A1052" s="10">
        <v>1051</v>
      </c>
      <c r="B1052" s="11" t="s">
        <v>9</v>
      </c>
      <c r="C1052" s="11" t="s">
        <v>179</v>
      </c>
      <c r="D1052" s="11" t="s">
        <v>180</v>
      </c>
      <c r="E1052" s="9" t="str">
        <f>+HYPERLINK("http://trademark.i-assist.jp/data/china/image_1908th/79871716.pdf", "79871716")</f>
        <v>79871716</v>
      </c>
      <c r="F1052" s="11" t="s">
        <v>3104</v>
      </c>
      <c r="G1052" s="11" t="s">
        <v>3105</v>
      </c>
      <c r="H1052" s="11" t="s">
        <v>3106</v>
      </c>
      <c r="I1052" s="11" t="s">
        <v>156</v>
      </c>
    </row>
    <row r="1053" spans="1:9" x14ac:dyDescent="0.15">
      <c r="A1053" s="10">
        <v>1052</v>
      </c>
      <c r="B1053" s="11" t="s">
        <v>9</v>
      </c>
      <c r="C1053" s="11" t="s">
        <v>179</v>
      </c>
      <c r="D1053" s="11" t="s">
        <v>180</v>
      </c>
      <c r="E1053" s="9" t="str">
        <f>+HYPERLINK("http://trademark.i-assist.jp/data/china/image_1908th/79872032.pdf", "79872032")</f>
        <v>79872032</v>
      </c>
      <c r="F1053" s="11" t="s">
        <v>3107</v>
      </c>
      <c r="G1053" s="11" t="s">
        <v>99</v>
      </c>
      <c r="H1053" s="11" t="s">
        <v>3108</v>
      </c>
      <c r="I1053" s="11" t="s">
        <v>156</v>
      </c>
    </row>
    <row r="1054" spans="1:9" x14ac:dyDescent="0.15">
      <c r="A1054" s="10">
        <v>1053</v>
      </c>
      <c r="B1054" s="11" t="s">
        <v>9</v>
      </c>
      <c r="C1054" s="11" t="s">
        <v>179</v>
      </c>
      <c r="D1054" s="11" t="s">
        <v>180</v>
      </c>
      <c r="E1054" s="9" t="str">
        <f>+HYPERLINK("http://trademark.i-assist.jp/data/china/image_1908th/79872075.pdf", "79872075")</f>
        <v>79872075</v>
      </c>
      <c r="F1054" s="11" t="s">
        <v>3109</v>
      </c>
      <c r="G1054" s="11" t="s">
        <v>3110</v>
      </c>
      <c r="H1054" s="11" t="s">
        <v>3111</v>
      </c>
      <c r="I1054" s="11" t="s">
        <v>156</v>
      </c>
    </row>
    <row r="1055" spans="1:9" x14ac:dyDescent="0.15">
      <c r="A1055" s="10">
        <v>1054</v>
      </c>
      <c r="B1055" s="11" t="s">
        <v>9</v>
      </c>
      <c r="C1055" s="11" t="s">
        <v>179</v>
      </c>
      <c r="D1055" s="11" t="s">
        <v>180</v>
      </c>
      <c r="E1055" s="9" t="str">
        <f>+HYPERLINK("http://trademark.i-assist.jp/data/china/image_1908th/79872214.pdf", "79872214")</f>
        <v>79872214</v>
      </c>
      <c r="F1055" s="11" t="s">
        <v>3112</v>
      </c>
      <c r="G1055" s="11" t="s">
        <v>1106</v>
      </c>
      <c r="H1055" s="11" t="s">
        <v>3113</v>
      </c>
      <c r="I1055" s="11" t="s">
        <v>156</v>
      </c>
    </row>
    <row r="1056" spans="1:9" x14ac:dyDescent="0.15">
      <c r="A1056" s="10">
        <v>1055</v>
      </c>
      <c r="B1056" s="11" t="s">
        <v>9</v>
      </c>
      <c r="C1056" s="11" t="s">
        <v>179</v>
      </c>
      <c r="D1056" s="11" t="s">
        <v>180</v>
      </c>
      <c r="E1056" s="9" t="str">
        <f>+HYPERLINK("http://trademark.i-assist.jp/data/china/image_1908th/79872377.pdf", "79872377")</f>
        <v>79872377</v>
      </c>
      <c r="F1056" s="11" t="s">
        <v>3114</v>
      </c>
      <c r="G1056" s="11" t="s">
        <v>3115</v>
      </c>
      <c r="H1056" s="11" t="s">
        <v>3116</v>
      </c>
      <c r="I1056" s="11" t="s">
        <v>156</v>
      </c>
    </row>
    <row r="1057" spans="1:9" x14ac:dyDescent="0.15">
      <c r="A1057" s="10">
        <v>1056</v>
      </c>
      <c r="B1057" s="11" t="s">
        <v>9</v>
      </c>
      <c r="C1057" s="11" t="s">
        <v>179</v>
      </c>
      <c r="D1057" s="11" t="s">
        <v>180</v>
      </c>
      <c r="E1057" s="9" t="str">
        <f>+HYPERLINK("http://trademark.i-assist.jp/data/china/image_1908th/79872472.pdf", "79872472")</f>
        <v>79872472</v>
      </c>
      <c r="F1057" s="11" t="s">
        <v>3117</v>
      </c>
      <c r="G1057" s="11" t="s">
        <v>3118</v>
      </c>
      <c r="H1057" s="11" t="s">
        <v>3119</v>
      </c>
      <c r="I1057" s="11" t="s">
        <v>156</v>
      </c>
    </row>
    <row r="1058" spans="1:9" x14ac:dyDescent="0.15">
      <c r="A1058" s="10">
        <v>1057</v>
      </c>
      <c r="B1058" s="11" t="s">
        <v>9</v>
      </c>
      <c r="C1058" s="11" t="s">
        <v>179</v>
      </c>
      <c r="D1058" s="11" t="s">
        <v>180</v>
      </c>
      <c r="E1058" s="9" t="str">
        <f>+HYPERLINK("http://trademark.i-assist.jp/data/china/image_1908th/79872678.pdf", "79872678")</f>
        <v>79872678</v>
      </c>
      <c r="F1058" s="11" t="s">
        <v>3120</v>
      </c>
      <c r="G1058" s="11" t="s">
        <v>3011</v>
      </c>
      <c r="H1058" s="11" t="s">
        <v>3121</v>
      </c>
      <c r="I1058" s="11" t="s">
        <v>156</v>
      </c>
    </row>
    <row r="1059" spans="1:9" x14ac:dyDescent="0.15">
      <c r="A1059" s="10">
        <v>1058</v>
      </c>
      <c r="B1059" s="11" t="s">
        <v>9</v>
      </c>
      <c r="C1059" s="11" t="s">
        <v>179</v>
      </c>
      <c r="D1059" s="11" t="s">
        <v>180</v>
      </c>
      <c r="E1059" s="9" t="str">
        <f>+HYPERLINK("http://trademark.i-assist.jp/data/china/image_1908th/79872766.pdf", "79872766")</f>
        <v>79872766</v>
      </c>
      <c r="F1059" s="11" t="s">
        <v>3122</v>
      </c>
      <c r="G1059" s="11" t="s">
        <v>3123</v>
      </c>
      <c r="H1059" s="11" t="s">
        <v>3124</v>
      </c>
      <c r="I1059" s="11" t="s">
        <v>156</v>
      </c>
    </row>
    <row r="1060" spans="1:9" x14ac:dyDescent="0.15">
      <c r="A1060" s="10">
        <v>1059</v>
      </c>
      <c r="B1060" s="11" t="s">
        <v>9</v>
      </c>
      <c r="C1060" s="11" t="s">
        <v>179</v>
      </c>
      <c r="D1060" s="11" t="s">
        <v>180</v>
      </c>
      <c r="E1060" s="9" t="str">
        <f>+HYPERLINK("http://trademark.i-assist.jp/data/china/image_1908th/79873218.pdf", "79873218")</f>
        <v>79873218</v>
      </c>
      <c r="F1060" s="11" t="s">
        <v>3125</v>
      </c>
      <c r="G1060" s="11" t="s">
        <v>3126</v>
      </c>
      <c r="H1060" s="11" t="s">
        <v>3127</v>
      </c>
      <c r="I1060" s="11" t="s">
        <v>156</v>
      </c>
    </row>
    <row r="1061" spans="1:9" x14ac:dyDescent="0.15">
      <c r="A1061" s="10">
        <v>1060</v>
      </c>
      <c r="B1061" s="11" t="s">
        <v>9</v>
      </c>
      <c r="C1061" s="11" t="s">
        <v>179</v>
      </c>
      <c r="D1061" s="11" t="s">
        <v>180</v>
      </c>
      <c r="E1061" s="9" t="str">
        <f>+HYPERLINK("http://trademark.i-assist.jp/data/china/image_1908th/79873226.pdf", "79873226")</f>
        <v>79873226</v>
      </c>
      <c r="F1061" s="11" t="s">
        <v>3128</v>
      </c>
      <c r="G1061" s="11" t="s">
        <v>3129</v>
      </c>
      <c r="H1061" s="11" t="s">
        <v>3130</v>
      </c>
      <c r="I1061" s="11" t="s">
        <v>156</v>
      </c>
    </row>
    <row r="1062" spans="1:9" x14ac:dyDescent="0.15">
      <c r="A1062" s="10">
        <v>1061</v>
      </c>
      <c r="B1062" s="11" t="s">
        <v>9</v>
      </c>
      <c r="C1062" s="11" t="s">
        <v>179</v>
      </c>
      <c r="D1062" s="11" t="s">
        <v>180</v>
      </c>
      <c r="E1062" s="9" t="str">
        <f>+HYPERLINK("http://trademark.i-assist.jp/data/china/image_1908th/79875278.pdf", "79875278")</f>
        <v>79875278</v>
      </c>
      <c r="F1062" s="11" t="s">
        <v>3131</v>
      </c>
      <c r="G1062" s="11" t="s">
        <v>3132</v>
      </c>
      <c r="H1062" s="11" t="s">
        <v>3133</v>
      </c>
      <c r="I1062" s="11" t="s">
        <v>156</v>
      </c>
    </row>
    <row r="1063" spans="1:9" x14ac:dyDescent="0.15">
      <c r="A1063" s="10">
        <v>1062</v>
      </c>
      <c r="B1063" s="11" t="s">
        <v>9</v>
      </c>
      <c r="C1063" s="11" t="s">
        <v>179</v>
      </c>
      <c r="D1063" s="11" t="s">
        <v>180</v>
      </c>
      <c r="E1063" s="9" t="str">
        <f>+HYPERLINK("http://trademark.i-assist.jp/data/china/image_1908th/79875735.pdf", "79875735")</f>
        <v>79875735</v>
      </c>
      <c r="F1063" s="11" t="s">
        <v>3134</v>
      </c>
      <c r="G1063" s="11" t="s">
        <v>1770</v>
      </c>
      <c r="H1063" s="11" t="s">
        <v>3135</v>
      </c>
      <c r="I1063" s="11" t="s">
        <v>156</v>
      </c>
    </row>
    <row r="1064" spans="1:9" x14ac:dyDescent="0.15">
      <c r="A1064" s="10">
        <v>1063</v>
      </c>
      <c r="B1064" s="11" t="s">
        <v>9</v>
      </c>
      <c r="C1064" s="11" t="s">
        <v>179</v>
      </c>
      <c r="D1064" s="11" t="s">
        <v>180</v>
      </c>
      <c r="E1064" s="9" t="str">
        <f>+HYPERLINK("http://trademark.i-assist.jp/data/china/image_1908th/79877093.pdf", "79877093")</f>
        <v>79877093</v>
      </c>
      <c r="F1064" s="11" t="s">
        <v>3136</v>
      </c>
      <c r="G1064" s="11" t="s">
        <v>3137</v>
      </c>
      <c r="H1064" s="11" t="s">
        <v>3138</v>
      </c>
      <c r="I1064" s="11" t="s">
        <v>156</v>
      </c>
    </row>
    <row r="1065" spans="1:9" x14ac:dyDescent="0.15">
      <c r="A1065" s="10">
        <v>1064</v>
      </c>
      <c r="B1065" s="11" t="s">
        <v>9</v>
      </c>
      <c r="C1065" s="11" t="s">
        <v>179</v>
      </c>
      <c r="D1065" s="11" t="s">
        <v>180</v>
      </c>
      <c r="E1065" s="9" t="str">
        <f>+HYPERLINK("http://trademark.i-assist.jp/data/china/image_1908th/79877271.pdf", "79877271")</f>
        <v>79877271</v>
      </c>
      <c r="F1065" s="11" t="s">
        <v>3139</v>
      </c>
      <c r="G1065" s="11" t="s">
        <v>3140</v>
      </c>
      <c r="H1065" s="11" t="s">
        <v>3141</v>
      </c>
      <c r="I1065" s="11" t="s">
        <v>156</v>
      </c>
    </row>
    <row r="1066" spans="1:9" x14ac:dyDescent="0.15">
      <c r="A1066" s="10">
        <v>1065</v>
      </c>
      <c r="B1066" s="11" t="s">
        <v>9</v>
      </c>
      <c r="C1066" s="11" t="s">
        <v>179</v>
      </c>
      <c r="D1066" s="11" t="s">
        <v>180</v>
      </c>
      <c r="E1066" s="9" t="str">
        <f>+HYPERLINK("http://trademark.i-assist.jp/data/china/image_1908th/79877292.pdf", "79877292")</f>
        <v>79877292</v>
      </c>
      <c r="F1066" s="11" t="s">
        <v>3142</v>
      </c>
      <c r="G1066" s="11" t="s">
        <v>160</v>
      </c>
      <c r="H1066" s="11" t="s">
        <v>3143</v>
      </c>
      <c r="I1066" s="11" t="s">
        <v>156</v>
      </c>
    </row>
    <row r="1067" spans="1:9" x14ac:dyDescent="0.15">
      <c r="A1067" s="10">
        <v>1066</v>
      </c>
      <c r="B1067" s="11" t="s">
        <v>9</v>
      </c>
      <c r="C1067" s="11" t="s">
        <v>179</v>
      </c>
      <c r="D1067" s="11" t="s">
        <v>180</v>
      </c>
      <c r="E1067" s="9" t="str">
        <f>+HYPERLINK("http://trademark.i-assist.jp/data/china/image_1908th/79877447.pdf", "79877447")</f>
        <v>79877447</v>
      </c>
      <c r="F1067" s="11" t="s">
        <v>3144</v>
      </c>
      <c r="G1067" s="11" t="s">
        <v>99</v>
      </c>
      <c r="H1067" s="11" t="s">
        <v>3145</v>
      </c>
      <c r="I1067" s="11" t="s">
        <v>156</v>
      </c>
    </row>
    <row r="1068" spans="1:9" x14ac:dyDescent="0.15">
      <c r="A1068" s="10">
        <v>1067</v>
      </c>
      <c r="B1068" s="11" t="s">
        <v>9</v>
      </c>
      <c r="C1068" s="11" t="s">
        <v>179</v>
      </c>
      <c r="D1068" s="11" t="s">
        <v>180</v>
      </c>
      <c r="E1068" s="9" t="str">
        <f>+HYPERLINK("http://trademark.i-assist.jp/data/china/image_1908th/79877520.pdf", "79877520")</f>
        <v>79877520</v>
      </c>
      <c r="F1068" s="11" t="s">
        <v>3146</v>
      </c>
      <c r="G1068" s="11" t="s">
        <v>3147</v>
      </c>
      <c r="H1068" s="11" t="s">
        <v>3148</v>
      </c>
      <c r="I1068" s="11" t="s">
        <v>156</v>
      </c>
    </row>
    <row r="1069" spans="1:9" x14ac:dyDescent="0.15">
      <c r="A1069" s="10">
        <v>1068</v>
      </c>
      <c r="B1069" s="11" t="s">
        <v>9</v>
      </c>
      <c r="C1069" s="11" t="s">
        <v>179</v>
      </c>
      <c r="D1069" s="11" t="s">
        <v>180</v>
      </c>
      <c r="E1069" s="9" t="str">
        <f>+HYPERLINK("http://trademark.i-assist.jp/data/china/image_1908th/79877630.pdf", "79877630")</f>
        <v>79877630</v>
      </c>
      <c r="F1069" s="11" t="s">
        <v>3149</v>
      </c>
      <c r="G1069" s="11" t="s">
        <v>2227</v>
      </c>
      <c r="H1069" s="11" t="s">
        <v>3150</v>
      </c>
      <c r="I1069" s="11" t="s">
        <v>156</v>
      </c>
    </row>
    <row r="1070" spans="1:9" x14ac:dyDescent="0.15">
      <c r="A1070" s="10">
        <v>1069</v>
      </c>
      <c r="B1070" s="11" t="s">
        <v>9</v>
      </c>
      <c r="C1070" s="11" t="s">
        <v>179</v>
      </c>
      <c r="D1070" s="11" t="s">
        <v>180</v>
      </c>
      <c r="E1070" s="9" t="str">
        <f>+HYPERLINK("http://trademark.i-assist.jp/data/china/image_1908th/79877632.pdf", "79877632")</f>
        <v>79877632</v>
      </c>
      <c r="F1070" s="11" t="s">
        <v>3151</v>
      </c>
      <c r="G1070" s="11" t="s">
        <v>3152</v>
      </c>
      <c r="H1070" s="11" t="s">
        <v>3153</v>
      </c>
      <c r="I1070" s="11" t="s">
        <v>156</v>
      </c>
    </row>
    <row r="1071" spans="1:9" x14ac:dyDescent="0.15">
      <c r="A1071" s="10">
        <v>1070</v>
      </c>
      <c r="B1071" s="11" t="s">
        <v>9</v>
      </c>
      <c r="C1071" s="11" t="s">
        <v>179</v>
      </c>
      <c r="D1071" s="11" t="s">
        <v>180</v>
      </c>
      <c r="E1071" s="9" t="str">
        <f>+HYPERLINK("http://trademark.i-assist.jp/data/china/image_1908th/79877735.pdf", "79877735")</f>
        <v>79877735</v>
      </c>
      <c r="F1071" s="11" t="s">
        <v>3154</v>
      </c>
      <c r="G1071" s="11" t="s">
        <v>2332</v>
      </c>
      <c r="H1071" s="11" t="s">
        <v>3155</v>
      </c>
      <c r="I1071" s="11" t="s">
        <v>156</v>
      </c>
    </row>
    <row r="1072" spans="1:9" x14ac:dyDescent="0.15">
      <c r="A1072" s="10">
        <v>1071</v>
      </c>
      <c r="B1072" s="11" t="s">
        <v>9</v>
      </c>
      <c r="C1072" s="11" t="s">
        <v>179</v>
      </c>
      <c r="D1072" s="11" t="s">
        <v>180</v>
      </c>
      <c r="E1072" s="9" t="str">
        <f>+HYPERLINK("http://trademark.i-assist.jp/data/china/image_1908th/79878452.pdf", "79878452")</f>
        <v>79878452</v>
      </c>
      <c r="F1072" s="11" t="s">
        <v>3156</v>
      </c>
      <c r="G1072" s="11" t="s">
        <v>3157</v>
      </c>
      <c r="H1072" s="11" t="s">
        <v>3158</v>
      </c>
      <c r="I1072" s="11" t="s">
        <v>156</v>
      </c>
    </row>
    <row r="1073" spans="1:9" x14ac:dyDescent="0.15">
      <c r="A1073" s="10">
        <v>1072</v>
      </c>
      <c r="B1073" s="11" t="s">
        <v>9</v>
      </c>
      <c r="C1073" s="11" t="s">
        <v>179</v>
      </c>
      <c r="D1073" s="11" t="s">
        <v>180</v>
      </c>
      <c r="E1073" s="9" t="str">
        <f>+HYPERLINK("http://trademark.i-assist.jp/data/china/image_1908th/79879194.pdf", "79879194")</f>
        <v>79879194</v>
      </c>
      <c r="F1073" s="11" t="s">
        <v>3159</v>
      </c>
      <c r="G1073" s="11" t="s">
        <v>3160</v>
      </c>
      <c r="H1073" s="11" t="s">
        <v>3161</v>
      </c>
      <c r="I1073" s="11" t="s">
        <v>156</v>
      </c>
    </row>
    <row r="1074" spans="1:9" x14ac:dyDescent="0.15">
      <c r="A1074" s="10">
        <v>1073</v>
      </c>
      <c r="B1074" s="11" t="s">
        <v>9</v>
      </c>
      <c r="C1074" s="11" t="s">
        <v>179</v>
      </c>
      <c r="D1074" s="11" t="s">
        <v>180</v>
      </c>
      <c r="E1074" s="9" t="str">
        <f>+HYPERLINK("http://trademark.i-assist.jp/data/china/image_1908th/79879367.pdf", "79879367")</f>
        <v>79879367</v>
      </c>
      <c r="F1074" s="11" t="s">
        <v>3162</v>
      </c>
      <c r="G1074" s="11" t="s">
        <v>3163</v>
      </c>
      <c r="H1074" s="11" t="s">
        <v>3164</v>
      </c>
      <c r="I1074" s="11" t="s">
        <v>156</v>
      </c>
    </row>
    <row r="1075" spans="1:9" x14ac:dyDescent="0.15">
      <c r="A1075" s="10">
        <v>1074</v>
      </c>
      <c r="B1075" s="11" t="s">
        <v>9</v>
      </c>
      <c r="C1075" s="11" t="s">
        <v>179</v>
      </c>
      <c r="D1075" s="11" t="s">
        <v>180</v>
      </c>
      <c r="E1075" s="9" t="str">
        <f>+HYPERLINK("http://trademark.i-assist.jp/data/china/image_1908th/79879438.pdf", "79879438")</f>
        <v>79879438</v>
      </c>
      <c r="F1075" s="11" t="s">
        <v>3165</v>
      </c>
      <c r="G1075" s="11" t="s">
        <v>3017</v>
      </c>
      <c r="H1075" s="11" t="s">
        <v>3166</v>
      </c>
      <c r="I1075" s="11" t="s">
        <v>156</v>
      </c>
    </row>
    <row r="1076" spans="1:9" x14ac:dyDescent="0.15">
      <c r="A1076" s="10">
        <v>1075</v>
      </c>
      <c r="B1076" s="11" t="s">
        <v>9</v>
      </c>
      <c r="C1076" s="11" t="s">
        <v>179</v>
      </c>
      <c r="D1076" s="11" t="s">
        <v>180</v>
      </c>
      <c r="E1076" s="9" t="str">
        <f>+HYPERLINK("http://trademark.i-assist.jp/data/china/image_1908th/79880234.pdf", "79880234")</f>
        <v>79880234</v>
      </c>
      <c r="F1076" s="11" t="s">
        <v>3167</v>
      </c>
      <c r="G1076" s="11" t="s">
        <v>3168</v>
      </c>
      <c r="H1076" s="11" t="s">
        <v>3169</v>
      </c>
      <c r="I1076" s="11" t="s">
        <v>156</v>
      </c>
    </row>
    <row r="1077" spans="1:9" x14ac:dyDescent="0.15">
      <c r="A1077" s="10">
        <v>1076</v>
      </c>
      <c r="B1077" s="11" t="s">
        <v>9</v>
      </c>
      <c r="C1077" s="11" t="s">
        <v>179</v>
      </c>
      <c r="D1077" s="11" t="s">
        <v>180</v>
      </c>
      <c r="E1077" s="9" t="str">
        <f>+HYPERLINK("http://trademark.i-assist.jp/data/china/image_1908th/79880364.pdf", "79880364")</f>
        <v>79880364</v>
      </c>
      <c r="F1077" s="11" t="s">
        <v>3170</v>
      </c>
      <c r="G1077" s="11" t="s">
        <v>3171</v>
      </c>
      <c r="H1077" s="11" t="s">
        <v>3172</v>
      </c>
      <c r="I1077" s="11" t="s">
        <v>156</v>
      </c>
    </row>
    <row r="1078" spans="1:9" x14ac:dyDescent="0.15">
      <c r="A1078" s="10">
        <v>1077</v>
      </c>
      <c r="B1078" s="11" t="s">
        <v>9</v>
      </c>
      <c r="C1078" s="11" t="s">
        <v>179</v>
      </c>
      <c r="D1078" s="11" t="s">
        <v>180</v>
      </c>
      <c r="E1078" s="9" t="str">
        <f>+HYPERLINK("http://trademark.i-assist.jp/data/china/image_1908th/79880807.pdf", "79880807")</f>
        <v>79880807</v>
      </c>
      <c r="F1078" s="11" t="s">
        <v>3173</v>
      </c>
      <c r="G1078" s="11" t="s">
        <v>3174</v>
      </c>
      <c r="H1078" s="11" t="s">
        <v>3175</v>
      </c>
      <c r="I1078" s="11" t="s">
        <v>156</v>
      </c>
    </row>
    <row r="1079" spans="1:9" x14ac:dyDescent="0.15">
      <c r="A1079" s="10">
        <v>1078</v>
      </c>
      <c r="B1079" s="11" t="s">
        <v>9</v>
      </c>
      <c r="C1079" s="11" t="s">
        <v>179</v>
      </c>
      <c r="D1079" s="11" t="s">
        <v>180</v>
      </c>
      <c r="E1079" s="9" t="str">
        <f>+HYPERLINK("http://trademark.i-assist.jp/data/china/image_1908th/79881011.pdf", "79881011")</f>
        <v>79881011</v>
      </c>
      <c r="F1079" s="11" t="s">
        <v>3176</v>
      </c>
      <c r="G1079" s="11" t="s">
        <v>2059</v>
      </c>
      <c r="H1079" s="11" t="s">
        <v>3177</v>
      </c>
      <c r="I1079" s="11" t="s">
        <v>156</v>
      </c>
    </row>
    <row r="1080" spans="1:9" x14ac:dyDescent="0.15">
      <c r="A1080" s="10">
        <v>1079</v>
      </c>
      <c r="B1080" s="11" t="s">
        <v>9</v>
      </c>
      <c r="C1080" s="11" t="s">
        <v>179</v>
      </c>
      <c r="D1080" s="11" t="s">
        <v>180</v>
      </c>
      <c r="E1080" s="9" t="str">
        <f>+HYPERLINK("http://trademark.i-assist.jp/data/china/image_1908th/79882729.pdf", "79882729")</f>
        <v>79882729</v>
      </c>
      <c r="F1080" s="11" t="s">
        <v>3178</v>
      </c>
      <c r="G1080" s="11" t="s">
        <v>3179</v>
      </c>
      <c r="H1080" s="11" t="s">
        <v>3180</v>
      </c>
      <c r="I1080" s="11" t="s">
        <v>163</v>
      </c>
    </row>
    <row r="1081" spans="1:9" x14ac:dyDescent="0.15">
      <c r="A1081" s="10">
        <v>1080</v>
      </c>
      <c r="B1081" s="11" t="s">
        <v>9</v>
      </c>
      <c r="C1081" s="11" t="s">
        <v>179</v>
      </c>
      <c r="D1081" s="11" t="s">
        <v>180</v>
      </c>
      <c r="E1081" s="9" t="str">
        <f>+HYPERLINK("http://trademark.i-assist.jp/data/china/image_1908th/79882843.pdf", "79882843")</f>
        <v>79882843</v>
      </c>
      <c r="F1081" s="11" t="s">
        <v>3181</v>
      </c>
      <c r="G1081" s="11" t="s">
        <v>3182</v>
      </c>
      <c r="H1081" s="11" t="s">
        <v>3183</v>
      </c>
      <c r="I1081" s="11" t="s">
        <v>163</v>
      </c>
    </row>
    <row r="1082" spans="1:9" x14ac:dyDescent="0.15">
      <c r="A1082" s="10">
        <v>1081</v>
      </c>
      <c r="B1082" s="11" t="s">
        <v>9</v>
      </c>
      <c r="C1082" s="11" t="s">
        <v>179</v>
      </c>
      <c r="D1082" s="11" t="s">
        <v>180</v>
      </c>
      <c r="E1082" s="9" t="str">
        <f>+HYPERLINK("http://trademark.i-assist.jp/data/china/image_1908th/79883075.pdf", "79883075")</f>
        <v>79883075</v>
      </c>
      <c r="F1082" s="11" t="s">
        <v>3184</v>
      </c>
      <c r="G1082" s="11" t="s">
        <v>3185</v>
      </c>
      <c r="H1082" s="11" t="s">
        <v>3186</v>
      </c>
      <c r="I1082" s="11" t="s">
        <v>163</v>
      </c>
    </row>
    <row r="1083" spans="1:9" x14ac:dyDescent="0.15">
      <c r="A1083" s="10">
        <v>1082</v>
      </c>
      <c r="B1083" s="11" t="s">
        <v>9</v>
      </c>
      <c r="C1083" s="11" t="s">
        <v>179</v>
      </c>
      <c r="D1083" s="11" t="s">
        <v>180</v>
      </c>
      <c r="E1083" s="9" t="str">
        <f>+HYPERLINK("http://trademark.i-assist.jp/data/china/image_1908th/79883734.pdf", "79883734")</f>
        <v>79883734</v>
      </c>
      <c r="F1083" s="11" t="s">
        <v>3187</v>
      </c>
      <c r="G1083" s="11" t="s">
        <v>3188</v>
      </c>
      <c r="H1083" s="11" t="s">
        <v>3189</v>
      </c>
      <c r="I1083" s="11" t="s">
        <v>163</v>
      </c>
    </row>
    <row r="1084" spans="1:9" x14ac:dyDescent="0.15">
      <c r="A1084" s="10">
        <v>1083</v>
      </c>
      <c r="B1084" s="11" t="s">
        <v>9</v>
      </c>
      <c r="C1084" s="11" t="s">
        <v>179</v>
      </c>
      <c r="D1084" s="11" t="s">
        <v>180</v>
      </c>
      <c r="E1084" s="9" t="str">
        <f>+HYPERLINK("http://trademark.i-assist.jp/data/china/image_1908th/79884529.pdf", "79884529")</f>
        <v>79884529</v>
      </c>
      <c r="F1084" s="11" t="s">
        <v>3190</v>
      </c>
      <c r="G1084" s="11" t="s">
        <v>3191</v>
      </c>
      <c r="H1084" s="11" t="s">
        <v>3192</v>
      </c>
      <c r="I1084" s="11" t="s">
        <v>163</v>
      </c>
    </row>
    <row r="1085" spans="1:9" x14ac:dyDescent="0.15">
      <c r="A1085" s="10">
        <v>1084</v>
      </c>
      <c r="B1085" s="11" t="s">
        <v>9</v>
      </c>
      <c r="C1085" s="11" t="s">
        <v>179</v>
      </c>
      <c r="D1085" s="11" t="s">
        <v>180</v>
      </c>
      <c r="E1085" s="9" t="str">
        <f>+HYPERLINK("http://trademark.i-assist.jp/data/china/image_1908th/79885130.pdf", "79885130")</f>
        <v>79885130</v>
      </c>
      <c r="F1085" s="11" t="s">
        <v>3193</v>
      </c>
      <c r="G1085" s="11" t="s">
        <v>3194</v>
      </c>
      <c r="H1085" s="11" t="s">
        <v>3195</v>
      </c>
      <c r="I1085" s="11" t="s">
        <v>163</v>
      </c>
    </row>
    <row r="1086" spans="1:9" x14ac:dyDescent="0.15">
      <c r="A1086" s="10">
        <v>1085</v>
      </c>
      <c r="B1086" s="11" t="s">
        <v>9</v>
      </c>
      <c r="C1086" s="11" t="s">
        <v>179</v>
      </c>
      <c r="D1086" s="11" t="s">
        <v>180</v>
      </c>
      <c r="E1086" s="9" t="str">
        <f>+HYPERLINK("http://trademark.i-assist.jp/data/china/image_1908th/79885373.pdf", "79885373")</f>
        <v>79885373</v>
      </c>
      <c r="F1086" s="11" t="s">
        <v>10</v>
      </c>
      <c r="G1086" s="11" t="s">
        <v>3196</v>
      </c>
      <c r="H1086" s="11" t="s">
        <v>3197</v>
      </c>
      <c r="I1086" s="11" t="s">
        <v>163</v>
      </c>
    </row>
    <row r="1087" spans="1:9" x14ac:dyDescent="0.15">
      <c r="A1087" s="10">
        <v>1086</v>
      </c>
      <c r="B1087" s="11" t="s">
        <v>9</v>
      </c>
      <c r="C1087" s="11" t="s">
        <v>179</v>
      </c>
      <c r="D1087" s="11" t="s">
        <v>180</v>
      </c>
      <c r="E1087" s="9" t="str">
        <f>+HYPERLINK("http://trademark.i-assist.jp/data/china/image_1908th/79886375.pdf", "79886375")</f>
        <v>79886375</v>
      </c>
      <c r="F1087" s="11" t="s">
        <v>3198</v>
      </c>
      <c r="G1087" s="11" t="s">
        <v>3199</v>
      </c>
      <c r="H1087" s="11" t="s">
        <v>3200</v>
      </c>
      <c r="I1087" s="11" t="s">
        <v>163</v>
      </c>
    </row>
    <row r="1088" spans="1:9" x14ac:dyDescent="0.15">
      <c r="A1088" s="10">
        <v>1087</v>
      </c>
      <c r="B1088" s="11" t="s">
        <v>9</v>
      </c>
      <c r="C1088" s="11" t="s">
        <v>179</v>
      </c>
      <c r="D1088" s="11" t="s">
        <v>180</v>
      </c>
      <c r="E1088" s="9" t="str">
        <f>+HYPERLINK("http://trademark.i-assist.jp/data/china/image_1908th/79886732.pdf", "79886732")</f>
        <v>79886732</v>
      </c>
      <c r="F1088" s="11" t="s">
        <v>3201</v>
      </c>
      <c r="G1088" s="11" t="s">
        <v>3202</v>
      </c>
      <c r="H1088" s="11" t="s">
        <v>3203</v>
      </c>
      <c r="I1088" s="11" t="s">
        <v>163</v>
      </c>
    </row>
    <row r="1089" spans="1:9" x14ac:dyDescent="0.15">
      <c r="A1089" s="10">
        <v>1088</v>
      </c>
      <c r="B1089" s="11" t="s">
        <v>9</v>
      </c>
      <c r="C1089" s="11" t="s">
        <v>179</v>
      </c>
      <c r="D1089" s="11" t="s">
        <v>180</v>
      </c>
      <c r="E1089" s="9" t="str">
        <f>+HYPERLINK("http://trademark.i-assist.jp/data/china/image_1908th/79887577.pdf", "79887577")</f>
        <v>79887577</v>
      </c>
      <c r="F1089" s="11" t="s">
        <v>3204</v>
      </c>
      <c r="G1089" s="11" t="s">
        <v>3205</v>
      </c>
      <c r="H1089" s="11" t="s">
        <v>3206</v>
      </c>
      <c r="I1089" s="11" t="s">
        <v>163</v>
      </c>
    </row>
    <row r="1090" spans="1:9" x14ac:dyDescent="0.15">
      <c r="A1090" s="10">
        <v>1089</v>
      </c>
      <c r="B1090" s="11" t="s">
        <v>9</v>
      </c>
      <c r="C1090" s="11" t="s">
        <v>179</v>
      </c>
      <c r="D1090" s="11" t="s">
        <v>180</v>
      </c>
      <c r="E1090" s="9" t="str">
        <f>+HYPERLINK("http://trademark.i-assist.jp/data/china/image_1908th/79887715.pdf", "79887715")</f>
        <v>79887715</v>
      </c>
      <c r="F1090" s="11" t="s">
        <v>3207</v>
      </c>
      <c r="G1090" s="11" t="s">
        <v>3208</v>
      </c>
      <c r="H1090" s="11" t="s">
        <v>3209</v>
      </c>
      <c r="I1090" s="11" t="s">
        <v>163</v>
      </c>
    </row>
    <row r="1091" spans="1:9" x14ac:dyDescent="0.15">
      <c r="A1091" s="10">
        <v>1090</v>
      </c>
      <c r="B1091" s="11" t="s">
        <v>9</v>
      </c>
      <c r="C1091" s="11" t="s">
        <v>179</v>
      </c>
      <c r="D1091" s="11" t="s">
        <v>180</v>
      </c>
      <c r="E1091" s="9" t="str">
        <f>+HYPERLINK("http://trademark.i-assist.jp/data/china/image_1908th/79888109.pdf", "79888109")</f>
        <v>79888109</v>
      </c>
      <c r="F1091" s="11" t="s">
        <v>3210</v>
      </c>
      <c r="G1091" s="11" t="s">
        <v>3211</v>
      </c>
      <c r="H1091" s="11" t="s">
        <v>3212</v>
      </c>
      <c r="I1091" s="11" t="s">
        <v>163</v>
      </c>
    </row>
    <row r="1092" spans="1:9" x14ac:dyDescent="0.15">
      <c r="A1092" s="10">
        <v>1091</v>
      </c>
      <c r="B1092" s="11" t="s">
        <v>9</v>
      </c>
      <c r="C1092" s="11" t="s">
        <v>179</v>
      </c>
      <c r="D1092" s="11" t="s">
        <v>180</v>
      </c>
      <c r="E1092" s="9" t="str">
        <f>+HYPERLINK("http://trademark.i-assist.jp/data/china/image_1908th/79888708.pdf", "79888708")</f>
        <v>79888708</v>
      </c>
      <c r="F1092" s="11" t="s">
        <v>3213</v>
      </c>
      <c r="G1092" s="11" t="s">
        <v>3214</v>
      </c>
      <c r="H1092" s="11" t="s">
        <v>3215</v>
      </c>
      <c r="I1092" s="11" t="s">
        <v>163</v>
      </c>
    </row>
    <row r="1093" spans="1:9" x14ac:dyDescent="0.15">
      <c r="A1093" s="10">
        <v>1092</v>
      </c>
      <c r="B1093" s="11" t="s">
        <v>9</v>
      </c>
      <c r="C1093" s="11" t="s">
        <v>179</v>
      </c>
      <c r="D1093" s="11" t="s">
        <v>180</v>
      </c>
      <c r="E1093" s="9" t="str">
        <f>+HYPERLINK("http://trademark.i-assist.jp/data/china/image_1908th/79888873.pdf", "79888873")</f>
        <v>79888873</v>
      </c>
      <c r="F1093" s="11" t="s">
        <v>3216</v>
      </c>
      <c r="G1093" s="11" t="s">
        <v>1773</v>
      </c>
      <c r="H1093" s="11" t="s">
        <v>3217</v>
      </c>
      <c r="I1093" s="11" t="s">
        <v>163</v>
      </c>
    </row>
    <row r="1094" spans="1:9" x14ac:dyDescent="0.15">
      <c r="A1094" s="10">
        <v>1093</v>
      </c>
      <c r="B1094" s="11" t="s">
        <v>9</v>
      </c>
      <c r="C1094" s="11" t="s">
        <v>179</v>
      </c>
      <c r="D1094" s="11" t="s">
        <v>180</v>
      </c>
      <c r="E1094" s="9" t="str">
        <f>+HYPERLINK("http://trademark.i-assist.jp/data/china/image_1908th/79888935.pdf", "79888935")</f>
        <v>79888935</v>
      </c>
      <c r="F1094" s="11" t="s">
        <v>10</v>
      </c>
      <c r="G1094" s="11" t="s">
        <v>3218</v>
      </c>
      <c r="H1094" s="11" t="s">
        <v>3219</v>
      </c>
      <c r="I1094" s="11" t="s">
        <v>163</v>
      </c>
    </row>
    <row r="1095" spans="1:9" x14ac:dyDescent="0.15">
      <c r="A1095" s="10">
        <v>1094</v>
      </c>
      <c r="B1095" s="11" t="s">
        <v>9</v>
      </c>
      <c r="C1095" s="11" t="s">
        <v>179</v>
      </c>
      <c r="D1095" s="11" t="s">
        <v>180</v>
      </c>
      <c r="E1095" s="9" t="str">
        <f>+HYPERLINK("http://trademark.i-assist.jp/data/china/image_1908th/79889021.pdf", "79889021")</f>
        <v>79889021</v>
      </c>
      <c r="F1095" s="11" t="s">
        <v>10</v>
      </c>
      <c r="G1095" s="11" t="s">
        <v>3220</v>
      </c>
      <c r="H1095" s="11" t="s">
        <v>3221</v>
      </c>
      <c r="I1095" s="11" t="s">
        <v>163</v>
      </c>
    </row>
    <row r="1096" spans="1:9" x14ac:dyDescent="0.15">
      <c r="A1096" s="10">
        <v>1095</v>
      </c>
      <c r="B1096" s="11" t="s">
        <v>9</v>
      </c>
      <c r="C1096" s="11" t="s">
        <v>179</v>
      </c>
      <c r="D1096" s="11" t="s">
        <v>180</v>
      </c>
      <c r="E1096" s="9" t="str">
        <f>+HYPERLINK("http://trademark.i-assist.jp/data/china/image_1908th/79889204.pdf", "79889204")</f>
        <v>79889204</v>
      </c>
      <c r="F1096" s="11" t="s">
        <v>3222</v>
      </c>
      <c r="G1096" s="11" t="s">
        <v>3223</v>
      </c>
      <c r="H1096" s="11" t="s">
        <v>3224</v>
      </c>
      <c r="I1096" s="11" t="s">
        <v>163</v>
      </c>
    </row>
    <row r="1097" spans="1:9" x14ac:dyDescent="0.15">
      <c r="A1097" s="10">
        <v>1096</v>
      </c>
      <c r="B1097" s="11" t="s">
        <v>9</v>
      </c>
      <c r="C1097" s="11" t="s">
        <v>179</v>
      </c>
      <c r="D1097" s="11" t="s">
        <v>180</v>
      </c>
      <c r="E1097" s="9" t="str">
        <f>+HYPERLINK("http://trademark.i-assist.jp/data/china/image_1908th/79889266.pdf", "79889266")</f>
        <v>79889266</v>
      </c>
      <c r="F1097" s="11" t="s">
        <v>3225</v>
      </c>
      <c r="G1097" s="11" t="s">
        <v>3226</v>
      </c>
      <c r="H1097" s="11" t="s">
        <v>3227</v>
      </c>
      <c r="I1097" s="11" t="s">
        <v>163</v>
      </c>
    </row>
    <row r="1098" spans="1:9" x14ac:dyDescent="0.15">
      <c r="A1098" s="10">
        <v>1097</v>
      </c>
      <c r="B1098" s="11" t="s">
        <v>9</v>
      </c>
      <c r="C1098" s="11" t="s">
        <v>179</v>
      </c>
      <c r="D1098" s="11" t="s">
        <v>180</v>
      </c>
      <c r="E1098" s="9" t="str">
        <f>+HYPERLINK("http://trademark.i-assist.jp/data/china/image_1908th/79889788.pdf", "79889788")</f>
        <v>79889788</v>
      </c>
      <c r="F1098" s="11" t="s">
        <v>3228</v>
      </c>
      <c r="G1098" s="11" t="s">
        <v>3229</v>
      </c>
      <c r="H1098" s="11" t="s">
        <v>3230</v>
      </c>
      <c r="I1098" s="11" t="s">
        <v>163</v>
      </c>
    </row>
    <row r="1099" spans="1:9" x14ac:dyDescent="0.15">
      <c r="A1099" s="10">
        <v>1098</v>
      </c>
      <c r="B1099" s="11" t="s">
        <v>9</v>
      </c>
      <c r="C1099" s="11" t="s">
        <v>179</v>
      </c>
      <c r="D1099" s="11" t="s">
        <v>180</v>
      </c>
      <c r="E1099" s="9" t="str">
        <f>+HYPERLINK("http://trademark.i-assist.jp/data/china/image_1908th/79889804.pdf", "79889804")</f>
        <v>79889804</v>
      </c>
      <c r="F1099" s="11" t="s">
        <v>3231</v>
      </c>
      <c r="G1099" s="11" t="s">
        <v>3229</v>
      </c>
      <c r="H1099" s="11" t="s">
        <v>3232</v>
      </c>
      <c r="I1099" s="11" t="s">
        <v>163</v>
      </c>
    </row>
    <row r="1100" spans="1:9" x14ac:dyDescent="0.15">
      <c r="A1100" s="10">
        <v>1099</v>
      </c>
      <c r="B1100" s="11" t="s">
        <v>9</v>
      </c>
      <c r="C1100" s="11" t="s">
        <v>179</v>
      </c>
      <c r="D1100" s="11" t="s">
        <v>180</v>
      </c>
      <c r="E1100" s="9" t="str">
        <f>+HYPERLINK("http://trademark.i-assist.jp/data/china/image_1908th/79890266.pdf", "79890266")</f>
        <v>79890266</v>
      </c>
      <c r="F1100" s="11" t="s">
        <v>3233</v>
      </c>
      <c r="G1100" s="11" t="s">
        <v>3234</v>
      </c>
      <c r="H1100" s="11" t="s">
        <v>3235</v>
      </c>
      <c r="I1100" s="11" t="s">
        <v>163</v>
      </c>
    </row>
    <row r="1101" spans="1:9" x14ac:dyDescent="0.15">
      <c r="A1101" s="10">
        <v>1100</v>
      </c>
      <c r="B1101" s="11" t="s">
        <v>9</v>
      </c>
      <c r="C1101" s="11" t="s">
        <v>179</v>
      </c>
      <c r="D1101" s="11" t="s">
        <v>180</v>
      </c>
      <c r="E1101" s="9" t="str">
        <f>+HYPERLINK("http://trademark.i-assist.jp/data/china/image_1908th/79890981.pdf", "79890981")</f>
        <v>79890981</v>
      </c>
      <c r="F1101" s="11" t="s">
        <v>3236</v>
      </c>
      <c r="G1101" s="11" t="s">
        <v>3237</v>
      </c>
      <c r="H1101" s="11" t="s">
        <v>3238</v>
      </c>
      <c r="I1101" s="11" t="s">
        <v>163</v>
      </c>
    </row>
    <row r="1102" spans="1:9" x14ac:dyDescent="0.15">
      <c r="A1102" s="10">
        <v>1101</v>
      </c>
      <c r="B1102" s="11" t="s">
        <v>9</v>
      </c>
      <c r="C1102" s="11" t="s">
        <v>179</v>
      </c>
      <c r="D1102" s="11" t="s">
        <v>180</v>
      </c>
      <c r="E1102" s="9" t="str">
        <f>+HYPERLINK("http://trademark.i-assist.jp/data/china/image_1908th/79891458.pdf", "79891458")</f>
        <v>79891458</v>
      </c>
      <c r="F1102" s="11" t="s">
        <v>3239</v>
      </c>
      <c r="G1102" s="11" t="s">
        <v>3240</v>
      </c>
      <c r="H1102" s="11" t="s">
        <v>3241</v>
      </c>
      <c r="I1102" s="11" t="s">
        <v>163</v>
      </c>
    </row>
    <row r="1103" spans="1:9" x14ac:dyDescent="0.15">
      <c r="A1103" s="10">
        <v>1102</v>
      </c>
      <c r="B1103" s="11" t="s">
        <v>9</v>
      </c>
      <c r="C1103" s="11" t="s">
        <v>179</v>
      </c>
      <c r="D1103" s="11" t="s">
        <v>180</v>
      </c>
      <c r="E1103" s="9" t="str">
        <f>+HYPERLINK("http://trademark.i-assist.jp/data/china/image_1908th/79892184.pdf", "79892184")</f>
        <v>79892184</v>
      </c>
      <c r="F1103" s="11" t="s">
        <v>3242</v>
      </c>
      <c r="G1103" s="11" t="s">
        <v>3243</v>
      </c>
      <c r="H1103" s="11" t="s">
        <v>3244</v>
      </c>
      <c r="I1103" s="11" t="s">
        <v>163</v>
      </c>
    </row>
    <row r="1104" spans="1:9" x14ac:dyDescent="0.15">
      <c r="A1104" s="10">
        <v>1103</v>
      </c>
      <c r="B1104" s="11" t="s">
        <v>9</v>
      </c>
      <c r="C1104" s="11" t="s">
        <v>179</v>
      </c>
      <c r="D1104" s="11" t="s">
        <v>180</v>
      </c>
      <c r="E1104" s="9" t="str">
        <f>+HYPERLINK("http://trademark.i-assist.jp/data/china/image_1908th/79892701.pdf", "79892701")</f>
        <v>79892701</v>
      </c>
      <c r="F1104" s="11" t="s">
        <v>3245</v>
      </c>
      <c r="G1104" s="11" t="s">
        <v>3246</v>
      </c>
      <c r="H1104" s="11" t="s">
        <v>3247</v>
      </c>
      <c r="I1104" s="11" t="s">
        <v>163</v>
      </c>
    </row>
    <row r="1105" spans="1:9" x14ac:dyDescent="0.15">
      <c r="A1105" s="10">
        <v>1104</v>
      </c>
      <c r="B1105" s="11" t="s">
        <v>9</v>
      </c>
      <c r="C1105" s="11" t="s">
        <v>179</v>
      </c>
      <c r="D1105" s="11" t="s">
        <v>180</v>
      </c>
      <c r="E1105" s="9" t="str">
        <f>+HYPERLINK("http://trademark.i-assist.jp/data/china/image_1908th/79894181.pdf", "79894181")</f>
        <v>79894181</v>
      </c>
      <c r="F1105" s="11" t="s">
        <v>3248</v>
      </c>
      <c r="G1105" s="11" t="s">
        <v>3249</v>
      </c>
      <c r="H1105" s="11" t="s">
        <v>3250</v>
      </c>
      <c r="I1105" s="11" t="s">
        <v>163</v>
      </c>
    </row>
    <row r="1106" spans="1:9" x14ac:dyDescent="0.15">
      <c r="A1106" s="10">
        <v>1105</v>
      </c>
      <c r="B1106" s="11" t="s">
        <v>9</v>
      </c>
      <c r="C1106" s="11" t="s">
        <v>179</v>
      </c>
      <c r="D1106" s="11" t="s">
        <v>180</v>
      </c>
      <c r="E1106" s="9" t="str">
        <f>+HYPERLINK("http://trademark.i-assist.jp/data/china/image_1908th/79894295.pdf", "79894295")</f>
        <v>79894295</v>
      </c>
      <c r="F1106" s="11" t="s">
        <v>3251</v>
      </c>
      <c r="G1106" s="11" t="s">
        <v>3252</v>
      </c>
      <c r="H1106" s="11" t="s">
        <v>3253</v>
      </c>
      <c r="I1106" s="11" t="s">
        <v>163</v>
      </c>
    </row>
    <row r="1107" spans="1:9" x14ac:dyDescent="0.15">
      <c r="A1107" s="10">
        <v>1106</v>
      </c>
      <c r="B1107" s="11" t="s">
        <v>9</v>
      </c>
      <c r="C1107" s="11" t="s">
        <v>179</v>
      </c>
      <c r="D1107" s="11" t="s">
        <v>180</v>
      </c>
      <c r="E1107" s="9" t="str">
        <f>+HYPERLINK("http://trademark.i-assist.jp/data/china/image_1908th/79894748.pdf", "79894748")</f>
        <v>79894748</v>
      </c>
      <c r="F1107" s="11" t="s">
        <v>3254</v>
      </c>
      <c r="G1107" s="11" t="s">
        <v>3255</v>
      </c>
      <c r="H1107" s="11" t="s">
        <v>3256</v>
      </c>
      <c r="I1107" s="11" t="s">
        <v>163</v>
      </c>
    </row>
    <row r="1108" spans="1:9" x14ac:dyDescent="0.15">
      <c r="A1108" s="10">
        <v>1107</v>
      </c>
      <c r="B1108" s="11" t="s">
        <v>9</v>
      </c>
      <c r="C1108" s="11" t="s">
        <v>179</v>
      </c>
      <c r="D1108" s="11" t="s">
        <v>180</v>
      </c>
      <c r="E1108" s="9" t="str">
        <f>+HYPERLINK("http://trademark.i-assist.jp/data/china/image_1908th/79894898.pdf", "79894898")</f>
        <v>79894898</v>
      </c>
      <c r="F1108" s="11" t="s">
        <v>3257</v>
      </c>
      <c r="G1108" s="11" t="s">
        <v>3258</v>
      </c>
      <c r="H1108" s="11" t="s">
        <v>3259</v>
      </c>
      <c r="I1108" s="11" t="s">
        <v>163</v>
      </c>
    </row>
    <row r="1109" spans="1:9" x14ac:dyDescent="0.15">
      <c r="A1109" s="10">
        <v>1108</v>
      </c>
      <c r="B1109" s="11" t="s">
        <v>9</v>
      </c>
      <c r="C1109" s="11" t="s">
        <v>179</v>
      </c>
      <c r="D1109" s="11" t="s">
        <v>180</v>
      </c>
      <c r="E1109" s="9" t="str">
        <f>+HYPERLINK("http://trademark.i-assist.jp/data/china/image_1908th/79894995.pdf", "79894995")</f>
        <v>79894995</v>
      </c>
      <c r="F1109" s="11" t="s">
        <v>3260</v>
      </c>
      <c r="G1109" s="11" t="s">
        <v>3261</v>
      </c>
      <c r="H1109" s="11" t="s">
        <v>3262</v>
      </c>
      <c r="I1109" s="11" t="s">
        <v>163</v>
      </c>
    </row>
    <row r="1110" spans="1:9" x14ac:dyDescent="0.15">
      <c r="A1110" s="10">
        <v>1109</v>
      </c>
      <c r="B1110" s="11" t="s">
        <v>9</v>
      </c>
      <c r="C1110" s="11" t="s">
        <v>179</v>
      </c>
      <c r="D1110" s="11" t="s">
        <v>180</v>
      </c>
      <c r="E1110" s="9" t="str">
        <f>+HYPERLINK("http://trademark.i-assist.jp/data/china/image_1908th/79895140.pdf", "79895140")</f>
        <v>79895140</v>
      </c>
      <c r="F1110" s="11" t="s">
        <v>3263</v>
      </c>
      <c r="G1110" s="11" t="s">
        <v>3264</v>
      </c>
      <c r="H1110" s="11" t="s">
        <v>3265</v>
      </c>
      <c r="I1110" s="11" t="s">
        <v>163</v>
      </c>
    </row>
    <row r="1111" spans="1:9" x14ac:dyDescent="0.15">
      <c r="A1111" s="10">
        <v>1110</v>
      </c>
      <c r="B1111" s="11" t="s">
        <v>9</v>
      </c>
      <c r="C1111" s="11" t="s">
        <v>179</v>
      </c>
      <c r="D1111" s="11" t="s">
        <v>180</v>
      </c>
      <c r="E1111" s="9" t="str">
        <f>+HYPERLINK("http://trademark.i-assist.jp/data/china/image_1908th/79895267.pdf", "79895267")</f>
        <v>79895267</v>
      </c>
      <c r="F1111" s="11" t="s">
        <v>3266</v>
      </c>
      <c r="G1111" s="11" t="s">
        <v>3267</v>
      </c>
      <c r="H1111" s="11" t="s">
        <v>3268</v>
      </c>
      <c r="I1111" s="11" t="s">
        <v>163</v>
      </c>
    </row>
    <row r="1112" spans="1:9" x14ac:dyDescent="0.15">
      <c r="A1112" s="10">
        <v>1111</v>
      </c>
      <c r="B1112" s="11" t="s">
        <v>9</v>
      </c>
      <c r="C1112" s="11" t="s">
        <v>179</v>
      </c>
      <c r="D1112" s="11" t="s">
        <v>180</v>
      </c>
      <c r="E1112" s="9" t="str">
        <f>+HYPERLINK("http://trademark.i-assist.jp/data/china/image_1908th/79895385.pdf", "79895385")</f>
        <v>79895385</v>
      </c>
      <c r="F1112" s="11" t="s">
        <v>3269</v>
      </c>
      <c r="G1112" s="11" t="s">
        <v>3270</v>
      </c>
      <c r="H1112" s="11" t="s">
        <v>3271</v>
      </c>
      <c r="I1112" s="11" t="s">
        <v>163</v>
      </c>
    </row>
    <row r="1113" spans="1:9" x14ac:dyDescent="0.15">
      <c r="A1113" s="10">
        <v>1112</v>
      </c>
      <c r="B1113" s="11" t="s">
        <v>9</v>
      </c>
      <c r="C1113" s="11" t="s">
        <v>179</v>
      </c>
      <c r="D1113" s="11" t="s">
        <v>180</v>
      </c>
      <c r="E1113" s="9" t="str">
        <f>+HYPERLINK("http://trademark.i-assist.jp/data/china/image_1908th/79896735.pdf", "79896735")</f>
        <v>79896735</v>
      </c>
      <c r="F1113" s="11" t="s">
        <v>3272</v>
      </c>
      <c r="G1113" s="11" t="s">
        <v>51</v>
      </c>
      <c r="H1113" s="11" t="s">
        <v>3273</v>
      </c>
      <c r="I1113" s="11" t="s">
        <v>163</v>
      </c>
    </row>
    <row r="1114" spans="1:9" x14ac:dyDescent="0.15">
      <c r="A1114" s="10">
        <v>1113</v>
      </c>
      <c r="B1114" s="11" t="s">
        <v>9</v>
      </c>
      <c r="C1114" s="11" t="s">
        <v>179</v>
      </c>
      <c r="D1114" s="11" t="s">
        <v>180</v>
      </c>
      <c r="E1114" s="9" t="str">
        <f>+HYPERLINK("http://trademark.i-assist.jp/data/china/image_1908th/79897040.pdf", "79897040")</f>
        <v>79897040</v>
      </c>
      <c r="F1114" s="11" t="s">
        <v>3274</v>
      </c>
      <c r="G1114" s="11" t="s">
        <v>3275</v>
      </c>
      <c r="H1114" s="11" t="s">
        <v>3276</v>
      </c>
      <c r="I1114" s="11" t="s">
        <v>163</v>
      </c>
    </row>
    <row r="1115" spans="1:9" x14ac:dyDescent="0.15">
      <c r="A1115" s="10">
        <v>1114</v>
      </c>
      <c r="B1115" s="11" t="s">
        <v>9</v>
      </c>
      <c r="C1115" s="11" t="s">
        <v>179</v>
      </c>
      <c r="D1115" s="11" t="s">
        <v>180</v>
      </c>
      <c r="E1115" s="9" t="str">
        <f>+HYPERLINK("http://trademark.i-assist.jp/data/china/image_1908th/79897098.pdf", "79897098")</f>
        <v>79897098</v>
      </c>
      <c r="F1115" s="11" t="s">
        <v>3277</v>
      </c>
      <c r="G1115" s="11" t="s">
        <v>3278</v>
      </c>
      <c r="H1115" s="11" t="s">
        <v>3279</v>
      </c>
      <c r="I1115" s="11" t="s">
        <v>163</v>
      </c>
    </row>
    <row r="1116" spans="1:9" x14ac:dyDescent="0.15">
      <c r="A1116" s="10">
        <v>1115</v>
      </c>
      <c r="B1116" s="11" t="s">
        <v>9</v>
      </c>
      <c r="C1116" s="11" t="s">
        <v>179</v>
      </c>
      <c r="D1116" s="11" t="s">
        <v>180</v>
      </c>
      <c r="E1116" s="9" t="str">
        <f>+HYPERLINK("http://trademark.i-assist.jp/data/china/image_1908th/79897110.pdf", "79897110")</f>
        <v>79897110</v>
      </c>
      <c r="F1116" s="11" t="s">
        <v>3280</v>
      </c>
      <c r="G1116" s="11" t="s">
        <v>3281</v>
      </c>
      <c r="H1116" s="11" t="s">
        <v>3282</v>
      </c>
      <c r="I1116" s="11" t="s">
        <v>163</v>
      </c>
    </row>
    <row r="1117" spans="1:9" x14ac:dyDescent="0.15">
      <c r="A1117" s="10">
        <v>1116</v>
      </c>
      <c r="B1117" s="11" t="s">
        <v>9</v>
      </c>
      <c r="C1117" s="11" t="s">
        <v>179</v>
      </c>
      <c r="D1117" s="11" t="s">
        <v>180</v>
      </c>
      <c r="E1117" s="9" t="str">
        <f>+HYPERLINK("http://trademark.i-assist.jp/data/china/image_1908th/79897751.pdf", "79897751")</f>
        <v>79897751</v>
      </c>
      <c r="F1117" s="11" t="s">
        <v>3283</v>
      </c>
      <c r="G1117" s="11" t="s">
        <v>3284</v>
      </c>
      <c r="H1117" s="11" t="s">
        <v>3285</v>
      </c>
      <c r="I1117" s="11" t="s">
        <v>163</v>
      </c>
    </row>
    <row r="1118" spans="1:9" x14ac:dyDescent="0.15">
      <c r="A1118" s="10">
        <v>1117</v>
      </c>
      <c r="B1118" s="11" t="s">
        <v>9</v>
      </c>
      <c r="C1118" s="11" t="s">
        <v>179</v>
      </c>
      <c r="D1118" s="11" t="s">
        <v>180</v>
      </c>
      <c r="E1118" s="9" t="str">
        <f>+HYPERLINK("http://trademark.i-assist.jp/data/china/image_1908th/79898104.pdf", "79898104")</f>
        <v>79898104</v>
      </c>
      <c r="F1118" s="11" t="s">
        <v>3286</v>
      </c>
      <c r="G1118" s="11" t="s">
        <v>3287</v>
      </c>
      <c r="H1118" s="11" t="s">
        <v>3288</v>
      </c>
      <c r="I1118" s="11" t="s">
        <v>163</v>
      </c>
    </row>
    <row r="1119" spans="1:9" x14ac:dyDescent="0.15">
      <c r="A1119" s="10">
        <v>1118</v>
      </c>
      <c r="B1119" s="11" t="s">
        <v>9</v>
      </c>
      <c r="C1119" s="11" t="s">
        <v>179</v>
      </c>
      <c r="D1119" s="11" t="s">
        <v>180</v>
      </c>
      <c r="E1119" s="9" t="str">
        <f>+HYPERLINK("http://trademark.i-assist.jp/data/china/image_1908th/79899024.pdf", "79899024")</f>
        <v>79899024</v>
      </c>
      <c r="F1119" s="11" t="s">
        <v>3289</v>
      </c>
      <c r="G1119" s="11" t="s">
        <v>3290</v>
      </c>
      <c r="H1119" s="11" t="s">
        <v>3291</v>
      </c>
      <c r="I1119" s="11" t="s">
        <v>163</v>
      </c>
    </row>
    <row r="1120" spans="1:9" x14ac:dyDescent="0.15">
      <c r="A1120" s="10">
        <v>1119</v>
      </c>
      <c r="B1120" s="11" t="s">
        <v>9</v>
      </c>
      <c r="C1120" s="11" t="s">
        <v>179</v>
      </c>
      <c r="D1120" s="11" t="s">
        <v>180</v>
      </c>
      <c r="E1120" s="9" t="str">
        <f>+HYPERLINK("http://trademark.i-assist.jp/data/china/image_1908th/79899151.pdf", "79899151")</f>
        <v>79899151</v>
      </c>
      <c r="F1120" s="11" t="s">
        <v>3292</v>
      </c>
      <c r="G1120" s="11" t="s">
        <v>3293</v>
      </c>
      <c r="H1120" s="11" t="s">
        <v>220</v>
      </c>
      <c r="I1120" s="11" t="s">
        <v>163</v>
      </c>
    </row>
    <row r="1121" spans="1:9" x14ac:dyDescent="0.15">
      <c r="A1121" s="10">
        <v>1120</v>
      </c>
      <c r="B1121" s="11" t="s">
        <v>9</v>
      </c>
      <c r="C1121" s="11" t="s">
        <v>179</v>
      </c>
      <c r="D1121" s="11" t="s">
        <v>180</v>
      </c>
      <c r="E1121" s="9" t="str">
        <f>+HYPERLINK("http://trademark.i-assist.jp/data/china/image_1908th/79899346.pdf", "79899346")</f>
        <v>79899346</v>
      </c>
      <c r="F1121" s="11" t="s">
        <v>3294</v>
      </c>
      <c r="G1121" s="11" t="s">
        <v>3295</v>
      </c>
      <c r="H1121" s="11" t="s">
        <v>3296</v>
      </c>
      <c r="I1121" s="11" t="s">
        <v>163</v>
      </c>
    </row>
    <row r="1122" spans="1:9" x14ac:dyDescent="0.15">
      <c r="A1122" s="10">
        <v>1121</v>
      </c>
      <c r="B1122" s="11" t="s">
        <v>9</v>
      </c>
      <c r="C1122" s="11" t="s">
        <v>179</v>
      </c>
      <c r="D1122" s="11" t="s">
        <v>180</v>
      </c>
      <c r="E1122" s="9" t="str">
        <f>+HYPERLINK("http://trademark.i-assist.jp/data/china/image_1908th/79899633.pdf", "79899633")</f>
        <v>79899633</v>
      </c>
      <c r="F1122" s="11" t="s">
        <v>3297</v>
      </c>
      <c r="G1122" s="11" t="s">
        <v>3298</v>
      </c>
      <c r="H1122" s="11" t="s">
        <v>3299</v>
      </c>
      <c r="I1122" s="11" t="s">
        <v>163</v>
      </c>
    </row>
    <row r="1123" spans="1:9" x14ac:dyDescent="0.15">
      <c r="A1123" s="10">
        <v>1122</v>
      </c>
      <c r="B1123" s="11" t="s">
        <v>9</v>
      </c>
      <c r="C1123" s="11" t="s">
        <v>179</v>
      </c>
      <c r="D1123" s="11" t="s">
        <v>180</v>
      </c>
      <c r="E1123" s="9" t="str">
        <f>+HYPERLINK("http://trademark.i-assist.jp/data/china/image_1908th/79899645.pdf", "79899645")</f>
        <v>79899645</v>
      </c>
      <c r="F1123" s="11" t="s">
        <v>3300</v>
      </c>
      <c r="G1123" s="11" t="s">
        <v>3298</v>
      </c>
      <c r="H1123" s="11" t="s">
        <v>3301</v>
      </c>
      <c r="I1123" s="11" t="s">
        <v>163</v>
      </c>
    </row>
    <row r="1124" spans="1:9" x14ac:dyDescent="0.15">
      <c r="A1124" s="10">
        <v>1123</v>
      </c>
      <c r="B1124" s="11" t="s">
        <v>9</v>
      </c>
      <c r="C1124" s="11" t="s">
        <v>179</v>
      </c>
      <c r="D1124" s="11" t="s">
        <v>180</v>
      </c>
      <c r="E1124" s="9" t="str">
        <f>+HYPERLINK("http://trademark.i-assist.jp/data/china/image_1908th/79899696.pdf", "79899696")</f>
        <v>79899696</v>
      </c>
      <c r="F1124" s="11" t="s">
        <v>3302</v>
      </c>
      <c r="G1124" s="11" t="s">
        <v>3303</v>
      </c>
      <c r="H1124" s="11" t="s">
        <v>3304</v>
      </c>
      <c r="I1124" s="11" t="s">
        <v>163</v>
      </c>
    </row>
    <row r="1125" spans="1:9" x14ac:dyDescent="0.15">
      <c r="A1125" s="10">
        <v>1124</v>
      </c>
      <c r="B1125" s="11" t="s">
        <v>9</v>
      </c>
      <c r="C1125" s="11" t="s">
        <v>179</v>
      </c>
      <c r="D1125" s="11" t="s">
        <v>180</v>
      </c>
      <c r="E1125" s="9" t="str">
        <f>+HYPERLINK("http://trademark.i-assist.jp/data/china/image_1908th/79899961.pdf", "79899961")</f>
        <v>79899961</v>
      </c>
      <c r="F1125" s="11" t="s">
        <v>3305</v>
      </c>
      <c r="G1125" s="11" t="s">
        <v>3306</v>
      </c>
      <c r="H1125" s="11" t="s">
        <v>3307</v>
      </c>
      <c r="I1125" s="11" t="s">
        <v>163</v>
      </c>
    </row>
    <row r="1126" spans="1:9" x14ac:dyDescent="0.15">
      <c r="A1126" s="10">
        <v>1125</v>
      </c>
      <c r="B1126" s="11" t="s">
        <v>9</v>
      </c>
      <c r="C1126" s="11" t="s">
        <v>179</v>
      </c>
      <c r="D1126" s="11" t="s">
        <v>180</v>
      </c>
      <c r="E1126" s="9" t="str">
        <f>+HYPERLINK("http://trademark.i-assist.jp/data/china/image_1908th/79900724.pdf", "79900724")</f>
        <v>79900724</v>
      </c>
      <c r="F1126" s="11" t="s">
        <v>3308</v>
      </c>
      <c r="G1126" s="11" t="s">
        <v>3309</v>
      </c>
      <c r="H1126" s="11" t="s">
        <v>3310</v>
      </c>
      <c r="I1126" s="11" t="s">
        <v>163</v>
      </c>
    </row>
    <row r="1127" spans="1:9" x14ac:dyDescent="0.15">
      <c r="A1127" s="10">
        <v>1126</v>
      </c>
      <c r="B1127" s="11" t="s">
        <v>9</v>
      </c>
      <c r="C1127" s="11" t="s">
        <v>179</v>
      </c>
      <c r="D1127" s="11" t="s">
        <v>180</v>
      </c>
      <c r="E1127" s="9" t="str">
        <f>+HYPERLINK("http://trademark.i-assist.jp/data/china/image_1908th/79900757.pdf", "79900757")</f>
        <v>79900757</v>
      </c>
      <c r="F1127" s="11" t="s">
        <v>3311</v>
      </c>
      <c r="G1127" s="11" t="s">
        <v>164</v>
      </c>
      <c r="H1127" s="11" t="s">
        <v>3312</v>
      </c>
      <c r="I1127" s="11" t="s">
        <v>163</v>
      </c>
    </row>
    <row r="1128" spans="1:9" x14ac:dyDescent="0.15">
      <c r="A1128" s="10">
        <v>1127</v>
      </c>
      <c r="B1128" s="11" t="s">
        <v>9</v>
      </c>
      <c r="C1128" s="11" t="s">
        <v>179</v>
      </c>
      <c r="D1128" s="11" t="s">
        <v>180</v>
      </c>
      <c r="E1128" s="9" t="str">
        <f>+HYPERLINK("http://trademark.i-assist.jp/data/china/image_1908th/79901241.pdf", "79901241")</f>
        <v>79901241</v>
      </c>
      <c r="F1128" s="11" t="s">
        <v>3313</v>
      </c>
      <c r="G1128" s="11" t="s">
        <v>3314</v>
      </c>
      <c r="H1128" s="11" t="s">
        <v>3315</v>
      </c>
      <c r="I1128" s="11" t="s">
        <v>163</v>
      </c>
    </row>
    <row r="1129" spans="1:9" x14ac:dyDescent="0.15">
      <c r="A1129" s="10">
        <v>1128</v>
      </c>
      <c r="B1129" s="11" t="s">
        <v>9</v>
      </c>
      <c r="C1129" s="11" t="s">
        <v>179</v>
      </c>
      <c r="D1129" s="11" t="s">
        <v>180</v>
      </c>
      <c r="E1129" s="9" t="str">
        <f>+HYPERLINK("http://trademark.i-assist.jp/data/china/image_1908th/79901352.pdf", "79901352")</f>
        <v>79901352</v>
      </c>
      <c r="F1129" s="11" t="s">
        <v>3316</v>
      </c>
      <c r="G1129" s="11" t="s">
        <v>3317</v>
      </c>
      <c r="H1129" s="11" t="s">
        <v>3318</v>
      </c>
      <c r="I1129" s="11" t="s">
        <v>167</v>
      </c>
    </row>
    <row r="1130" spans="1:9" x14ac:dyDescent="0.15">
      <c r="A1130" s="10">
        <v>1129</v>
      </c>
      <c r="B1130" s="11" t="s">
        <v>9</v>
      </c>
      <c r="C1130" s="11" t="s">
        <v>179</v>
      </c>
      <c r="D1130" s="11" t="s">
        <v>180</v>
      </c>
      <c r="E1130" s="9" t="str">
        <f>+HYPERLINK("http://trademark.i-assist.jp/data/china/image_1908th/79901479.pdf", "79901479")</f>
        <v>79901479</v>
      </c>
      <c r="F1130" s="11" t="s">
        <v>3319</v>
      </c>
      <c r="G1130" s="11" t="s">
        <v>30</v>
      </c>
      <c r="H1130" s="11" t="s">
        <v>3320</v>
      </c>
      <c r="I1130" s="11" t="s">
        <v>163</v>
      </c>
    </row>
    <row r="1131" spans="1:9" x14ac:dyDescent="0.15">
      <c r="A1131" s="10">
        <v>1130</v>
      </c>
      <c r="B1131" s="11" t="s">
        <v>9</v>
      </c>
      <c r="C1131" s="11" t="s">
        <v>179</v>
      </c>
      <c r="D1131" s="11" t="s">
        <v>180</v>
      </c>
      <c r="E1131" s="9" t="str">
        <f>+HYPERLINK("http://trademark.i-assist.jp/data/china/image_1908th/79901682.pdf", "79901682")</f>
        <v>79901682</v>
      </c>
      <c r="F1131" s="11" t="s">
        <v>3321</v>
      </c>
      <c r="G1131" s="11" t="s">
        <v>3322</v>
      </c>
      <c r="H1131" s="11" t="s">
        <v>3323</v>
      </c>
      <c r="I1131" s="11" t="s">
        <v>167</v>
      </c>
    </row>
    <row r="1132" spans="1:9" x14ac:dyDescent="0.15">
      <c r="A1132" s="10">
        <v>1131</v>
      </c>
      <c r="B1132" s="11" t="s">
        <v>9</v>
      </c>
      <c r="C1132" s="11" t="s">
        <v>179</v>
      </c>
      <c r="D1132" s="11" t="s">
        <v>180</v>
      </c>
      <c r="E1132" s="9" t="str">
        <f>+HYPERLINK("http://trademark.i-assist.jp/data/china/image_1908th/79901683.pdf", "79901683")</f>
        <v>79901683</v>
      </c>
      <c r="F1132" s="11" t="s">
        <v>3324</v>
      </c>
      <c r="G1132" s="11" t="s">
        <v>3322</v>
      </c>
      <c r="H1132" s="11" t="s">
        <v>3325</v>
      </c>
      <c r="I1132" s="11" t="s">
        <v>167</v>
      </c>
    </row>
    <row r="1133" spans="1:9" x14ac:dyDescent="0.15">
      <c r="A1133" s="10">
        <v>1132</v>
      </c>
      <c r="B1133" s="11" t="s">
        <v>9</v>
      </c>
      <c r="C1133" s="11" t="s">
        <v>179</v>
      </c>
      <c r="D1133" s="11" t="s">
        <v>180</v>
      </c>
      <c r="E1133" s="9" t="str">
        <f>+HYPERLINK("http://trademark.i-assist.jp/data/china/image_1908th/79901687.pdf", "79901687")</f>
        <v>79901687</v>
      </c>
      <c r="F1133" s="11" t="s">
        <v>3326</v>
      </c>
      <c r="G1133" s="11" t="s">
        <v>3322</v>
      </c>
      <c r="H1133" s="11" t="s">
        <v>3327</v>
      </c>
      <c r="I1133" s="11" t="s">
        <v>167</v>
      </c>
    </row>
    <row r="1134" spans="1:9" x14ac:dyDescent="0.15">
      <c r="A1134" s="10">
        <v>1133</v>
      </c>
      <c r="B1134" s="11" t="s">
        <v>9</v>
      </c>
      <c r="C1134" s="11" t="s">
        <v>179</v>
      </c>
      <c r="D1134" s="11" t="s">
        <v>180</v>
      </c>
      <c r="E1134" s="9" t="str">
        <f>+HYPERLINK("http://trademark.i-assist.jp/data/china/image_1908th/79901969.pdf", "79901969")</f>
        <v>79901969</v>
      </c>
      <c r="F1134" s="11" t="s">
        <v>3328</v>
      </c>
      <c r="G1134" s="11" t="s">
        <v>3258</v>
      </c>
      <c r="H1134" s="11" t="s">
        <v>3329</v>
      </c>
      <c r="I1134" s="11" t="s">
        <v>163</v>
      </c>
    </row>
    <row r="1135" spans="1:9" x14ac:dyDescent="0.15">
      <c r="A1135" s="10">
        <v>1134</v>
      </c>
      <c r="B1135" s="11" t="s">
        <v>9</v>
      </c>
      <c r="C1135" s="11" t="s">
        <v>179</v>
      </c>
      <c r="D1135" s="11" t="s">
        <v>180</v>
      </c>
      <c r="E1135" s="9" t="str">
        <f>+HYPERLINK("http://trademark.i-assist.jp/data/china/image_1908th/79902311.pdf", "79902311")</f>
        <v>79902311</v>
      </c>
      <c r="F1135" s="11" t="s">
        <v>3330</v>
      </c>
      <c r="G1135" s="11" t="s">
        <v>164</v>
      </c>
      <c r="H1135" s="11" t="s">
        <v>3331</v>
      </c>
      <c r="I1135" s="11" t="s">
        <v>163</v>
      </c>
    </row>
    <row r="1136" spans="1:9" x14ac:dyDescent="0.15">
      <c r="A1136" s="10">
        <v>1135</v>
      </c>
      <c r="B1136" s="11" t="s">
        <v>9</v>
      </c>
      <c r="C1136" s="11" t="s">
        <v>179</v>
      </c>
      <c r="D1136" s="11" t="s">
        <v>180</v>
      </c>
      <c r="E1136" s="9" t="str">
        <f>+HYPERLINK("http://trademark.i-assist.jp/data/china/image_1908th/79902358.pdf", "79902358")</f>
        <v>79902358</v>
      </c>
      <c r="F1136" s="11" t="s">
        <v>3332</v>
      </c>
      <c r="G1136" s="11" t="s">
        <v>3333</v>
      </c>
      <c r="H1136" s="11" t="s">
        <v>3334</v>
      </c>
      <c r="I1136" s="11" t="s">
        <v>163</v>
      </c>
    </row>
    <row r="1137" spans="1:9" x14ac:dyDescent="0.15">
      <c r="A1137" s="10">
        <v>1136</v>
      </c>
      <c r="B1137" s="11" t="s">
        <v>9</v>
      </c>
      <c r="C1137" s="11" t="s">
        <v>179</v>
      </c>
      <c r="D1137" s="11" t="s">
        <v>180</v>
      </c>
      <c r="E1137" s="9" t="str">
        <f>+HYPERLINK("http://trademark.i-assist.jp/data/china/image_1908th/79902464.pdf", "79902464")</f>
        <v>79902464</v>
      </c>
      <c r="F1137" s="11" t="s">
        <v>10</v>
      </c>
      <c r="G1137" s="11" t="s">
        <v>3335</v>
      </c>
      <c r="H1137" s="11" t="s">
        <v>3336</v>
      </c>
      <c r="I1137" s="11" t="s">
        <v>163</v>
      </c>
    </row>
    <row r="1138" spans="1:9" x14ac:dyDescent="0.15">
      <c r="A1138" s="10">
        <v>1137</v>
      </c>
      <c r="B1138" s="11" t="s">
        <v>9</v>
      </c>
      <c r="C1138" s="11" t="s">
        <v>179</v>
      </c>
      <c r="D1138" s="11" t="s">
        <v>180</v>
      </c>
      <c r="E1138" s="9" t="str">
        <f>+HYPERLINK("http://trademark.i-assist.jp/data/china/image_1908th/79902569.pdf", "79902569")</f>
        <v>79902569</v>
      </c>
      <c r="F1138" s="11" t="s">
        <v>3337</v>
      </c>
      <c r="G1138" s="11" t="s">
        <v>589</v>
      </c>
      <c r="H1138" s="11" t="s">
        <v>3338</v>
      </c>
      <c r="I1138" s="11" t="s">
        <v>163</v>
      </c>
    </row>
    <row r="1139" spans="1:9" x14ac:dyDescent="0.15">
      <c r="A1139" s="10">
        <v>1138</v>
      </c>
      <c r="B1139" s="11" t="s">
        <v>9</v>
      </c>
      <c r="C1139" s="11" t="s">
        <v>179</v>
      </c>
      <c r="D1139" s="11" t="s">
        <v>180</v>
      </c>
      <c r="E1139" s="9" t="str">
        <f>+HYPERLINK("http://trademark.i-assist.jp/data/china/image_1908th/79902678.pdf", "79902678")</f>
        <v>79902678</v>
      </c>
      <c r="F1139" s="11" t="s">
        <v>3339</v>
      </c>
      <c r="G1139" s="11" t="s">
        <v>3340</v>
      </c>
      <c r="H1139" s="11" t="s">
        <v>3341</v>
      </c>
      <c r="I1139" s="11" t="s">
        <v>163</v>
      </c>
    </row>
    <row r="1140" spans="1:9" x14ac:dyDescent="0.15">
      <c r="A1140" s="10">
        <v>1139</v>
      </c>
      <c r="B1140" s="11" t="s">
        <v>9</v>
      </c>
      <c r="C1140" s="11" t="s">
        <v>179</v>
      </c>
      <c r="D1140" s="11" t="s">
        <v>180</v>
      </c>
      <c r="E1140" s="9" t="str">
        <f>+HYPERLINK("http://trademark.i-assist.jp/data/china/image_1908th/79902766.pdf", "79902766")</f>
        <v>79902766</v>
      </c>
      <c r="F1140" s="11" t="s">
        <v>3342</v>
      </c>
      <c r="G1140" s="11" t="s">
        <v>3343</v>
      </c>
      <c r="H1140" s="11" t="s">
        <v>3344</v>
      </c>
      <c r="I1140" s="11" t="s">
        <v>163</v>
      </c>
    </row>
    <row r="1141" spans="1:9" x14ac:dyDescent="0.15">
      <c r="A1141" s="10">
        <v>1140</v>
      </c>
      <c r="B1141" s="11" t="s">
        <v>9</v>
      </c>
      <c r="C1141" s="11" t="s">
        <v>179</v>
      </c>
      <c r="D1141" s="11" t="s">
        <v>180</v>
      </c>
      <c r="E1141" s="9" t="str">
        <f>+HYPERLINK("http://trademark.i-assist.jp/data/china/image_1908th/79902770.pdf", "79902770")</f>
        <v>79902770</v>
      </c>
      <c r="F1141" s="11" t="s">
        <v>3345</v>
      </c>
      <c r="G1141" s="11" t="s">
        <v>3346</v>
      </c>
      <c r="H1141" s="11" t="s">
        <v>3347</v>
      </c>
      <c r="I1141" s="11" t="s">
        <v>163</v>
      </c>
    </row>
    <row r="1142" spans="1:9" x14ac:dyDescent="0.15">
      <c r="A1142" s="10">
        <v>1141</v>
      </c>
      <c r="B1142" s="11" t="s">
        <v>9</v>
      </c>
      <c r="C1142" s="11" t="s">
        <v>179</v>
      </c>
      <c r="D1142" s="11" t="s">
        <v>180</v>
      </c>
      <c r="E1142" s="9" t="str">
        <f>+HYPERLINK("http://trademark.i-assist.jp/data/china/image_1908th/79903007.pdf", "79903007")</f>
        <v>79903007</v>
      </c>
      <c r="F1142" s="11" t="s">
        <v>3348</v>
      </c>
      <c r="G1142" s="11" t="s">
        <v>3349</v>
      </c>
      <c r="H1142" s="11" t="s">
        <v>3350</v>
      </c>
      <c r="I1142" s="11" t="s">
        <v>163</v>
      </c>
    </row>
    <row r="1143" spans="1:9" x14ac:dyDescent="0.15">
      <c r="A1143" s="10">
        <v>1142</v>
      </c>
      <c r="B1143" s="11" t="s">
        <v>9</v>
      </c>
      <c r="C1143" s="11" t="s">
        <v>179</v>
      </c>
      <c r="D1143" s="11" t="s">
        <v>180</v>
      </c>
      <c r="E1143" s="9" t="str">
        <f>+HYPERLINK("http://trademark.i-assist.jp/data/china/image_1908th/79903470.pdf", "79903470")</f>
        <v>79903470</v>
      </c>
      <c r="F1143" s="11" t="s">
        <v>10</v>
      </c>
      <c r="G1143" s="11" t="s">
        <v>3351</v>
      </c>
      <c r="H1143" s="11" t="s">
        <v>3352</v>
      </c>
      <c r="I1143" s="11" t="s">
        <v>163</v>
      </c>
    </row>
    <row r="1144" spans="1:9" x14ac:dyDescent="0.15">
      <c r="A1144" s="10">
        <v>1143</v>
      </c>
      <c r="B1144" s="11" t="s">
        <v>9</v>
      </c>
      <c r="C1144" s="11" t="s">
        <v>179</v>
      </c>
      <c r="D1144" s="11" t="s">
        <v>180</v>
      </c>
      <c r="E1144" s="9" t="str">
        <f>+HYPERLINK("http://trademark.i-assist.jp/data/china/image_1908th/79904887.pdf", "79904887")</f>
        <v>79904887</v>
      </c>
      <c r="F1144" s="11" t="s">
        <v>3353</v>
      </c>
      <c r="G1144" s="11" t="s">
        <v>166</v>
      </c>
      <c r="H1144" s="11" t="s">
        <v>3354</v>
      </c>
      <c r="I1144" s="11" t="s">
        <v>165</v>
      </c>
    </row>
    <row r="1145" spans="1:9" x14ac:dyDescent="0.15">
      <c r="A1145" s="10">
        <v>1144</v>
      </c>
      <c r="B1145" s="11" t="s">
        <v>9</v>
      </c>
      <c r="C1145" s="11" t="s">
        <v>179</v>
      </c>
      <c r="D1145" s="11" t="s">
        <v>180</v>
      </c>
      <c r="E1145" s="9" t="str">
        <f>+HYPERLINK("http://trademark.i-assist.jp/data/china/image_1908th/79905176.pdf", "79905176")</f>
        <v>79905176</v>
      </c>
      <c r="F1145" s="11" t="s">
        <v>3355</v>
      </c>
      <c r="G1145" s="11" t="s">
        <v>3356</v>
      </c>
      <c r="H1145" s="11" t="s">
        <v>3357</v>
      </c>
      <c r="I1145" s="11" t="s">
        <v>165</v>
      </c>
    </row>
    <row r="1146" spans="1:9" x14ac:dyDescent="0.15">
      <c r="A1146" s="10">
        <v>1145</v>
      </c>
      <c r="B1146" s="11" t="s">
        <v>9</v>
      </c>
      <c r="C1146" s="11" t="s">
        <v>179</v>
      </c>
      <c r="D1146" s="11" t="s">
        <v>180</v>
      </c>
      <c r="E1146" s="9" t="str">
        <f>+HYPERLINK("http://trademark.i-assist.jp/data/china/image_1908th/79905178.pdf", "79905178")</f>
        <v>79905178</v>
      </c>
      <c r="F1146" s="11" t="s">
        <v>3358</v>
      </c>
      <c r="G1146" s="11" t="s">
        <v>3356</v>
      </c>
      <c r="H1146" s="11" t="s">
        <v>3359</v>
      </c>
      <c r="I1146" s="11" t="s">
        <v>165</v>
      </c>
    </row>
    <row r="1147" spans="1:9" x14ac:dyDescent="0.15">
      <c r="A1147" s="10">
        <v>1146</v>
      </c>
      <c r="B1147" s="11" t="s">
        <v>9</v>
      </c>
      <c r="C1147" s="11" t="s">
        <v>179</v>
      </c>
      <c r="D1147" s="11" t="s">
        <v>180</v>
      </c>
      <c r="E1147" s="9" t="str">
        <f>+HYPERLINK("http://trademark.i-assist.jp/data/china/image_1908th/79905848.pdf", "79905848")</f>
        <v>79905848</v>
      </c>
      <c r="F1147" s="11" t="s">
        <v>3360</v>
      </c>
      <c r="G1147" s="11" t="s">
        <v>3361</v>
      </c>
      <c r="H1147" s="11" t="s">
        <v>3362</v>
      </c>
      <c r="I1147" s="11" t="s">
        <v>165</v>
      </c>
    </row>
    <row r="1148" spans="1:9" x14ac:dyDescent="0.15">
      <c r="A1148" s="10">
        <v>1147</v>
      </c>
      <c r="B1148" s="11" t="s">
        <v>9</v>
      </c>
      <c r="C1148" s="11" t="s">
        <v>179</v>
      </c>
      <c r="D1148" s="11" t="s">
        <v>180</v>
      </c>
      <c r="E1148" s="9" t="str">
        <f>+HYPERLINK("http://trademark.i-assist.jp/data/china/image_1908th/79905869.pdf", "79905869")</f>
        <v>79905869</v>
      </c>
      <c r="F1148" s="11" t="s">
        <v>3363</v>
      </c>
      <c r="G1148" s="11" t="s">
        <v>3364</v>
      </c>
      <c r="H1148" s="11" t="s">
        <v>3365</v>
      </c>
      <c r="I1148" s="11" t="s">
        <v>165</v>
      </c>
    </row>
    <row r="1149" spans="1:9" x14ac:dyDescent="0.15">
      <c r="A1149" s="10">
        <v>1148</v>
      </c>
      <c r="B1149" s="11" t="s">
        <v>9</v>
      </c>
      <c r="C1149" s="11" t="s">
        <v>179</v>
      </c>
      <c r="D1149" s="11" t="s">
        <v>180</v>
      </c>
      <c r="E1149" s="9" t="str">
        <f>+HYPERLINK("http://trademark.i-assist.jp/data/china/image_1908th/79905988.pdf", "79905988")</f>
        <v>79905988</v>
      </c>
      <c r="F1149" s="11" t="s">
        <v>3366</v>
      </c>
      <c r="G1149" s="11" t="s">
        <v>3364</v>
      </c>
      <c r="H1149" s="11" t="s">
        <v>3367</v>
      </c>
      <c r="I1149" s="11" t="s">
        <v>165</v>
      </c>
    </row>
    <row r="1150" spans="1:9" x14ac:dyDescent="0.15">
      <c r="A1150" s="10">
        <v>1149</v>
      </c>
      <c r="B1150" s="11" t="s">
        <v>9</v>
      </c>
      <c r="C1150" s="11" t="s">
        <v>179</v>
      </c>
      <c r="D1150" s="11" t="s">
        <v>180</v>
      </c>
      <c r="E1150" s="9" t="str">
        <f>+HYPERLINK("http://trademark.i-assist.jp/data/china/image_1908th/79906371.pdf", "79906371")</f>
        <v>79906371</v>
      </c>
      <c r="F1150" s="11" t="s">
        <v>3368</v>
      </c>
      <c r="G1150" s="11" t="s">
        <v>3369</v>
      </c>
      <c r="H1150" s="11" t="s">
        <v>3370</v>
      </c>
      <c r="I1150" s="11" t="s">
        <v>165</v>
      </c>
    </row>
    <row r="1151" spans="1:9" x14ac:dyDescent="0.15">
      <c r="A1151" s="10">
        <v>1150</v>
      </c>
      <c r="B1151" s="11" t="s">
        <v>9</v>
      </c>
      <c r="C1151" s="11" t="s">
        <v>179</v>
      </c>
      <c r="D1151" s="11" t="s">
        <v>180</v>
      </c>
      <c r="E1151" s="9" t="str">
        <f>+HYPERLINK("http://trademark.i-assist.jp/data/china/image_1908th/79906734.pdf", "79906734")</f>
        <v>79906734</v>
      </c>
      <c r="F1151" s="11" t="s">
        <v>3371</v>
      </c>
      <c r="G1151" s="11" t="s">
        <v>3372</v>
      </c>
      <c r="H1151" s="11" t="s">
        <v>3373</v>
      </c>
      <c r="I1151" s="11" t="s">
        <v>165</v>
      </c>
    </row>
    <row r="1152" spans="1:9" x14ac:dyDescent="0.15">
      <c r="A1152" s="10">
        <v>1151</v>
      </c>
      <c r="B1152" s="11" t="s">
        <v>9</v>
      </c>
      <c r="C1152" s="11" t="s">
        <v>179</v>
      </c>
      <c r="D1152" s="11" t="s">
        <v>180</v>
      </c>
      <c r="E1152" s="9" t="str">
        <f>+HYPERLINK("http://trademark.i-assist.jp/data/china/image_1908th/79906826.pdf", "79906826")</f>
        <v>79906826</v>
      </c>
      <c r="F1152" s="11" t="s">
        <v>3374</v>
      </c>
      <c r="G1152" s="11" t="s">
        <v>3375</v>
      </c>
      <c r="H1152" s="11" t="s">
        <v>91</v>
      </c>
      <c r="I1152" s="11" t="s">
        <v>165</v>
      </c>
    </row>
    <row r="1153" spans="1:9" x14ac:dyDescent="0.15">
      <c r="A1153" s="10">
        <v>1152</v>
      </c>
      <c r="B1153" s="11" t="s">
        <v>9</v>
      </c>
      <c r="C1153" s="11" t="s">
        <v>179</v>
      </c>
      <c r="D1153" s="11" t="s">
        <v>180</v>
      </c>
      <c r="E1153" s="9" t="str">
        <f>+HYPERLINK("http://trademark.i-assist.jp/data/china/image_1908th/79907005.pdf", "79907005")</f>
        <v>79907005</v>
      </c>
      <c r="F1153" s="11" t="s">
        <v>3376</v>
      </c>
      <c r="G1153" s="11" t="s">
        <v>3356</v>
      </c>
      <c r="H1153" s="11" t="s">
        <v>3377</v>
      </c>
      <c r="I1153" s="11" t="s">
        <v>165</v>
      </c>
    </row>
    <row r="1154" spans="1:9" x14ac:dyDescent="0.15">
      <c r="A1154" s="10">
        <v>1153</v>
      </c>
      <c r="B1154" s="11" t="s">
        <v>9</v>
      </c>
      <c r="C1154" s="11" t="s">
        <v>179</v>
      </c>
      <c r="D1154" s="11" t="s">
        <v>180</v>
      </c>
      <c r="E1154" s="9" t="str">
        <f>+HYPERLINK("http://trademark.i-assist.jp/data/china/image_1908th/79907010.pdf", "79907010")</f>
        <v>79907010</v>
      </c>
      <c r="F1154" s="11" t="s">
        <v>3378</v>
      </c>
      <c r="G1154" s="11" t="s">
        <v>3356</v>
      </c>
      <c r="H1154" s="11" t="s">
        <v>3379</v>
      </c>
      <c r="I1154" s="11" t="s">
        <v>165</v>
      </c>
    </row>
    <row r="1155" spans="1:9" x14ac:dyDescent="0.15">
      <c r="A1155" s="10">
        <v>1154</v>
      </c>
      <c r="B1155" s="11" t="s">
        <v>9</v>
      </c>
      <c r="C1155" s="11" t="s">
        <v>179</v>
      </c>
      <c r="D1155" s="11" t="s">
        <v>180</v>
      </c>
      <c r="E1155" s="9" t="str">
        <f>+HYPERLINK("http://trademark.i-assist.jp/data/china/image_1908th/79907026.pdf", "79907026")</f>
        <v>79907026</v>
      </c>
      <c r="F1155" s="11" t="s">
        <v>10</v>
      </c>
      <c r="G1155" s="11" t="s">
        <v>3380</v>
      </c>
      <c r="H1155" s="11" t="s">
        <v>3381</v>
      </c>
      <c r="I1155" s="11" t="s">
        <v>165</v>
      </c>
    </row>
    <row r="1156" spans="1:9" x14ac:dyDescent="0.15">
      <c r="A1156" s="10">
        <v>1155</v>
      </c>
      <c r="B1156" s="11" t="s">
        <v>9</v>
      </c>
      <c r="C1156" s="11" t="s">
        <v>179</v>
      </c>
      <c r="D1156" s="11" t="s">
        <v>180</v>
      </c>
      <c r="E1156" s="9" t="str">
        <f>+HYPERLINK("http://trademark.i-assist.jp/data/china/image_1908th/79907090.pdf", "79907090")</f>
        <v>79907090</v>
      </c>
      <c r="F1156" s="11" t="s">
        <v>3382</v>
      </c>
      <c r="G1156" s="11" t="s">
        <v>3364</v>
      </c>
      <c r="H1156" s="11" t="s">
        <v>3383</v>
      </c>
      <c r="I1156" s="11" t="s">
        <v>165</v>
      </c>
    </row>
    <row r="1157" spans="1:9" x14ac:dyDescent="0.15">
      <c r="A1157" s="10">
        <v>1156</v>
      </c>
      <c r="B1157" s="11" t="s">
        <v>9</v>
      </c>
      <c r="C1157" s="11" t="s">
        <v>179</v>
      </c>
      <c r="D1157" s="11" t="s">
        <v>180</v>
      </c>
      <c r="E1157" s="9" t="str">
        <f>+HYPERLINK("http://trademark.i-assist.jp/data/china/image_1908th/79907456.pdf", "79907456")</f>
        <v>79907456</v>
      </c>
      <c r="F1157" s="11" t="s">
        <v>3384</v>
      </c>
      <c r="G1157" s="11" t="s">
        <v>3385</v>
      </c>
      <c r="H1157" s="11" t="s">
        <v>3386</v>
      </c>
      <c r="I1157" s="11" t="s">
        <v>165</v>
      </c>
    </row>
    <row r="1158" spans="1:9" x14ac:dyDescent="0.15">
      <c r="A1158" s="10">
        <v>1157</v>
      </c>
      <c r="B1158" s="11" t="s">
        <v>9</v>
      </c>
      <c r="C1158" s="11" t="s">
        <v>179</v>
      </c>
      <c r="D1158" s="11" t="s">
        <v>180</v>
      </c>
      <c r="E1158" s="9" t="str">
        <f>+HYPERLINK("http://trademark.i-assist.jp/data/china/image_1908th/79907611.pdf", "79907611")</f>
        <v>79907611</v>
      </c>
      <c r="F1158" s="11" t="s">
        <v>10</v>
      </c>
      <c r="G1158" s="11" t="s">
        <v>3387</v>
      </c>
      <c r="H1158" s="11" t="s">
        <v>3388</v>
      </c>
      <c r="I1158" s="11" t="s">
        <v>165</v>
      </c>
    </row>
    <row r="1159" spans="1:9" x14ac:dyDescent="0.15">
      <c r="A1159" s="10">
        <v>1158</v>
      </c>
      <c r="B1159" s="11" t="s">
        <v>9</v>
      </c>
      <c r="C1159" s="11" t="s">
        <v>179</v>
      </c>
      <c r="D1159" s="11" t="s">
        <v>180</v>
      </c>
      <c r="E1159" s="9" t="str">
        <f>+HYPERLINK("http://trademark.i-assist.jp/data/china/image_1908th/79907718.pdf", "79907718")</f>
        <v>79907718</v>
      </c>
      <c r="F1159" s="11" t="s">
        <v>1404</v>
      </c>
      <c r="G1159" s="11" t="s">
        <v>3389</v>
      </c>
      <c r="H1159" s="11" t="s">
        <v>3390</v>
      </c>
      <c r="I1159" s="11" t="s">
        <v>165</v>
      </c>
    </row>
    <row r="1160" spans="1:9" x14ac:dyDescent="0.15">
      <c r="A1160" s="10">
        <v>1159</v>
      </c>
      <c r="B1160" s="11" t="s">
        <v>9</v>
      </c>
      <c r="C1160" s="11" t="s">
        <v>179</v>
      </c>
      <c r="D1160" s="11" t="s">
        <v>180</v>
      </c>
      <c r="E1160" s="9" t="str">
        <f>+HYPERLINK("http://trademark.i-assist.jp/data/china/image_1908th/79907731.pdf", "79907731")</f>
        <v>79907731</v>
      </c>
      <c r="F1160" s="11" t="s">
        <v>3391</v>
      </c>
      <c r="G1160" s="11" t="s">
        <v>3356</v>
      </c>
      <c r="H1160" s="11" t="s">
        <v>3392</v>
      </c>
      <c r="I1160" s="11" t="s">
        <v>165</v>
      </c>
    </row>
    <row r="1161" spans="1:9" x14ac:dyDescent="0.15">
      <c r="A1161" s="10">
        <v>1160</v>
      </c>
      <c r="B1161" s="11" t="s">
        <v>9</v>
      </c>
      <c r="C1161" s="11" t="s">
        <v>179</v>
      </c>
      <c r="D1161" s="11" t="s">
        <v>180</v>
      </c>
      <c r="E1161" s="9" t="str">
        <f>+HYPERLINK("http://trademark.i-assist.jp/data/china/image_1908th/79907747.pdf", "79907747")</f>
        <v>79907747</v>
      </c>
      <c r="F1161" s="11" t="s">
        <v>3393</v>
      </c>
      <c r="G1161" s="11" t="s">
        <v>3356</v>
      </c>
      <c r="H1161" s="11" t="s">
        <v>3394</v>
      </c>
      <c r="I1161" s="11" t="s">
        <v>165</v>
      </c>
    </row>
    <row r="1162" spans="1:9" x14ac:dyDescent="0.15">
      <c r="A1162" s="10">
        <v>1161</v>
      </c>
      <c r="B1162" s="11" t="s">
        <v>9</v>
      </c>
      <c r="C1162" s="11" t="s">
        <v>179</v>
      </c>
      <c r="D1162" s="11" t="s">
        <v>180</v>
      </c>
      <c r="E1162" s="9" t="str">
        <f>+HYPERLINK("http://trademark.i-assist.jp/data/china/image_1908th/79907749.pdf", "79907749")</f>
        <v>79907749</v>
      </c>
      <c r="F1162" s="11" t="s">
        <v>3395</v>
      </c>
      <c r="G1162" s="11" t="s">
        <v>3356</v>
      </c>
      <c r="H1162" s="11" t="s">
        <v>3396</v>
      </c>
      <c r="I1162" s="11" t="s">
        <v>165</v>
      </c>
    </row>
    <row r="1163" spans="1:9" x14ac:dyDescent="0.15">
      <c r="A1163" s="10">
        <v>1162</v>
      </c>
      <c r="B1163" s="11" t="s">
        <v>9</v>
      </c>
      <c r="C1163" s="11" t="s">
        <v>179</v>
      </c>
      <c r="D1163" s="11" t="s">
        <v>180</v>
      </c>
      <c r="E1163" s="9" t="str">
        <f>+HYPERLINK("http://trademark.i-assist.jp/data/china/image_1908th/79907834.pdf", "79907834")</f>
        <v>79907834</v>
      </c>
      <c r="F1163" s="11" t="s">
        <v>3397</v>
      </c>
      <c r="G1163" s="11" t="s">
        <v>3364</v>
      </c>
      <c r="H1163" s="11" t="s">
        <v>3398</v>
      </c>
      <c r="I1163" s="11" t="s">
        <v>165</v>
      </c>
    </row>
    <row r="1164" spans="1:9" x14ac:dyDescent="0.15">
      <c r="A1164" s="10">
        <v>1163</v>
      </c>
      <c r="B1164" s="11" t="s">
        <v>9</v>
      </c>
      <c r="C1164" s="11" t="s">
        <v>179</v>
      </c>
      <c r="D1164" s="11" t="s">
        <v>180</v>
      </c>
      <c r="E1164" s="9" t="str">
        <f>+HYPERLINK("http://trademark.i-assist.jp/data/china/image_1908th/79908666.pdf", "79908666")</f>
        <v>79908666</v>
      </c>
      <c r="F1164" s="11" t="s">
        <v>3399</v>
      </c>
      <c r="G1164" s="11" t="s">
        <v>3400</v>
      </c>
      <c r="H1164" s="11" t="s">
        <v>3401</v>
      </c>
      <c r="I1164" s="11" t="s">
        <v>165</v>
      </c>
    </row>
    <row r="1165" spans="1:9" x14ac:dyDescent="0.15">
      <c r="A1165" s="10">
        <v>1164</v>
      </c>
      <c r="B1165" s="11" t="s">
        <v>9</v>
      </c>
      <c r="C1165" s="11" t="s">
        <v>179</v>
      </c>
      <c r="D1165" s="11" t="s">
        <v>180</v>
      </c>
      <c r="E1165" s="9" t="str">
        <f>+HYPERLINK("http://trademark.i-assist.jp/data/china/image_1908th/79908792.pdf", "79908792")</f>
        <v>79908792</v>
      </c>
      <c r="F1165" s="11" t="s">
        <v>3402</v>
      </c>
      <c r="G1165" s="11" t="s">
        <v>3403</v>
      </c>
      <c r="H1165" s="11" t="s">
        <v>3404</v>
      </c>
      <c r="I1165" s="11" t="s">
        <v>165</v>
      </c>
    </row>
    <row r="1166" spans="1:9" x14ac:dyDescent="0.15">
      <c r="A1166" s="10">
        <v>1165</v>
      </c>
      <c r="B1166" s="11" t="s">
        <v>9</v>
      </c>
      <c r="C1166" s="11" t="s">
        <v>179</v>
      </c>
      <c r="D1166" s="11" t="s">
        <v>180</v>
      </c>
      <c r="E1166" s="9" t="str">
        <f>+HYPERLINK("http://trademark.i-assist.jp/data/china/image_1908th/79909088.pdf", "79909088")</f>
        <v>79909088</v>
      </c>
      <c r="F1166" s="11" t="s">
        <v>3405</v>
      </c>
      <c r="G1166" s="11" t="s">
        <v>3356</v>
      </c>
      <c r="H1166" s="11" t="s">
        <v>3406</v>
      </c>
      <c r="I1166" s="11" t="s">
        <v>165</v>
      </c>
    </row>
    <row r="1167" spans="1:9" x14ac:dyDescent="0.15">
      <c r="A1167" s="10">
        <v>1166</v>
      </c>
      <c r="B1167" s="11" t="s">
        <v>9</v>
      </c>
      <c r="C1167" s="11" t="s">
        <v>179</v>
      </c>
      <c r="D1167" s="11" t="s">
        <v>180</v>
      </c>
      <c r="E1167" s="9" t="str">
        <f>+HYPERLINK("http://trademark.i-assist.jp/data/china/image_1908th/79909629.pdf", "79909629")</f>
        <v>79909629</v>
      </c>
      <c r="F1167" s="11" t="s">
        <v>3407</v>
      </c>
      <c r="G1167" s="11" t="s">
        <v>3356</v>
      </c>
      <c r="H1167" s="11" t="s">
        <v>3408</v>
      </c>
      <c r="I1167" s="11" t="s">
        <v>165</v>
      </c>
    </row>
    <row r="1168" spans="1:9" x14ac:dyDescent="0.15">
      <c r="A1168" s="10">
        <v>1167</v>
      </c>
      <c r="B1168" s="11" t="s">
        <v>9</v>
      </c>
      <c r="C1168" s="11" t="s">
        <v>179</v>
      </c>
      <c r="D1168" s="11" t="s">
        <v>180</v>
      </c>
      <c r="E1168" s="9" t="str">
        <f>+HYPERLINK("http://trademark.i-assist.jp/data/china/image_1908th/79909633.pdf", "79909633")</f>
        <v>79909633</v>
      </c>
      <c r="F1168" s="11" t="s">
        <v>3409</v>
      </c>
      <c r="G1168" s="11" t="s">
        <v>3356</v>
      </c>
      <c r="H1168" s="11" t="s">
        <v>3410</v>
      </c>
      <c r="I1168" s="11" t="s">
        <v>165</v>
      </c>
    </row>
    <row r="1169" spans="1:9" x14ac:dyDescent="0.15">
      <c r="A1169" s="10">
        <v>1168</v>
      </c>
      <c r="B1169" s="11" t="s">
        <v>9</v>
      </c>
      <c r="C1169" s="11" t="s">
        <v>179</v>
      </c>
      <c r="D1169" s="11" t="s">
        <v>180</v>
      </c>
      <c r="E1169" s="9" t="str">
        <f>+HYPERLINK("http://trademark.i-assist.jp/data/china/image_1908th/79909675.pdf", "79909675")</f>
        <v>79909675</v>
      </c>
      <c r="F1169" s="11" t="s">
        <v>3411</v>
      </c>
      <c r="G1169" s="11" t="s">
        <v>3412</v>
      </c>
      <c r="H1169" s="11" t="s">
        <v>3413</v>
      </c>
      <c r="I1169" s="11" t="s">
        <v>165</v>
      </c>
    </row>
    <row r="1170" spans="1:9" x14ac:dyDescent="0.15">
      <c r="A1170" s="10">
        <v>1169</v>
      </c>
      <c r="B1170" s="11" t="s">
        <v>9</v>
      </c>
      <c r="C1170" s="11" t="s">
        <v>179</v>
      </c>
      <c r="D1170" s="11" t="s">
        <v>180</v>
      </c>
      <c r="E1170" s="9" t="str">
        <f>+HYPERLINK("http://trademark.i-assist.jp/data/china/image_1908th/79910150.pdf", "79910150")</f>
        <v>79910150</v>
      </c>
      <c r="F1170" s="11" t="s">
        <v>3414</v>
      </c>
      <c r="G1170" s="11" t="s">
        <v>3356</v>
      </c>
      <c r="H1170" s="11" t="s">
        <v>3415</v>
      </c>
      <c r="I1170" s="11" t="s">
        <v>165</v>
      </c>
    </row>
    <row r="1171" spans="1:9" x14ac:dyDescent="0.15">
      <c r="A1171" s="10">
        <v>1170</v>
      </c>
      <c r="B1171" s="11" t="s">
        <v>9</v>
      </c>
      <c r="C1171" s="11" t="s">
        <v>179</v>
      </c>
      <c r="D1171" s="11" t="s">
        <v>180</v>
      </c>
      <c r="E1171" s="9" t="str">
        <f>+HYPERLINK("http://trademark.i-assist.jp/data/china/image_1908th/79910224.pdf", "79910224")</f>
        <v>79910224</v>
      </c>
      <c r="F1171" s="11" t="s">
        <v>3416</v>
      </c>
      <c r="G1171" s="11" t="s">
        <v>3417</v>
      </c>
      <c r="H1171" s="11" t="s">
        <v>3418</v>
      </c>
      <c r="I1171" s="11" t="s">
        <v>165</v>
      </c>
    </row>
    <row r="1172" spans="1:9" x14ac:dyDescent="0.15">
      <c r="A1172" s="10">
        <v>1171</v>
      </c>
      <c r="B1172" s="11" t="s">
        <v>9</v>
      </c>
      <c r="C1172" s="11" t="s">
        <v>179</v>
      </c>
      <c r="D1172" s="11" t="s">
        <v>180</v>
      </c>
      <c r="E1172" s="9" t="str">
        <f>+HYPERLINK("http://trademark.i-assist.jp/data/china/image_1908th/79910904.pdf", "79910904")</f>
        <v>79910904</v>
      </c>
      <c r="F1172" s="11" t="s">
        <v>3419</v>
      </c>
      <c r="G1172" s="11" t="s">
        <v>3420</v>
      </c>
      <c r="H1172" s="11" t="s">
        <v>3421</v>
      </c>
      <c r="I1172" s="11" t="s">
        <v>167</v>
      </c>
    </row>
    <row r="1173" spans="1:9" x14ac:dyDescent="0.15">
      <c r="A1173" s="10">
        <v>1172</v>
      </c>
      <c r="B1173" s="11" t="s">
        <v>9</v>
      </c>
      <c r="C1173" s="11" t="s">
        <v>179</v>
      </c>
      <c r="D1173" s="11" t="s">
        <v>180</v>
      </c>
      <c r="E1173" s="9" t="str">
        <f>+HYPERLINK("http://trademark.i-assist.jp/data/china/image_1908th/79910932.pdf", "79910932")</f>
        <v>79910932</v>
      </c>
      <c r="F1173" s="11" t="s">
        <v>3422</v>
      </c>
      <c r="G1173" s="11" t="s">
        <v>3322</v>
      </c>
      <c r="H1173" s="11" t="s">
        <v>3423</v>
      </c>
      <c r="I1173" s="11" t="s">
        <v>167</v>
      </c>
    </row>
    <row r="1174" spans="1:9" x14ac:dyDescent="0.15">
      <c r="A1174" s="10">
        <v>1173</v>
      </c>
      <c r="B1174" s="11" t="s">
        <v>9</v>
      </c>
      <c r="C1174" s="11" t="s">
        <v>179</v>
      </c>
      <c r="D1174" s="11" t="s">
        <v>180</v>
      </c>
      <c r="E1174" s="9" t="str">
        <f>+HYPERLINK("http://trademark.i-assist.jp/data/china/image_1908th/79910934.pdf", "79910934")</f>
        <v>79910934</v>
      </c>
      <c r="F1174" s="11" t="s">
        <v>3424</v>
      </c>
      <c r="G1174" s="11" t="s">
        <v>3322</v>
      </c>
      <c r="H1174" s="11" t="s">
        <v>3425</v>
      </c>
      <c r="I1174" s="11" t="s">
        <v>167</v>
      </c>
    </row>
    <row r="1175" spans="1:9" x14ac:dyDescent="0.15">
      <c r="A1175" s="10">
        <v>1174</v>
      </c>
      <c r="B1175" s="11" t="s">
        <v>9</v>
      </c>
      <c r="C1175" s="11" t="s">
        <v>179</v>
      </c>
      <c r="D1175" s="11" t="s">
        <v>180</v>
      </c>
      <c r="E1175" s="9" t="str">
        <f>+HYPERLINK("http://trademark.i-assist.jp/data/china/image_1908th/79910949.pdf", "79910949")</f>
        <v>79910949</v>
      </c>
      <c r="F1175" s="11" t="s">
        <v>3426</v>
      </c>
      <c r="G1175" s="11" t="s">
        <v>3427</v>
      </c>
      <c r="H1175" s="11" t="s">
        <v>3428</v>
      </c>
      <c r="I1175" s="11" t="s">
        <v>167</v>
      </c>
    </row>
    <row r="1176" spans="1:9" x14ac:dyDescent="0.15">
      <c r="A1176" s="10">
        <v>1175</v>
      </c>
      <c r="B1176" s="11" t="s">
        <v>9</v>
      </c>
      <c r="C1176" s="11" t="s">
        <v>179</v>
      </c>
      <c r="D1176" s="11" t="s">
        <v>180</v>
      </c>
      <c r="E1176" s="9" t="str">
        <f>+HYPERLINK("http://trademark.i-assist.jp/data/china/image_1908th/79911144.pdf", "79911144")</f>
        <v>79911144</v>
      </c>
      <c r="F1176" s="11" t="s">
        <v>3429</v>
      </c>
      <c r="G1176" s="11" t="s">
        <v>3430</v>
      </c>
      <c r="H1176" s="11" t="s">
        <v>3431</v>
      </c>
      <c r="I1176" s="11" t="s">
        <v>167</v>
      </c>
    </row>
    <row r="1177" spans="1:9" x14ac:dyDescent="0.15">
      <c r="A1177" s="10">
        <v>1176</v>
      </c>
      <c r="B1177" s="11" t="s">
        <v>9</v>
      </c>
      <c r="C1177" s="11" t="s">
        <v>179</v>
      </c>
      <c r="D1177" s="11" t="s">
        <v>180</v>
      </c>
      <c r="E1177" s="9" t="str">
        <f>+HYPERLINK("http://trademark.i-assist.jp/data/china/image_1908th/79911328.pdf", "79911328")</f>
        <v>79911328</v>
      </c>
      <c r="F1177" s="11" t="s">
        <v>3432</v>
      </c>
      <c r="G1177" s="11" t="s">
        <v>3322</v>
      </c>
      <c r="H1177" s="11" t="s">
        <v>3433</v>
      </c>
      <c r="I1177" s="11" t="s">
        <v>167</v>
      </c>
    </row>
    <row r="1178" spans="1:9" x14ac:dyDescent="0.15">
      <c r="A1178" s="10">
        <v>1177</v>
      </c>
      <c r="B1178" s="11" t="s">
        <v>9</v>
      </c>
      <c r="C1178" s="11" t="s">
        <v>179</v>
      </c>
      <c r="D1178" s="11" t="s">
        <v>180</v>
      </c>
      <c r="E1178" s="9" t="str">
        <f>+HYPERLINK("http://trademark.i-assist.jp/data/china/image_1908th/79911343.pdf", "79911343")</f>
        <v>79911343</v>
      </c>
      <c r="F1178" s="11" t="s">
        <v>3434</v>
      </c>
      <c r="G1178" s="11" t="s">
        <v>3427</v>
      </c>
      <c r="H1178" s="11" t="s">
        <v>3435</v>
      </c>
      <c r="I1178" s="11" t="s">
        <v>167</v>
      </c>
    </row>
    <row r="1179" spans="1:9" x14ac:dyDescent="0.15">
      <c r="A1179" s="10">
        <v>1178</v>
      </c>
      <c r="B1179" s="11" t="s">
        <v>9</v>
      </c>
      <c r="C1179" s="11" t="s">
        <v>179</v>
      </c>
      <c r="D1179" s="11" t="s">
        <v>180</v>
      </c>
      <c r="E1179" s="9" t="str">
        <f>+HYPERLINK("http://trademark.i-assist.jp/data/china/image_1908th/79911346.pdf", "79911346")</f>
        <v>79911346</v>
      </c>
      <c r="F1179" s="11" t="s">
        <v>3436</v>
      </c>
      <c r="G1179" s="11" t="s">
        <v>3427</v>
      </c>
      <c r="H1179" s="11" t="s">
        <v>3437</v>
      </c>
      <c r="I1179" s="11" t="s">
        <v>167</v>
      </c>
    </row>
    <row r="1180" spans="1:9" x14ac:dyDescent="0.15">
      <c r="A1180" s="10">
        <v>1179</v>
      </c>
      <c r="B1180" s="11" t="s">
        <v>9</v>
      </c>
      <c r="C1180" s="11" t="s">
        <v>179</v>
      </c>
      <c r="D1180" s="11" t="s">
        <v>180</v>
      </c>
      <c r="E1180" s="9" t="str">
        <f>+HYPERLINK("http://trademark.i-assist.jp/data/china/image_1908th/79911488.pdf", "79911488")</f>
        <v>79911488</v>
      </c>
      <c r="F1180" s="11" t="s">
        <v>3438</v>
      </c>
      <c r="G1180" s="11" t="s">
        <v>3427</v>
      </c>
      <c r="H1180" s="11" t="s">
        <v>3439</v>
      </c>
      <c r="I1180" s="11" t="s">
        <v>167</v>
      </c>
    </row>
    <row r="1181" spans="1:9" x14ac:dyDescent="0.15">
      <c r="A1181" s="10">
        <v>1180</v>
      </c>
      <c r="B1181" s="11" t="s">
        <v>9</v>
      </c>
      <c r="C1181" s="11" t="s">
        <v>179</v>
      </c>
      <c r="D1181" s="11" t="s">
        <v>180</v>
      </c>
      <c r="E1181" s="9" t="str">
        <f>+HYPERLINK("http://trademark.i-assist.jp/data/china/image_1908th/79912006.pdf", "79912006")</f>
        <v>79912006</v>
      </c>
      <c r="F1181" s="11" t="s">
        <v>3440</v>
      </c>
      <c r="G1181" s="11" t="s">
        <v>3441</v>
      </c>
      <c r="H1181" s="11" t="s">
        <v>3442</v>
      </c>
      <c r="I1181" s="11" t="s">
        <v>167</v>
      </c>
    </row>
    <row r="1182" spans="1:9" x14ac:dyDescent="0.15">
      <c r="A1182" s="10">
        <v>1181</v>
      </c>
      <c r="B1182" s="11" t="s">
        <v>9</v>
      </c>
      <c r="C1182" s="11" t="s">
        <v>179</v>
      </c>
      <c r="D1182" s="11" t="s">
        <v>180</v>
      </c>
      <c r="E1182" s="9" t="str">
        <f>+HYPERLINK("http://trademark.i-assist.jp/data/china/image_1908th/79912034.pdf", "79912034")</f>
        <v>79912034</v>
      </c>
      <c r="F1182" s="11" t="s">
        <v>3443</v>
      </c>
      <c r="G1182" s="11" t="s">
        <v>3322</v>
      </c>
      <c r="H1182" s="11" t="s">
        <v>3444</v>
      </c>
      <c r="I1182" s="11" t="s">
        <v>167</v>
      </c>
    </row>
    <row r="1183" spans="1:9" x14ac:dyDescent="0.15">
      <c r="A1183" s="10">
        <v>1182</v>
      </c>
      <c r="B1183" s="11" t="s">
        <v>9</v>
      </c>
      <c r="C1183" s="11" t="s">
        <v>179</v>
      </c>
      <c r="D1183" s="11" t="s">
        <v>180</v>
      </c>
      <c r="E1183" s="9" t="str">
        <f>+HYPERLINK("http://trademark.i-assist.jp/data/china/image_1908th/79912037.pdf", "79912037")</f>
        <v>79912037</v>
      </c>
      <c r="F1183" s="11" t="s">
        <v>3445</v>
      </c>
      <c r="G1183" s="11" t="s">
        <v>3322</v>
      </c>
      <c r="H1183" s="11" t="s">
        <v>3446</v>
      </c>
      <c r="I1183" s="11" t="s">
        <v>167</v>
      </c>
    </row>
    <row r="1184" spans="1:9" x14ac:dyDescent="0.15">
      <c r="A1184" s="10">
        <v>1183</v>
      </c>
      <c r="B1184" s="11" t="s">
        <v>9</v>
      </c>
      <c r="C1184" s="11" t="s">
        <v>179</v>
      </c>
      <c r="D1184" s="11" t="s">
        <v>180</v>
      </c>
      <c r="E1184" s="9" t="str">
        <f>+HYPERLINK("http://trademark.i-assist.jp/data/china/image_1908th/79912039.pdf", "79912039")</f>
        <v>79912039</v>
      </c>
      <c r="F1184" s="11" t="s">
        <v>3447</v>
      </c>
      <c r="G1184" s="11" t="s">
        <v>3322</v>
      </c>
      <c r="H1184" s="11" t="s">
        <v>3448</v>
      </c>
      <c r="I1184" s="11" t="s">
        <v>167</v>
      </c>
    </row>
    <row r="1185" spans="1:9" x14ac:dyDescent="0.15">
      <c r="A1185" s="10">
        <v>1184</v>
      </c>
      <c r="B1185" s="11" t="s">
        <v>9</v>
      </c>
      <c r="C1185" s="11" t="s">
        <v>179</v>
      </c>
      <c r="D1185" s="11" t="s">
        <v>180</v>
      </c>
      <c r="E1185" s="9" t="str">
        <f>+HYPERLINK("http://trademark.i-assist.jp/data/china/image_1908th/79912367.pdf", "79912367")</f>
        <v>79912367</v>
      </c>
      <c r="F1185" s="11" t="s">
        <v>3449</v>
      </c>
      <c r="G1185" s="11" t="s">
        <v>3427</v>
      </c>
      <c r="H1185" s="11" t="s">
        <v>3450</v>
      </c>
      <c r="I1185" s="11" t="s">
        <v>167</v>
      </c>
    </row>
    <row r="1186" spans="1:9" x14ac:dyDescent="0.15">
      <c r="A1186" s="10">
        <v>1185</v>
      </c>
      <c r="B1186" s="11" t="s">
        <v>9</v>
      </c>
      <c r="C1186" s="11" t="s">
        <v>179</v>
      </c>
      <c r="D1186" s="11" t="s">
        <v>180</v>
      </c>
      <c r="E1186" s="9" t="str">
        <f>+HYPERLINK("http://trademark.i-assist.jp/data/china/image_1908th/79912368.pdf", "79912368")</f>
        <v>79912368</v>
      </c>
      <c r="F1186" s="11" t="s">
        <v>3451</v>
      </c>
      <c r="G1186" s="11" t="s">
        <v>3427</v>
      </c>
      <c r="H1186" s="11" t="s">
        <v>3452</v>
      </c>
      <c r="I1186" s="11" t="s">
        <v>167</v>
      </c>
    </row>
    <row r="1187" spans="1:9" x14ac:dyDescent="0.15">
      <c r="A1187" s="10">
        <v>1186</v>
      </c>
      <c r="B1187" s="11" t="s">
        <v>9</v>
      </c>
      <c r="C1187" s="11" t="s">
        <v>179</v>
      </c>
      <c r="D1187" s="11" t="s">
        <v>180</v>
      </c>
      <c r="E1187" s="9" t="str">
        <f>+HYPERLINK("http://trademark.i-assist.jp/data/china/image_1908th/79912537.pdf", "79912537")</f>
        <v>79912537</v>
      </c>
      <c r="F1187" s="11" t="s">
        <v>3453</v>
      </c>
      <c r="G1187" s="11" t="s">
        <v>3322</v>
      </c>
      <c r="H1187" s="11" t="s">
        <v>3454</v>
      </c>
      <c r="I1187" s="11" t="s">
        <v>167</v>
      </c>
    </row>
    <row r="1188" spans="1:9" x14ac:dyDescent="0.15">
      <c r="A1188" s="10">
        <v>1187</v>
      </c>
      <c r="B1188" s="11" t="s">
        <v>9</v>
      </c>
      <c r="C1188" s="11" t="s">
        <v>179</v>
      </c>
      <c r="D1188" s="11" t="s">
        <v>180</v>
      </c>
      <c r="E1188" s="9" t="str">
        <f>+HYPERLINK("http://trademark.i-assist.jp/data/china/image_1908th/79913193.pdf", "79913193")</f>
        <v>79913193</v>
      </c>
      <c r="F1188" s="11" t="s">
        <v>3455</v>
      </c>
      <c r="G1188" s="11" t="s">
        <v>3456</v>
      </c>
      <c r="H1188" s="11" t="s">
        <v>3457</v>
      </c>
      <c r="I1188" s="11" t="s">
        <v>167</v>
      </c>
    </row>
    <row r="1189" spans="1:9" x14ac:dyDescent="0.15">
      <c r="A1189" s="10">
        <v>1188</v>
      </c>
      <c r="B1189" s="11" t="s">
        <v>9</v>
      </c>
      <c r="C1189" s="11" t="s">
        <v>179</v>
      </c>
      <c r="D1189" s="11" t="s">
        <v>180</v>
      </c>
      <c r="E1189" s="9" t="str">
        <f>+HYPERLINK("http://trademark.i-assist.jp/data/china/image_1908th/79913965.pdf", "79913965")</f>
        <v>79913965</v>
      </c>
      <c r="F1189" s="11" t="s">
        <v>3458</v>
      </c>
      <c r="G1189" s="11" t="s">
        <v>3459</v>
      </c>
      <c r="H1189" s="11" t="s">
        <v>3460</v>
      </c>
      <c r="I1189" s="11" t="s">
        <v>168</v>
      </c>
    </row>
    <row r="1190" spans="1:9" x14ac:dyDescent="0.15">
      <c r="A1190" s="10">
        <v>1189</v>
      </c>
      <c r="B1190" s="11" t="s">
        <v>9</v>
      </c>
      <c r="C1190" s="11" t="s">
        <v>179</v>
      </c>
      <c r="D1190" s="11" t="s">
        <v>180</v>
      </c>
      <c r="E1190" s="9" t="str">
        <f>+HYPERLINK("http://trademark.i-assist.jp/data/china/image_1908th/79914284.pdf", "79914284")</f>
        <v>79914284</v>
      </c>
      <c r="F1190" s="11" t="s">
        <v>3461</v>
      </c>
      <c r="G1190" s="11" t="s">
        <v>3462</v>
      </c>
      <c r="H1190" s="11" t="s">
        <v>3463</v>
      </c>
      <c r="I1190" s="11" t="s">
        <v>168</v>
      </c>
    </row>
    <row r="1191" spans="1:9" x14ac:dyDescent="0.15">
      <c r="A1191" s="10">
        <v>1190</v>
      </c>
      <c r="B1191" s="11" t="s">
        <v>9</v>
      </c>
      <c r="C1191" s="11" t="s">
        <v>179</v>
      </c>
      <c r="D1191" s="11" t="s">
        <v>180</v>
      </c>
      <c r="E1191" s="9" t="str">
        <f>+HYPERLINK("http://trademark.i-assist.jp/data/china/image_1908th/79914291.pdf", "79914291")</f>
        <v>79914291</v>
      </c>
      <c r="F1191" s="11" t="s">
        <v>3464</v>
      </c>
      <c r="G1191" s="11" t="s">
        <v>3462</v>
      </c>
      <c r="H1191" s="11" t="s">
        <v>3465</v>
      </c>
      <c r="I1191" s="11" t="s">
        <v>168</v>
      </c>
    </row>
    <row r="1192" spans="1:9" x14ac:dyDescent="0.15">
      <c r="A1192" s="10">
        <v>1191</v>
      </c>
      <c r="B1192" s="11" t="s">
        <v>9</v>
      </c>
      <c r="C1192" s="11" t="s">
        <v>179</v>
      </c>
      <c r="D1192" s="11" t="s">
        <v>180</v>
      </c>
      <c r="E1192" s="9" t="str">
        <f>+HYPERLINK("http://trademark.i-assist.jp/data/china/image_1908th/79914802.pdf", "79914802")</f>
        <v>79914802</v>
      </c>
      <c r="F1192" s="11" t="s">
        <v>3466</v>
      </c>
      <c r="G1192" s="11" t="s">
        <v>3467</v>
      </c>
      <c r="H1192" s="11" t="s">
        <v>3468</v>
      </c>
      <c r="I1192" s="11" t="s">
        <v>168</v>
      </c>
    </row>
    <row r="1193" spans="1:9" x14ac:dyDescent="0.15">
      <c r="A1193" s="10">
        <v>1192</v>
      </c>
      <c r="B1193" s="11" t="s">
        <v>9</v>
      </c>
      <c r="C1193" s="11" t="s">
        <v>179</v>
      </c>
      <c r="D1193" s="11" t="s">
        <v>180</v>
      </c>
      <c r="E1193" s="9" t="str">
        <f>+HYPERLINK("http://trademark.i-assist.jp/data/china/image_1908th/79914838.pdf", "79914838")</f>
        <v>79914838</v>
      </c>
      <c r="F1193" s="11" t="s">
        <v>3469</v>
      </c>
      <c r="G1193" s="11" t="s">
        <v>3470</v>
      </c>
      <c r="H1193" s="11" t="s">
        <v>3471</v>
      </c>
      <c r="I1193" s="11" t="s">
        <v>168</v>
      </c>
    </row>
    <row r="1194" spans="1:9" x14ac:dyDescent="0.15">
      <c r="A1194" s="10">
        <v>1193</v>
      </c>
      <c r="B1194" s="11" t="s">
        <v>9</v>
      </c>
      <c r="C1194" s="11" t="s">
        <v>179</v>
      </c>
      <c r="D1194" s="11" t="s">
        <v>180</v>
      </c>
      <c r="E1194" s="9" t="str">
        <f>+HYPERLINK("http://trademark.i-assist.jp/data/china/image_1908th/79915510.pdf", "79915510")</f>
        <v>79915510</v>
      </c>
      <c r="F1194" s="11" t="s">
        <v>3472</v>
      </c>
      <c r="G1194" s="11" t="s">
        <v>3473</v>
      </c>
      <c r="H1194" s="11" t="s">
        <v>3474</v>
      </c>
      <c r="I1194" s="11" t="s">
        <v>168</v>
      </c>
    </row>
    <row r="1195" spans="1:9" x14ac:dyDescent="0.15">
      <c r="A1195" s="10">
        <v>1194</v>
      </c>
      <c r="B1195" s="11" t="s">
        <v>9</v>
      </c>
      <c r="C1195" s="11" t="s">
        <v>179</v>
      </c>
      <c r="D1195" s="11" t="s">
        <v>180</v>
      </c>
      <c r="E1195" s="9" t="str">
        <f>+HYPERLINK("http://trademark.i-assist.jp/data/china/image_1908th/79915584.pdf", "79915584")</f>
        <v>79915584</v>
      </c>
      <c r="F1195" s="11" t="s">
        <v>3475</v>
      </c>
      <c r="G1195" s="11" t="s">
        <v>3476</v>
      </c>
      <c r="H1195" s="11" t="s">
        <v>3477</v>
      </c>
      <c r="I1195" s="11" t="s">
        <v>168</v>
      </c>
    </row>
    <row r="1196" spans="1:9" x14ac:dyDescent="0.15">
      <c r="A1196" s="10">
        <v>1195</v>
      </c>
      <c r="B1196" s="11" t="s">
        <v>9</v>
      </c>
      <c r="C1196" s="11" t="s">
        <v>179</v>
      </c>
      <c r="D1196" s="11" t="s">
        <v>180</v>
      </c>
      <c r="E1196" s="9" t="str">
        <f>+HYPERLINK("http://trademark.i-assist.jp/data/china/image_1908th/79915877.pdf", "79915877")</f>
        <v>79915877</v>
      </c>
      <c r="F1196" s="11" t="s">
        <v>3478</v>
      </c>
      <c r="G1196" s="11" t="s">
        <v>3479</v>
      </c>
      <c r="H1196" s="11" t="s">
        <v>3480</v>
      </c>
      <c r="I1196" s="11" t="s">
        <v>168</v>
      </c>
    </row>
    <row r="1197" spans="1:9" x14ac:dyDescent="0.15">
      <c r="A1197" s="10">
        <v>1196</v>
      </c>
      <c r="B1197" s="11" t="s">
        <v>9</v>
      </c>
      <c r="C1197" s="11" t="s">
        <v>179</v>
      </c>
      <c r="D1197" s="11" t="s">
        <v>180</v>
      </c>
      <c r="E1197" s="9" t="str">
        <f>+HYPERLINK("http://trademark.i-assist.jp/data/china/image_1908th/79916207.pdf", "79916207")</f>
        <v>79916207</v>
      </c>
      <c r="F1197" s="11" t="s">
        <v>3481</v>
      </c>
      <c r="G1197" s="11" t="s">
        <v>3482</v>
      </c>
      <c r="H1197" s="11" t="s">
        <v>3483</v>
      </c>
      <c r="I1197" s="11" t="s">
        <v>168</v>
      </c>
    </row>
    <row r="1198" spans="1:9" x14ac:dyDescent="0.15">
      <c r="A1198" s="10">
        <v>1197</v>
      </c>
      <c r="B1198" s="11" t="s">
        <v>9</v>
      </c>
      <c r="C1198" s="11" t="s">
        <v>179</v>
      </c>
      <c r="D1198" s="11" t="s">
        <v>180</v>
      </c>
      <c r="E1198" s="9" t="str">
        <f>+HYPERLINK("http://trademark.i-assist.jp/data/china/image_1908th/79916412.pdf", "79916412")</f>
        <v>79916412</v>
      </c>
      <c r="F1198" s="11" t="s">
        <v>3484</v>
      </c>
      <c r="G1198" s="11" t="s">
        <v>3485</v>
      </c>
      <c r="H1198" s="11" t="s">
        <v>3486</v>
      </c>
      <c r="I1198" s="11" t="s">
        <v>168</v>
      </c>
    </row>
    <row r="1199" spans="1:9" x14ac:dyDescent="0.15">
      <c r="A1199" s="10">
        <v>1198</v>
      </c>
      <c r="B1199" s="11" t="s">
        <v>9</v>
      </c>
      <c r="C1199" s="11" t="s">
        <v>179</v>
      </c>
      <c r="D1199" s="11" t="s">
        <v>180</v>
      </c>
      <c r="E1199" s="9" t="str">
        <f>+HYPERLINK("http://trademark.i-assist.jp/data/china/image_1908th/79916818.pdf", "79916818")</f>
        <v>79916818</v>
      </c>
      <c r="F1199" s="11" t="s">
        <v>3487</v>
      </c>
      <c r="G1199" s="11" t="s">
        <v>3488</v>
      </c>
      <c r="H1199" s="11" t="s">
        <v>3489</v>
      </c>
      <c r="I1199" s="11" t="s">
        <v>168</v>
      </c>
    </row>
    <row r="1200" spans="1:9" x14ac:dyDescent="0.15">
      <c r="A1200" s="10">
        <v>1199</v>
      </c>
      <c r="B1200" s="11" t="s">
        <v>9</v>
      </c>
      <c r="C1200" s="11" t="s">
        <v>179</v>
      </c>
      <c r="D1200" s="11" t="s">
        <v>180</v>
      </c>
      <c r="E1200" s="9" t="str">
        <f>+HYPERLINK("http://trademark.i-assist.jp/data/china/image_1908th/79916912.pdf", "79916912")</f>
        <v>79916912</v>
      </c>
      <c r="F1200" s="11" t="s">
        <v>3490</v>
      </c>
      <c r="G1200" s="11" t="s">
        <v>3491</v>
      </c>
      <c r="H1200" s="11" t="s">
        <v>3492</v>
      </c>
      <c r="I1200" s="11" t="s">
        <v>168</v>
      </c>
    </row>
    <row r="1201" spans="1:9" x14ac:dyDescent="0.15">
      <c r="A1201" s="10">
        <v>1200</v>
      </c>
      <c r="B1201" s="11" t="s">
        <v>9</v>
      </c>
      <c r="C1201" s="11" t="s">
        <v>179</v>
      </c>
      <c r="D1201" s="11" t="s">
        <v>180</v>
      </c>
      <c r="E1201" s="9" t="str">
        <f>+HYPERLINK("http://trademark.i-assist.jp/data/china/image_1908th/79917528.pdf", "79917528")</f>
        <v>79917528</v>
      </c>
      <c r="F1201" s="11" t="s">
        <v>3493</v>
      </c>
      <c r="G1201" s="11" t="s">
        <v>3494</v>
      </c>
      <c r="H1201" s="11" t="s">
        <v>3495</v>
      </c>
      <c r="I1201" s="11" t="s">
        <v>168</v>
      </c>
    </row>
    <row r="1202" spans="1:9" x14ac:dyDescent="0.15">
      <c r="A1202" s="10">
        <v>1201</v>
      </c>
      <c r="B1202" s="11" t="s">
        <v>9</v>
      </c>
      <c r="C1202" s="11" t="s">
        <v>179</v>
      </c>
      <c r="D1202" s="11" t="s">
        <v>180</v>
      </c>
      <c r="E1202" s="9" t="str">
        <f>+HYPERLINK("http://trademark.i-assist.jp/data/china/image_1908th/79917575.pdf", "79917575")</f>
        <v>79917575</v>
      </c>
      <c r="F1202" s="11" t="s">
        <v>3496</v>
      </c>
      <c r="G1202" s="11" t="s">
        <v>3497</v>
      </c>
      <c r="H1202" s="11" t="s">
        <v>3498</v>
      </c>
      <c r="I1202" s="11" t="s">
        <v>168</v>
      </c>
    </row>
    <row r="1203" spans="1:9" x14ac:dyDescent="0.15">
      <c r="A1203" s="10">
        <v>1202</v>
      </c>
      <c r="B1203" s="11" t="s">
        <v>9</v>
      </c>
      <c r="C1203" s="11" t="s">
        <v>179</v>
      </c>
      <c r="D1203" s="11" t="s">
        <v>180</v>
      </c>
      <c r="E1203" s="9" t="str">
        <f>+HYPERLINK("http://trademark.i-assist.jp/data/china/image_1908th/79917665.pdf", "79917665")</f>
        <v>79917665</v>
      </c>
      <c r="F1203" s="11" t="s">
        <v>3499</v>
      </c>
      <c r="G1203" s="11" t="s">
        <v>3500</v>
      </c>
      <c r="H1203" s="11" t="s">
        <v>3501</v>
      </c>
      <c r="I1203" s="11" t="s">
        <v>168</v>
      </c>
    </row>
    <row r="1204" spans="1:9" x14ac:dyDescent="0.15">
      <c r="A1204" s="10">
        <v>1203</v>
      </c>
      <c r="B1204" s="11" t="s">
        <v>9</v>
      </c>
      <c r="C1204" s="11" t="s">
        <v>179</v>
      </c>
      <c r="D1204" s="11" t="s">
        <v>180</v>
      </c>
      <c r="E1204" s="9" t="str">
        <f>+HYPERLINK("http://trademark.i-assist.jp/data/china/image_1908th/79917756.pdf", "79917756")</f>
        <v>79917756</v>
      </c>
      <c r="F1204" s="11" t="s">
        <v>3502</v>
      </c>
      <c r="G1204" s="11" t="s">
        <v>3503</v>
      </c>
      <c r="H1204" s="11" t="s">
        <v>3504</v>
      </c>
      <c r="I1204" s="11" t="s">
        <v>168</v>
      </c>
    </row>
    <row r="1205" spans="1:9" x14ac:dyDescent="0.15">
      <c r="A1205" s="10">
        <v>1204</v>
      </c>
      <c r="B1205" s="11" t="s">
        <v>9</v>
      </c>
      <c r="C1205" s="11" t="s">
        <v>179</v>
      </c>
      <c r="D1205" s="11" t="s">
        <v>180</v>
      </c>
      <c r="E1205" s="9" t="str">
        <f>+HYPERLINK("http://trademark.i-assist.jp/data/china/image_1908th/79918165.pdf", "79918165")</f>
        <v>79918165</v>
      </c>
      <c r="F1205" s="11" t="s">
        <v>10</v>
      </c>
      <c r="G1205" s="11" t="s">
        <v>3505</v>
      </c>
      <c r="H1205" s="11" t="s">
        <v>3506</v>
      </c>
      <c r="I1205" s="11" t="s">
        <v>168</v>
      </c>
    </row>
    <row r="1206" spans="1:9" x14ac:dyDescent="0.15">
      <c r="A1206" s="10">
        <v>1205</v>
      </c>
      <c r="B1206" s="11" t="s">
        <v>9</v>
      </c>
      <c r="C1206" s="11" t="s">
        <v>179</v>
      </c>
      <c r="D1206" s="11" t="s">
        <v>180</v>
      </c>
      <c r="E1206" s="9" t="str">
        <f>+HYPERLINK("http://trademark.i-assist.jp/data/china/image_1908th/79918615.pdf", "79918615")</f>
        <v>79918615</v>
      </c>
      <c r="F1206" s="11" t="s">
        <v>3507</v>
      </c>
      <c r="G1206" s="11" t="s">
        <v>3508</v>
      </c>
      <c r="H1206" s="11" t="s">
        <v>3509</v>
      </c>
      <c r="I1206" s="11" t="s">
        <v>168</v>
      </c>
    </row>
    <row r="1207" spans="1:9" x14ac:dyDescent="0.15">
      <c r="A1207" s="10">
        <v>1206</v>
      </c>
      <c r="B1207" s="11" t="s">
        <v>9</v>
      </c>
      <c r="C1207" s="11" t="s">
        <v>179</v>
      </c>
      <c r="D1207" s="11" t="s">
        <v>180</v>
      </c>
      <c r="E1207" s="9" t="str">
        <f>+HYPERLINK("http://trademark.i-assist.jp/data/china/image_1908th/79918690.pdf", "79918690")</f>
        <v>79918690</v>
      </c>
      <c r="F1207" s="11" t="s">
        <v>3510</v>
      </c>
      <c r="G1207" s="11" t="s">
        <v>3511</v>
      </c>
      <c r="H1207" s="11" t="s">
        <v>3512</v>
      </c>
      <c r="I1207" s="11" t="s">
        <v>168</v>
      </c>
    </row>
    <row r="1208" spans="1:9" x14ac:dyDescent="0.15">
      <c r="A1208" s="10">
        <v>1207</v>
      </c>
      <c r="B1208" s="11" t="s">
        <v>9</v>
      </c>
      <c r="C1208" s="11" t="s">
        <v>179</v>
      </c>
      <c r="D1208" s="11" t="s">
        <v>180</v>
      </c>
      <c r="E1208" s="9" t="str">
        <f>+HYPERLINK("http://trademark.i-assist.jp/data/china/image_1908th/79918785.pdf", "79918785")</f>
        <v>79918785</v>
      </c>
      <c r="F1208" s="11" t="s">
        <v>3513</v>
      </c>
      <c r="G1208" s="11" t="s">
        <v>3514</v>
      </c>
      <c r="H1208" s="11" t="s">
        <v>3515</v>
      </c>
      <c r="I1208" s="11" t="s">
        <v>168</v>
      </c>
    </row>
    <row r="1209" spans="1:9" x14ac:dyDescent="0.15">
      <c r="A1209" s="10">
        <v>1208</v>
      </c>
      <c r="B1209" s="11" t="s">
        <v>9</v>
      </c>
      <c r="C1209" s="11" t="s">
        <v>179</v>
      </c>
      <c r="D1209" s="11" t="s">
        <v>180</v>
      </c>
      <c r="E1209" s="9" t="str">
        <f>+HYPERLINK("http://trademark.i-assist.jp/data/china/image_1908th/79918853.pdf", "79918853")</f>
        <v>79918853</v>
      </c>
      <c r="F1209" s="11" t="s">
        <v>3516</v>
      </c>
      <c r="G1209" s="11" t="s">
        <v>3517</v>
      </c>
      <c r="H1209" s="11" t="s">
        <v>3518</v>
      </c>
      <c r="I1209" s="11" t="s">
        <v>168</v>
      </c>
    </row>
    <row r="1210" spans="1:9" x14ac:dyDescent="0.15">
      <c r="A1210" s="10">
        <v>1209</v>
      </c>
      <c r="B1210" s="11" t="s">
        <v>9</v>
      </c>
      <c r="C1210" s="11" t="s">
        <v>179</v>
      </c>
      <c r="D1210" s="11" t="s">
        <v>180</v>
      </c>
      <c r="E1210" s="9" t="str">
        <f>+HYPERLINK("http://trademark.i-assist.jp/data/china/image_1908th/79919392.pdf", "79919392")</f>
        <v>79919392</v>
      </c>
      <c r="F1210" s="11" t="s">
        <v>3519</v>
      </c>
      <c r="G1210" s="11" t="s">
        <v>3520</v>
      </c>
      <c r="H1210" s="11" t="s">
        <v>3521</v>
      </c>
      <c r="I1210" s="11" t="s">
        <v>168</v>
      </c>
    </row>
    <row r="1211" spans="1:9" x14ac:dyDescent="0.15">
      <c r="A1211" s="10">
        <v>1210</v>
      </c>
      <c r="B1211" s="11" t="s">
        <v>9</v>
      </c>
      <c r="C1211" s="11" t="s">
        <v>179</v>
      </c>
      <c r="D1211" s="11" t="s">
        <v>180</v>
      </c>
      <c r="E1211" s="9" t="str">
        <f>+HYPERLINK("http://trademark.i-assist.jp/data/china/image_1908th/79919665.pdf", "79919665")</f>
        <v>79919665</v>
      </c>
      <c r="F1211" s="11" t="s">
        <v>3522</v>
      </c>
      <c r="G1211" s="11" t="s">
        <v>2317</v>
      </c>
      <c r="H1211" s="11" t="s">
        <v>3523</v>
      </c>
      <c r="I1211" s="11" t="s">
        <v>168</v>
      </c>
    </row>
    <row r="1212" spans="1:9" x14ac:dyDescent="0.15">
      <c r="A1212" s="10">
        <v>1211</v>
      </c>
      <c r="B1212" s="11" t="s">
        <v>9</v>
      </c>
      <c r="C1212" s="11" t="s">
        <v>179</v>
      </c>
      <c r="D1212" s="11" t="s">
        <v>180</v>
      </c>
      <c r="E1212" s="9" t="str">
        <f>+HYPERLINK("http://trademark.i-assist.jp/data/china/image_1908th/79920038.pdf", "79920038")</f>
        <v>79920038</v>
      </c>
      <c r="F1212" s="11" t="s">
        <v>3524</v>
      </c>
      <c r="G1212" s="11" t="s">
        <v>3525</v>
      </c>
      <c r="H1212" s="11" t="s">
        <v>3526</v>
      </c>
      <c r="I1212" s="11" t="s">
        <v>168</v>
      </c>
    </row>
    <row r="1213" spans="1:9" x14ac:dyDescent="0.15">
      <c r="A1213" s="10">
        <v>1212</v>
      </c>
      <c r="B1213" s="11" t="s">
        <v>9</v>
      </c>
      <c r="C1213" s="11" t="s">
        <v>179</v>
      </c>
      <c r="D1213" s="11" t="s">
        <v>180</v>
      </c>
      <c r="E1213" s="9" t="str">
        <f>+HYPERLINK("http://trademark.i-assist.jp/data/china/image_1908th/79920066.pdf", "79920066")</f>
        <v>79920066</v>
      </c>
      <c r="F1213" s="11" t="s">
        <v>3527</v>
      </c>
      <c r="G1213" s="11" t="s">
        <v>3528</v>
      </c>
      <c r="H1213" s="11" t="s">
        <v>3529</v>
      </c>
      <c r="I1213" s="11" t="s">
        <v>168</v>
      </c>
    </row>
    <row r="1214" spans="1:9" x14ac:dyDescent="0.15">
      <c r="A1214" s="10">
        <v>1213</v>
      </c>
      <c r="B1214" s="11" t="s">
        <v>9</v>
      </c>
      <c r="C1214" s="11" t="s">
        <v>179</v>
      </c>
      <c r="D1214" s="11" t="s">
        <v>180</v>
      </c>
      <c r="E1214" s="9" t="str">
        <f>+HYPERLINK("http://trademark.i-assist.jp/data/china/image_1908th/79920632.pdf", "79920632")</f>
        <v>79920632</v>
      </c>
      <c r="F1214" s="11" t="s">
        <v>3530</v>
      </c>
      <c r="G1214" s="11" t="s">
        <v>3531</v>
      </c>
      <c r="H1214" s="11" t="s">
        <v>3532</v>
      </c>
      <c r="I1214" s="11" t="s">
        <v>168</v>
      </c>
    </row>
    <row r="1215" spans="1:9" x14ac:dyDescent="0.15">
      <c r="A1215" s="10">
        <v>1214</v>
      </c>
      <c r="B1215" s="11" t="s">
        <v>9</v>
      </c>
      <c r="C1215" s="11" t="s">
        <v>179</v>
      </c>
      <c r="D1215" s="11" t="s">
        <v>180</v>
      </c>
      <c r="E1215" s="9" t="str">
        <f>+HYPERLINK("http://trademark.i-assist.jp/data/china/image_1908th/79921157.pdf", "79921157")</f>
        <v>79921157</v>
      </c>
      <c r="F1215" s="11" t="s">
        <v>3533</v>
      </c>
      <c r="G1215" s="11" t="s">
        <v>3534</v>
      </c>
      <c r="H1215" s="11" t="s">
        <v>3535</v>
      </c>
      <c r="I1215" s="11" t="s">
        <v>168</v>
      </c>
    </row>
    <row r="1216" spans="1:9" x14ac:dyDescent="0.15">
      <c r="A1216" s="10">
        <v>1215</v>
      </c>
      <c r="B1216" s="11" t="s">
        <v>9</v>
      </c>
      <c r="C1216" s="11" t="s">
        <v>179</v>
      </c>
      <c r="D1216" s="11" t="s">
        <v>180</v>
      </c>
      <c r="E1216" s="9" t="str">
        <f>+HYPERLINK("http://trademark.i-assist.jp/data/china/image_1908th/79921680.pdf", "79921680")</f>
        <v>79921680</v>
      </c>
      <c r="F1216" s="11" t="s">
        <v>3536</v>
      </c>
      <c r="G1216" s="11" t="s">
        <v>3537</v>
      </c>
      <c r="H1216" s="11" t="s">
        <v>3538</v>
      </c>
      <c r="I1216" s="11" t="s">
        <v>168</v>
      </c>
    </row>
    <row r="1217" spans="1:9" x14ac:dyDescent="0.15">
      <c r="A1217" s="10">
        <v>1216</v>
      </c>
      <c r="B1217" s="11" t="s">
        <v>9</v>
      </c>
      <c r="C1217" s="11" t="s">
        <v>179</v>
      </c>
      <c r="D1217" s="11" t="s">
        <v>180</v>
      </c>
      <c r="E1217" s="9" t="str">
        <f>+HYPERLINK("http://trademark.i-assist.jp/data/china/image_1908th/79921792.pdf", "79921792")</f>
        <v>79921792</v>
      </c>
      <c r="F1217" s="11" t="s">
        <v>3539</v>
      </c>
      <c r="G1217" s="11" t="s">
        <v>3462</v>
      </c>
      <c r="H1217" s="11" t="s">
        <v>3540</v>
      </c>
      <c r="I1217" s="11" t="s">
        <v>168</v>
      </c>
    </row>
    <row r="1218" spans="1:9" x14ac:dyDescent="0.15">
      <c r="A1218" s="10">
        <v>1217</v>
      </c>
      <c r="B1218" s="11" t="s">
        <v>9</v>
      </c>
      <c r="C1218" s="11" t="s">
        <v>179</v>
      </c>
      <c r="D1218" s="11" t="s">
        <v>180</v>
      </c>
      <c r="E1218" s="9" t="str">
        <f>+HYPERLINK("http://trademark.i-assist.jp/data/china/image_1908th/79921887.pdf", "79921887")</f>
        <v>79921887</v>
      </c>
      <c r="F1218" s="11" t="s">
        <v>3541</v>
      </c>
      <c r="G1218" s="11" t="s">
        <v>1060</v>
      </c>
      <c r="H1218" s="11" t="s">
        <v>3542</v>
      </c>
      <c r="I1218" s="11" t="s">
        <v>168</v>
      </c>
    </row>
    <row r="1219" spans="1:9" x14ac:dyDescent="0.15">
      <c r="A1219" s="10">
        <v>1218</v>
      </c>
      <c r="B1219" s="11" t="s">
        <v>9</v>
      </c>
      <c r="C1219" s="11" t="s">
        <v>179</v>
      </c>
      <c r="D1219" s="11" t="s">
        <v>180</v>
      </c>
      <c r="E1219" s="9" t="str">
        <f>+HYPERLINK("http://trademark.i-assist.jp/data/china/image_1908th/79922042.pdf", "79922042")</f>
        <v>79922042</v>
      </c>
      <c r="F1219" s="11" t="s">
        <v>3543</v>
      </c>
      <c r="G1219" s="11" t="s">
        <v>3544</v>
      </c>
      <c r="H1219" s="11" t="s">
        <v>3545</v>
      </c>
      <c r="I1219" s="11" t="s">
        <v>168</v>
      </c>
    </row>
    <row r="1220" spans="1:9" x14ac:dyDescent="0.15">
      <c r="A1220" s="10">
        <v>1219</v>
      </c>
      <c r="B1220" s="11" t="s">
        <v>9</v>
      </c>
      <c r="C1220" s="11" t="s">
        <v>179</v>
      </c>
      <c r="D1220" s="11" t="s">
        <v>180</v>
      </c>
      <c r="E1220" s="9" t="str">
        <f>+HYPERLINK("http://trademark.i-assist.jp/data/china/image_1908th/79922087.pdf", "79922087")</f>
        <v>79922087</v>
      </c>
      <c r="F1220" s="11" t="s">
        <v>3546</v>
      </c>
      <c r="G1220" s="11" t="s">
        <v>3547</v>
      </c>
      <c r="H1220" s="11" t="s">
        <v>3548</v>
      </c>
      <c r="I1220" s="11" t="s">
        <v>168</v>
      </c>
    </row>
    <row r="1221" spans="1:9" x14ac:dyDescent="0.15">
      <c r="A1221" s="10">
        <v>1220</v>
      </c>
      <c r="B1221" s="11" t="s">
        <v>9</v>
      </c>
      <c r="C1221" s="11" t="s">
        <v>179</v>
      </c>
      <c r="D1221" s="11" t="s">
        <v>180</v>
      </c>
      <c r="E1221" s="9" t="str">
        <f>+HYPERLINK("http://trademark.i-assist.jp/data/china/image_1908th/79922241.pdf", "79922241")</f>
        <v>79922241</v>
      </c>
      <c r="F1221" s="11" t="s">
        <v>10</v>
      </c>
      <c r="G1221" s="11" t="s">
        <v>3549</v>
      </c>
      <c r="H1221" s="11" t="s">
        <v>3550</v>
      </c>
      <c r="I1221" s="11" t="s">
        <v>168</v>
      </c>
    </row>
    <row r="1222" spans="1:9" x14ac:dyDescent="0.15">
      <c r="A1222" s="10">
        <v>1221</v>
      </c>
      <c r="B1222" s="11" t="s">
        <v>9</v>
      </c>
      <c r="C1222" s="11" t="s">
        <v>179</v>
      </c>
      <c r="D1222" s="11" t="s">
        <v>180</v>
      </c>
      <c r="E1222" s="9" t="str">
        <f>+HYPERLINK("http://trademark.i-assist.jp/data/china/image_1908th/79922250.pdf", "79922250")</f>
        <v>79922250</v>
      </c>
      <c r="F1222" s="11" t="s">
        <v>3551</v>
      </c>
      <c r="G1222" s="11" t="s">
        <v>3552</v>
      </c>
      <c r="H1222" s="11" t="s">
        <v>3553</v>
      </c>
      <c r="I1222" s="11" t="s">
        <v>168</v>
      </c>
    </row>
    <row r="1223" spans="1:9" x14ac:dyDescent="0.15">
      <c r="A1223" s="10">
        <v>1222</v>
      </c>
      <c r="B1223" s="11" t="s">
        <v>9</v>
      </c>
      <c r="C1223" s="11" t="s">
        <v>179</v>
      </c>
      <c r="D1223" s="11" t="s">
        <v>180</v>
      </c>
      <c r="E1223" s="9" t="str">
        <f>+HYPERLINK("http://trademark.i-assist.jp/data/china/image_1908th/79922291.pdf", "79922291")</f>
        <v>79922291</v>
      </c>
      <c r="F1223" s="11" t="s">
        <v>3554</v>
      </c>
      <c r="G1223" s="11" t="s">
        <v>3555</v>
      </c>
      <c r="H1223" s="11" t="s">
        <v>3556</v>
      </c>
      <c r="I1223" s="11" t="s">
        <v>168</v>
      </c>
    </row>
    <row r="1224" spans="1:9" x14ac:dyDescent="0.15">
      <c r="A1224" s="10">
        <v>1223</v>
      </c>
      <c r="B1224" s="11" t="s">
        <v>9</v>
      </c>
      <c r="C1224" s="11" t="s">
        <v>179</v>
      </c>
      <c r="D1224" s="11" t="s">
        <v>180</v>
      </c>
      <c r="E1224" s="9" t="str">
        <f>+HYPERLINK("http://trademark.i-assist.jp/data/china/image_1908th/79922433.pdf", "79922433")</f>
        <v>79922433</v>
      </c>
      <c r="F1224" s="11" t="s">
        <v>3493</v>
      </c>
      <c r="G1224" s="11" t="s">
        <v>3494</v>
      </c>
      <c r="H1224" s="11" t="s">
        <v>3557</v>
      </c>
      <c r="I1224" s="11" t="s">
        <v>168</v>
      </c>
    </row>
    <row r="1225" spans="1:9" x14ac:dyDescent="0.15">
      <c r="A1225" s="10">
        <v>1224</v>
      </c>
      <c r="B1225" s="11" t="s">
        <v>9</v>
      </c>
      <c r="C1225" s="11" t="s">
        <v>179</v>
      </c>
      <c r="D1225" s="11" t="s">
        <v>180</v>
      </c>
      <c r="E1225" s="9" t="str">
        <f>+HYPERLINK("http://trademark.i-assist.jp/data/china/image_1908th/79923280.pdf", "79923280")</f>
        <v>79923280</v>
      </c>
      <c r="F1225" s="11" t="s">
        <v>10</v>
      </c>
      <c r="G1225" s="11" t="s">
        <v>3558</v>
      </c>
      <c r="H1225" s="11" t="s">
        <v>3559</v>
      </c>
      <c r="I1225" s="11" t="s">
        <v>168</v>
      </c>
    </row>
    <row r="1226" spans="1:9" x14ac:dyDescent="0.15">
      <c r="A1226" s="10">
        <v>1225</v>
      </c>
      <c r="B1226" s="11" t="s">
        <v>9</v>
      </c>
      <c r="C1226" s="11" t="s">
        <v>179</v>
      </c>
      <c r="D1226" s="11" t="s">
        <v>180</v>
      </c>
      <c r="E1226" s="9" t="str">
        <f>+HYPERLINK("http://trademark.i-assist.jp/data/china/image_1908th/79923681.pdf", "79923681")</f>
        <v>79923681</v>
      </c>
      <c r="F1226" s="11" t="s">
        <v>3560</v>
      </c>
      <c r="G1226" s="11" t="s">
        <v>3561</v>
      </c>
      <c r="H1226" s="11" t="s">
        <v>3562</v>
      </c>
      <c r="I1226" s="11" t="s">
        <v>168</v>
      </c>
    </row>
    <row r="1227" spans="1:9" x14ac:dyDescent="0.15">
      <c r="A1227" s="10">
        <v>1226</v>
      </c>
      <c r="B1227" s="11" t="s">
        <v>9</v>
      </c>
      <c r="C1227" s="11" t="s">
        <v>179</v>
      </c>
      <c r="D1227" s="11" t="s">
        <v>180</v>
      </c>
      <c r="E1227" s="9" t="str">
        <f>+HYPERLINK("http://trademark.i-assist.jp/data/china/image_1908th/79923687.pdf", "79923687")</f>
        <v>79923687</v>
      </c>
      <c r="F1227" s="11" t="s">
        <v>3563</v>
      </c>
      <c r="G1227" s="11" t="s">
        <v>3564</v>
      </c>
      <c r="H1227" s="11" t="s">
        <v>3565</v>
      </c>
      <c r="I1227" s="11" t="s">
        <v>168</v>
      </c>
    </row>
    <row r="1228" spans="1:9" x14ac:dyDescent="0.15">
      <c r="A1228" s="10">
        <v>1227</v>
      </c>
      <c r="B1228" s="11" t="s">
        <v>9</v>
      </c>
      <c r="C1228" s="11" t="s">
        <v>179</v>
      </c>
      <c r="D1228" s="11" t="s">
        <v>180</v>
      </c>
      <c r="E1228" s="9" t="str">
        <f>+HYPERLINK("http://trademark.i-assist.jp/data/china/image_1908th/79923812.pdf", "79923812")</f>
        <v>79923812</v>
      </c>
      <c r="F1228" s="11" t="s">
        <v>3566</v>
      </c>
      <c r="G1228" s="11" t="s">
        <v>3567</v>
      </c>
      <c r="H1228" s="11" t="s">
        <v>3568</v>
      </c>
      <c r="I1228" s="11" t="s">
        <v>168</v>
      </c>
    </row>
    <row r="1229" spans="1:9" x14ac:dyDescent="0.15">
      <c r="A1229" s="10">
        <v>1228</v>
      </c>
      <c r="B1229" s="11" t="s">
        <v>9</v>
      </c>
      <c r="C1229" s="11" t="s">
        <v>179</v>
      </c>
      <c r="D1229" s="11" t="s">
        <v>180</v>
      </c>
      <c r="E1229" s="9" t="str">
        <f>+HYPERLINK("http://trademark.i-assist.jp/data/china/image_1908th/79923928.pdf", "79923928")</f>
        <v>79923928</v>
      </c>
      <c r="F1229" s="11" t="s">
        <v>10</v>
      </c>
      <c r="G1229" s="11" t="s">
        <v>3569</v>
      </c>
      <c r="H1229" s="11" t="s">
        <v>3570</v>
      </c>
      <c r="I1229" s="11" t="s">
        <v>168</v>
      </c>
    </row>
    <row r="1230" spans="1:9" x14ac:dyDescent="0.15">
      <c r="A1230" s="10">
        <v>1229</v>
      </c>
      <c r="B1230" s="11" t="s">
        <v>9</v>
      </c>
      <c r="C1230" s="11" t="s">
        <v>179</v>
      </c>
      <c r="D1230" s="11" t="s">
        <v>180</v>
      </c>
      <c r="E1230" s="9" t="str">
        <f>+HYPERLINK("http://trademark.i-assist.jp/data/china/image_1908th/79924250.pdf", "79924250")</f>
        <v>79924250</v>
      </c>
      <c r="F1230" s="11" t="s">
        <v>3571</v>
      </c>
      <c r="G1230" s="11" t="s">
        <v>3572</v>
      </c>
      <c r="H1230" s="11" t="s">
        <v>3573</v>
      </c>
      <c r="I1230" s="11" t="s">
        <v>168</v>
      </c>
    </row>
    <row r="1231" spans="1:9" x14ac:dyDescent="0.15">
      <c r="A1231" s="10">
        <v>1230</v>
      </c>
      <c r="B1231" s="11" t="s">
        <v>9</v>
      </c>
      <c r="C1231" s="11" t="s">
        <v>179</v>
      </c>
      <c r="D1231" s="11" t="s">
        <v>180</v>
      </c>
      <c r="E1231" s="9" t="str">
        <f>+HYPERLINK("http://trademark.i-assist.jp/data/china/image_1908th/79924263.pdf", "79924263")</f>
        <v>79924263</v>
      </c>
      <c r="F1231" s="11" t="s">
        <v>3574</v>
      </c>
      <c r="G1231" s="11" t="s">
        <v>3572</v>
      </c>
      <c r="H1231" s="11" t="s">
        <v>3575</v>
      </c>
      <c r="I1231" s="11" t="s">
        <v>168</v>
      </c>
    </row>
    <row r="1232" spans="1:9" x14ac:dyDescent="0.15">
      <c r="A1232" s="10">
        <v>1231</v>
      </c>
      <c r="B1232" s="11" t="s">
        <v>9</v>
      </c>
      <c r="C1232" s="11" t="s">
        <v>179</v>
      </c>
      <c r="D1232" s="11" t="s">
        <v>180</v>
      </c>
      <c r="E1232" s="9" t="str">
        <f>+HYPERLINK("http://trademark.i-assist.jp/data/china/image_1908th/79924646.pdf", "79924646")</f>
        <v>79924646</v>
      </c>
      <c r="F1232" s="11" t="s">
        <v>3576</v>
      </c>
      <c r="G1232" s="11" t="s">
        <v>3577</v>
      </c>
      <c r="H1232" s="11" t="s">
        <v>3578</v>
      </c>
      <c r="I1232" s="11" t="s">
        <v>168</v>
      </c>
    </row>
    <row r="1233" spans="1:9" x14ac:dyDescent="0.15">
      <c r="A1233" s="10">
        <v>1232</v>
      </c>
      <c r="B1233" s="11" t="s">
        <v>9</v>
      </c>
      <c r="C1233" s="11" t="s">
        <v>179</v>
      </c>
      <c r="D1233" s="11" t="s">
        <v>180</v>
      </c>
      <c r="E1233" s="9" t="str">
        <f>+HYPERLINK("http://trademark.i-assist.jp/data/china/image_1908th/79925169.pdf", "79925169")</f>
        <v>79925169</v>
      </c>
      <c r="F1233" s="11" t="s">
        <v>3579</v>
      </c>
      <c r="G1233" s="11" t="s">
        <v>3580</v>
      </c>
      <c r="H1233" s="11" t="s">
        <v>3581</v>
      </c>
      <c r="I1233" s="11" t="s">
        <v>168</v>
      </c>
    </row>
    <row r="1234" spans="1:9" x14ac:dyDescent="0.15">
      <c r="A1234" s="10">
        <v>1233</v>
      </c>
      <c r="B1234" s="11" t="s">
        <v>9</v>
      </c>
      <c r="C1234" s="11" t="s">
        <v>179</v>
      </c>
      <c r="D1234" s="11" t="s">
        <v>180</v>
      </c>
      <c r="E1234" s="9" t="str">
        <f>+HYPERLINK("http://trademark.i-assist.jp/data/china/image_1908th/79925450.pdf", "79925450")</f>
        <v>79925450</v>
      </c>
      <c r="F1234" s="11" t="s">
        <v>3582</v>
      </c>
      <c r="G1234" s="11" t="s">
        <v>3583</v>
      </c>
      <c r="H1234" s="11" t="s">
        <v>3584</v>
      </c>
      <c r="I1234" s="11" t="s">
        <v>168</v>
      </c>
    </row>
    <row r="1235" spans="1:9" x14ac:dyDescent="0.15">
      <c r="A1235" s="10">
        <v>1234</v>
      </c>
      <c r="B1235" s="11" t="s">
        <v>9</v>
      </c>
      <c r="C1235" s="11" t="s">
        <v>179</v>
      </c>
      <c r="D1235" s="11" t="s">
        <v>180</v>
      </c>
      <c r="E1235" s="9" t="str">
        <f>+HYPERLINK("http://trademark.i-assist.jp/data/china/image_1908th/79925471.pdf", "79925471")</f>
        <v>79925471</v>
      </c>
      <c r="F1235" s="11" t="s">
        <v>3585</v>
      </c>
      <c r="G1235" s="11" t="s">
        <v>3586</v>
      </c>
      <c r="H1235" s="11" t="s">
        <v>3587</v>
      </c>
      <c r="I1235" s="11" t="s">
        <v>168</v>
      </c>
    </row>
    <row r="1236" spans="1:9" x14ac:dyDescent="0.15">
      <c r="A1236" s="10">
        <v>1235</v>
      </c>
      <c r="B1236" s="11" t="s">
        <v>9</v>
      </c>
      <c r="C1236" s="11" t="s">
        <v>179</v>
      </c>
      <c r="D1236" s="11" t="s">
        <v>180</v>
      </c>
      <c r="E1236" s="9" t="str">
        <f>+HYPERLINK("http://trademark.i-assist.jp/data/china/image_1908th/79926047.pdf", "79926047")</f>
        <v>79926047</v>
      </c>
      <c r="F1236" s="11" t="s">
        <v>3588</v>
      </c>
      <c r="G1236" s="11" t="s">
        <v>3589</v>
      </c>
      <c r="H1236" s="11" t="s">
        <v>3590</v>
      </c>
      <c r="I1236" s="11" t="s">
        <v>168</v>
      </c>
    </row>
    <row r="1237" spans="1:9" x14ac:dyDescent="0.15">
      <c r="A1237" s="10">
        <v>1236</v>
      </c>
      <c r="B1237" s="11" t="s">
        <v>9</v>
      </c>
      <c r="C1237" s="11" t="s">
        <v>179</v>
      </c>
      <c r="D1237" s="11" t="s">
        <v>180</v>
      </c>
      <c r="E1237" s="9" t="str">
        <f>+HYPERLINK("http://trademark.i-assist.jp/data/china/image_1908th/79926141.pdf", "79926141")</f>
        <v>79926141</v>
      </c>
      <c r="F1237" s="11" t="s">
        <v>3591</v>
      </c>
      <c r="G1237" s="11" t="s">
        <v>3592</v>
      </c>
      <c r="H1237" s="11" t="s">
        <v>3593</v>
      </c>
      <c r="I1237" s="11" t="s">
        <v>168</v>
      </c>
    </row>
    <row r="1238" spans="1:9" x14ac:dyDescent="0.15">
      <c r="A1238" s="10">
        <v>1237</v>
      </c>
      <c r="B1238" s="11" t="s">
        <v>9</v>
      </c>
      <c r="C1238" s="11" t="s">
        <v>179</v>
      </c>
      <c r="D1238" s="11" t="s">
        <v>180</v>
      </c>
      <c r="E1238" s="9" t="str">
        <f>+HYPERLINK("http://trademark.i-assist.jp/data/china/image_1908th/79926287.pdf", "79926287")</f>
        <v>79926287</v>
      </c>
      <c r="F1238" s="11" t="s">
        <v>3594</v>
      </c>
      <c r="G1238" s="11" t="s">
        <v>3595</v>
      </c>
      <c r="H1238" s="11" t="s">
        <v>3596</v>
      </c>
      <c r="I1238" s="11" t="s">
        <v>168</v>
      </c>
    </row>
    <row r="1239" spans="1:9" x14ac:dyDescent="0.15">
      <c r="A1239" s="10">
        <v>1238</v>
      </c>
      <c r="B1239" s="11" t="s">
        <v>9</v>
      </c>
      <c r="C1239" s="11" t="s">
        <v>179</v>
      </c>
      <c r="D1239" s="11" t="s">
        <v>180</v>
      </c>
      <c r="E1239" s="9" t="str">
        <f>+HYPERLINK("http://trademark.i-assist.jp/data/china/image_1908th/79926722.pdf", "79926722")</f>
        <v>79926722</v>
      </c>
      <c r="F1239" s="11" t="s">
        <v>3597</v>
      </c>
      <c r="G1239" s="11" t="s">
        <v>3598</v>
      </c>
      <c r="H1239" s="11" t="s">
        <v>3599</v>
      </c>
      <c r="I1239" s="11" t="s">
        <v>168</v>
      </c>
    </row>
    <row r="1240" spans="1:9" x14ac:dyDescent="0.15">
      <c r="A1240" s="10">
        <v>1239</v>
      </c>
      <c r="B1240" s="11" t="s">
        <v>9</v>
      </c>
      <c r="C1240" s="11" t="s">
        <v>179</v>
      </c>
      <c r="D1240" s="11" t="s">
        <v>180</v>
      </c>
      <c r="E1240" s="9" t="str">
        <f>+HYPERLINK("http://trademark.i-assist.jp/data/china/image_1908th/79926816.pdf", "79926816")</f>
        <v>79926816</v>
      </c>
      <c r="F1240" s="11" t="s">
        <v>3600</v>
      </c>
      <c r="G1240" s="11" t="s">
        <v>3601</v>
      </c>
      <c r="H1240" s="11" t="s">
        <v>3602</v>
      </c>
      <c r="I1240" s="11" t="s">
        <v>168</v>
      </c>
    </row>
    <row r="1241" spans="1:9" x14ac:dyDescent="0.15">
      <c r="A1241" s="10">
        <v>1240</v>
      </c>
      <c r="B1241" s="11" t="s">
        <v>9</v>
      </c>
      <c r="C1241" s="11" t="s">
        <v>179</v>
      </c>
      <c r="D1241" s="11" t="s">
        <v>180</v>
      </c>
      <c r="E1241" s="9" t="str">
        <f>+HYPERLINK("http://trademark.i-assist.jp/data/china/image_1908th/79926908.pdf", "79926908")</f>
        <v>79926908</v>
      </c>
      <c r="F1241" s="11" t="s">
        <v>3603</v>
      </c>
      <c r="G1241" s="11" t="s">
        <v>3604</v>
      </c>
      <c r="H1241" s="11" t="s">
        <v>3605</v>
      </c>
      <c r="I1241" s="11" t="s">
        <v>168</v>
      </c>
    </row>
    <row r="1242" spans="1:9" x14ac:dyDescent="0.15">
      <c r="A1242" s="10">
        <v>1241</v>
      </c>
      <c r="B1242" s="11" t="s">
        <v>9</v>
      </c>
      <c r="C1242" s="11" t="s">
        <v>179</v>
      </c>
      <c r="D1242" s="11" t="s">
        <v>180</v>
      </c>
      <c r="E1242" s="9" t="str">
        <f>+HYPERLINK("http://trademark.i-assist.jp/data/china/image_1908th/79927893.pdf", "79927893")</f>
        <v>79927893</v>
      </c>
      <c r="F1242" s="11" t="s">
        <v>3606</v>
      </c>
      <c r="G1242" s="11" t="s">
        <v>3607</v>
      </c>
      <c r="H1242" s="11" t="s">
        <v>3608</v>
      </c>
      <c r="I1242" s="11" t="s">
        <v>168</v>
      </c>
    </row>
    <row r="1243" spans="1:9" x14ac:dyDescent="0.15">
      <c r="A1243" s="10">
        <v>1242</v>
      </c>
      <c r="B1243" s="11" t="s">
        <v>9</v>
      </c>
      <c r="C1243" s="11" t="s">
        <v>179</v>
      </c>
      <c r="D1243" s="11" t="s">
        <v>180</v>
      </c>
      <c r="E1243" s="9" t="str">
        <f>+HYPERLINK("http://trademark.i-assist.jp/data/china/image_1908th/79927972.pdf", "79927972")</f>
        <v>79927972</v>
      </c>
      <c r="F1243" s="11" t="s">
        <v>3609</v>
      </c>
      <c r="G1243" s="11" t="s">
        <v>3610</v>
      </c>
      <c r="H1243" s="11" t="s">
        <v>3611</v>
      </c>
      <c r="I1243" s="11" t="s">
        <v>168</v>
      </c>
    </row>
    <row r="1244" spans="1:9" x14ac:dyDescent="0.15">
      <c r="A1244" s="10">
        <v>1243</v>
      </c>
      <c r="B1244" s="11" t="s">
        <v>9</v>
      </c>
      <c r="C1244" s="11" t="s">
        <v>179</v>
      </c>
      <c r="D1244" s="11" t="s">
        <v>180</v>
      </c>
      <c r="E1244" s="9" t="str">
        <f>+HYPERLINK("http://trademark.i-assist.jp/data/china/image_1908th/79928648.pdf", "79928648")</f>
        <v>79928648</v>
      </c>
      <c r="F1244" s="11" t="s">
        <v>3612</v>
      </c>
      <c r="G1244" s="11" t="s">
        <v>3613</v>
      </c>
      <c r="H1244" s="11" t="s">
        <v>3614</v>
      </c>
      <c r="I1244" s="11" t="s">
        <v>168</v>
      </c>
    </row>
    <row r="1245" spans="1:9" x14ac:dyDescent="0.15">
      <c r="A1245" s="10">
        <v>1244</v>
      </c>
      <c r="B1245" s="11" t="s">
        <v>9</v>
      </c>
      <c r="C1245" s="11" t="s">
        <v>179</v>
      </c>
      <c r="D1245" s="11" t="s">
        <v>180</v>
      </c>
      <c r="E1245" s="9" t="str">
        <f>+HYPERLINK("http://trademark.i-assist.jp/data/china/image_1908th/79928852.pdf", "79928852")</f>
        <v>79928852</v>
      </c>
      <c r="F1245" s="11" t="s">
        <v>3615</v>
      </c>
      <c r="G1245" s="11" t="s">
        <v>3616</v>
      </c>
      <c r="H1245" s="11" t="s">
        <v>3617</v>
      </c>
      <c r="I1245" s="11" t="s">
        <v>168</v>
      </c>
    </row>
    <row r="1246" spans="1:9" x14ac:dyDescent="0.15">
      <c r="A1246" s="10">
        <v>1245</v>
      </c>
      <c r="B1246" s="11" t="s">
        <v>9</v>
      </c>
      <c r="C1246" s="11" t="s">
        <v>179</v>
      </c>
      <c r="D1246" s="11" t="s">
        <v>180</v>
      </c>
      <c r="E1246" s="9" t="str">
        <f>+HYPERLINK("http://trademark.i-assist.jp/data/china/image_1908th/79928961.pdf", "79928961")</f>
        <v>79928961</v>
      </c>
      <c r="F1246" s="11" t="s">
        <v>3618</v>
      </c>
      <c r="G1246" s="11" t="s">
        <v>3619</v>
      </c>
      <c r="H1246" s="11" t="s">
        <v>3620</v>
      </c>
      <c r="I1246" s="11" t="s">
        <v>168</v>
      </c>
    </row>
    <row r="1247" spans="1:9" x14ac:dyDescent="0.15">
      <c r="A1247" s="10">
        <v>1246</v>
      </c>
      <c r="B1247" s="11" t="s">
        <v>9</v>
      </c>
      <c r="C1247" s="11" t="s">
        <v>179</v>
      </c>
      <c r="D1247" s="11" t="s">
        <v>180</v>
      </c>
      <c r="E1247" s="9" t="str">
        <f>+HYPERLINK("http://trademark.i-assist.jp/data/china/image_1908th/79928978.pdf", "79928978")</f>
        <v>79928978</v>
      </c>
      <c r="F1247" s="11" t="s">
        <v>3621</v>
      </c>
      <c r="G1247" s="11" t="s">
        <v>3622</v>
      </c>
      <c r="H1247" s="11" t="s">
        <v>3623</v>
      </c>
      <c r="I1247" s="11" t="s">
        <v>168</v>
      </c>
    </row>
    <row r="1248" spans="1:9" x14ac:dyDescent="0.15">
      <c r="A1248" s="10">
        <v>1247</v>
      </c>
      <c r="B1248" s="11" t="s">
        <v>9</v>
      </c>
      <c r="C1248" s="11" t="s">
        <v>179</v>
      </c>
      <c r="D1248" s="11" t="s">
        <v>180</v>
      </c>
      <c r="E1248" s="9" t="str">
        <f>+HYPERLINK("http://trademark.i-assist.jp/data/china/image_1908th/79929123.pdf", "79929123")</f>
        <v>79929123</v>
      </c>
      <c r="F1248" s="11" t="s">
        <v>3624</v>
      </c>
      <c r="G1248" s="11" t="s">
        <v>3625</v>
      </c>
      <c r="H1248" s="11" t="s">
        <v>3626</v>
      </c>
      <c r="I1248" s="11" t="s">
        <v>168</v>
      </c>
    </row>
    <row r="1249" spans="1:9" x14ac:dyDescent="0.15">
      <c r="A1249" s="10">
        <v>1248</v>
      </c>
      <c r="B1249" s="11" t="s">
        <v>9</v>
      </c>
      <c r="C1249" s="11" t="s">
        <v>179</v>
      </c>
      <c r="D1249" s="11" t="s">
        <v>180</v>
      </c>
      <c r="E1249" s="9" t="str">
        <f>+HYPERLINK("http://trademark.i-assist.jp/data/china/image_1908th/79929216.pdf", "79929216")</f>
        <v>79929216</v>
      </c>
      <c r="F1249" s="11" t="s">
        <v>3627</v>
      </c>
      <c r="G1249" s="11" t="s">
        <v>3628</v>
      </c>
      <c r="H1249" s="11" t="s">
        <v>3629</v>
      </c>
      <c r="I1249" s="11" t="s">
        <v>168</v>
      </c>
    </row>
    <row r="1250" spans="1:9" x14ac:dyDescent="0.15">
      <c r="A1250" s="10">
        <v>1249</v>
      </c>
      <c r="B1250" s="11" t="s">
        <v>9</v>
      </c>
      <c r="C1250" s="11" t="s">
        <v>179</v>
      </c>
      <c r="D1250" s="11" t="s">
        <v>180</v>
      </c>
      <c r="E1250" s="9" t="str">
        <f>+HYPERLINK("http://trademark.i-assist.jp/data/china/image_1908th/79929268.pdf", "79929268")</f>
        <v>79929268</v>
      </c>
      <c r="F1250" s="11" t="s">
        <v>3630</v>
      </c>
      <c r="G1250" s="11" t="s">
        <v>3631</v>
      </c>
      <c r="H1250" s="11" t="s">
        <v>3632</v>
      </c>
      <c r="I1250" s="11" t="s">
        <v>168</v>
      </c>
    </row>
    <row r="1251" spans="1:9" x14ac:dyDescent="0.15">
      <c r="A1251" s="10">
        <v>1250</v>
      </c>
      <c r="B1251" s="11" t="s">
        <v>9</v>
      </c>
      <c r="C1251" s="11" t="s">
        <v>179</v>
      </c>
      <c r="D1251" s="11" t="s">
        <v>180</v>
      </c>
      <c r="E1251" s="9" t="str">
        <f>+HYPERLINK("http://trademark.i-assist.jp/data/china/image_1908th/79929327.pdf", "79929327")</f>
        <v>79929327</v>
      </c>
      <c r="F1251" s="11" t="s">
        <v>3633</v>
      </c>
      <c r="G1251" s="11" t="s">
        <v>3634</v>
      </c>
      <c r="H1251" s="11" t="s">
        <v>3635</v>
      </c>
      <c r="I1251" s="11" t="s">
        <v>168</v>
      </c>
    </row>
    <row r="1252" spans="1:9" x14ac:dyDescent="0.15">
      <c r="A1252" s="10">
        <v>1251</v>
      </c>
      <c r="B1252" s="11" t="s">
        <v>9</v>
      </c>
      <c r="C1252" s="11" t="s">
        <v>179</v>
      </c>
      <c r="D1252" s="11" t="s">
        <v>180</v>
      </c>
      <c r="E1252" s="9" t="str">
        <f>+HYPERLINK("http://trademark.i-assist.jp/data/china/image_1908th/79929757.pdf", "79929757")</f>
        <v>79929757</v>
      </c>
      <c r="F1252" s="11" t="s">
        <v>3636</v>
      </c>
      <c r="G1252" s="11" t="s">
        <v>3637</v>
      </c>
      <c r="H1252" s="11" t="s">
        <v>3638</v>
      </c>
      <c r="I1252" s="11" t="s">
        <v>168</v>
      </c>
    </row>
    <row r="1253" spans="1:9" x14ac:dyDescent="0.15">
      <c r="A1253" s="10">
        <v>1252</v>
      </c>
      <c r="B1253" s="11" t="s">
        <v>9</v>
      </c>
      <c r="C1253" s="11" t="s">
        <v>179</v>
      </c>
      <c r="D1253" s="11" t="s">
        <v>180</v>
      </c>
      <c r="E1253" s="9" t="str">
        <f>+HYPERLINK("http://trademark.i-assist.jp/data/china/image_1908th/79929923.pdf", "79929923")</f>
        <v>79929923</v>
      </c>
      <c r="F1253" s="11" t="s">
        <v>3639</v>
      </c>
      <c r="G1253" s="11" t="s">
        <v>3640</v>
      </c>
      <c r="H1253" s="11" t="s">
        <v>3641</v>
      </c>
      <c r="I1253" s="11" t="s">
        <v>168</v>
      </c>
    </row>
    <row r="1254" spans="1:9" x14ac:dyDescent="0.15">
      <c r="A1254" s="10">
        <v>1253</v>
      </c>
      <c r="B1254" s="11" t="s">
        <v>9</v>
      </c>
      <c r="C1254" s="11" t="s">
        <v>179</v>
      </c>
      <c r="D1254" s="11" t="s">
        <v>180</v>
      </c>
      <c r="E1254" s="9" t="str">
        <f>+HYPERLINK("http://trademark.i-assist.jp/data/china/image_1908th/79929984.pdf", "79929984")</f>
        <v>79929984</v>
      </c>
      <c r="F1254" s="11" t="s">
        <v>3642</v>
      </c>
      <c r="G1254" s="11" t="s">
        <v>3643</v>
      </c>
      <c r="H1254" s="11" t="s">
        <v>3644</v>
      </c>
      <c r="I1254" s="11" t="s">
        <v>168</v>
      </c>
    </row>
    <row r="1255" spans="1:9" x14ac:dyDescent="0.15">
      <c r="A1255" s="10">
        <v>1254</v>
      </c>
      <c r="B1255" s="11" t="s">
        <v>9</v>
      </c>
      <c r="C1255" s="11" t="s">
        <v>179</v>
      </c>
      <c r="D1255" s="11" t="s">
        <v>180</v>
      </c>
      <c r="E1255" s="9" t="str">
        <f>+HYPERLINK("http://trademark.i-assist.jp/data/china/image_1908th/79930110.pdf", "79930110")</f>
        <v>79930110</v>
      </c>
      <c r="F1255" s="11" t="s">
        <v>3645</v>
      </c>
      <c r="G1255" s="11" t="s">
        <v>3646</v>
      </c>
      <c r="H1255" s="11" t="s">
        <v>3647</v>
      </c>
      <c r="I1255" s="11" t="s">
        <v>168</v>
      </c>
    </row>
    <row r="1256" spans="1:9" x14ac:dyDescent="0.15">
      <c r="A1256" s="10">
        <v>1255</v>
      </c>
      <c r="B1256" s="11" t="s">
        <v>9</v>
      </c>
      <c r="C1256" s="11" t="s">
        <v>179</v>
      </c>
      <c r="D1256" s="11" t="s">
        <v>180</v>
      </c>
      <c r="E1256" s="9" t="str">
        <f>+HYPERLINK("http://trademark.i-assist.jp/data/china/image_1908th/79930491.pdf", "79930491")</f>
        <v>79930491</v>
      </c>
      <c r="F1256" s="11" t="s">
        <v>3621</v>
      </c>
      <c r="G1256" s="11" t="s">
        <v>3622</v>
      </c>
      <c r="H1256" s="11" t="s">
        <v>3648</v>
      </c>
      <c r="I1256" s="11" t="s">
        <v>168</v>
      </c>
    </row>
    <row r="1257" spans="1:9" x14ac:dyDescent="0.15">
      <c r="A1257" s="10">
        <v>1256</v>
      </c>
      <c r="B1257" s="11" t="s">
        <v>9</v>
      </c>
      <c r="C1257" s="11" t="s">
        <v>179</v>
      </c>
      <c r="D1257" s="11" t="s">
        <v>180</v>
      </c>
      <c r="E1257" s="9" t="str">
        <f>+HYPERLINK("http://trademark.i-assist.jp/data/china/image_1908th/79930498.pdf", "79930498")</f>
        <v>79930498</v>
      </c>
      <c r="F1257" s="11" t="s">
        <v>3649</v>
      </c>
      <c r="G1257" s="11" t="s">
        <v>3650</v>
      </c>
      <c r="H1257" s="11" t="s">
        <v>3651</v>
      </c>
      <c r="I1257" s="11" t="s">
        <v>168</v>
      </c>
    </row>
    <row r="1258" spans="1:9" x14ac:dyDescent="0.15">
      <c r="A1258" s="10">
        <v>1257</v>
      </c>
      <c r="B1258" s="11" t="s">
        <v>9</v>
      </c>
      <c r="C1258" s="11" t="s">
        <v>179</v>
      </c>
      <c r="D1258" s="11" t="s">
        <v>180</v>
      </c>
      <c r="E1258" s="9" t="str">
        <f>+HYPERLINK("http://trademark.i-assist.jp/data/china/image_1908th/79930798.pdf", "79930798")</f>
        <v>79930798</v>
      </c>
      <c r="F1258" s="11" t="s">
        <v>3652</v>
      </c>
      <c r="G1258" s="11" t="s">
        <v>3653</v>
      </c>
      <c r="H1258" s="11" t="s">
        <v>3654</v>
      </c>
      <c r="I1258" s="11" t="s">
        <v>168</v>
      </c>
    </row>
    <row r="1259" spans="1:9" x14ac:dyDescent="0.15">
      <c r="A1259" s="10">
        <v>1258</v>
      </c>
      <c r="B1259" s="11" t="s">
        <v>9</v>
      </c>
      <c r="C1259" s="11" t="s">
        <v>179</v>
      </c>
      <c r="D1259" s="11" t="s">
        <v>180</v>
      </c>
      <c r="E1259" s="9" t="str">
        <f>+HYPERLINK("http://trademark.i-assist.jp/data/china/image_1908th/79931049.pdf", "79931049")</f>
        <v>79931049</v>
      </c>
      <c r="F1259" s="11" t="s">
        <v>3655</v>
      </c>
      <c r="G1259" s="11" t="s">
        <v>3656</v>
      </c>
      <c r="H1259" s="11" t="s">
        <v>3657</v>
      </c>
      <c r="I1259" s="11" t="s">
        <v>168</v>
      </c>
    </row>
    <row r="1260" spans="1:9" x14ac:dyDescent="0.15">
      <c r="A1260" s="10">
        <v>1259</v>
      </c>
      <c r="B1260" s="11" t="s">
        <v>9</v>
      </c>
      <c r="C1260" s="11" t="s">
        <v>179</v>
      </c>
      <c r="D1260" s="11" t="s">
        <v>180</v>
      </c>
      <c r="E1260" s="9" t="str">
        <f>+HYPERLINK("http://trademark.i-assist.jp/data/china/image_1908th/79931463.pdf", "79931463")</f>
        <v>79931463</v>
      </c>
      <c r="F1260" s="11" t="s">
        <v>3658</v>
      </c>
      <c r="G1260" s="11" t="s">
        <v>3659</v>
      </c>
      <c r="H1260" s="11" t="s">
        <v>3660</v>
      </c>
      <c r="I1260" s="11" t="s">
        <v>168</v>
      </c>
    </row>
    <row r="1261" spans="1:9" x14ac:dyDescent="0.15">
      <c r="A1261" s="10">
        <v>1260</v>
      </c>
      <c r="B1261" s="11" t="s">
        <v>9</v>
      </c>
      <c r="C1261" s="11" t="s">
        <v>179</v>
      </c>
      <c r="D1261" s="11" t="s">
        <v>180</v>
      </c>
      <c r="E1261" s="9" t="str">
        <f>+HYPERLINK("http://trademark.i-assist.jp/data/china/image_1908th/79931792.pdf", "79931792")</f>
        <v>79931792</v>
      </c>
      <c r="F1261" s="11" t="s">
        <v>3661</v>
      </c>
      <c r="G1261" s="11" t="s">
        <v>3662</v>
      </c>
      <c r="H1261" s="11" t="s">
        <v>3663</v>
      </c>
      <c r="I1261" s="11" t="s">
        <v>168</v>
      </c>
    </row>
    <row r="1262" spans="1:9" x14ac:dyDescent="0.15">
      <c r="A1262" s="10">
        <v>1261</v>
      </c>
      <c r="B1262" s="11" t="s">
        <v>9</v>
      </c>
      <c r="C1262" s="11" t="s">
        <v>179</v>
      </c>
      <c r="D1262" s="11" t="s">
        <v>180</v>
      </c>
      <c r="E1262" s="9" t="str">
        <f>+HYPERLINK("http://trademark.i-assist.jp/data/china/image_1908th/79931897.pdf", "79931897")</f>
        <v>79931897</v>
      </c>
      <c r="F1262" s="11" t="s">
        <v>10</v>
      </c>
      <c r="G1262" s="11" t="s">
        <v>3664</v>
      </c>
      <c r="H1262" s="11" t="s">
        <v>3665</v>
      </c>
      <c r="I1262" s="11" t="s">
        <v>168</v>
      </c>
    </row>
    <row r="1263" spans="1:9" x14ac:dyDescent="0.15">
      <c r="A1263" s="10">
        <v>1262</v>
      </c>
      <c r="B1263" s="11" t="s">
        <v>9</v>
      </c>
      <c r="C1263" s="11" t="s">
        <v>179</v>
      </c>
      <c r="D1263" s="11" t="s">
        <v>180</v>
      </c>
      <c r="E1263" s="9" t="str">
        <f>+HYPERLINK("http://trademark.i-assist.jp/data/china/image_1908th/79932657.pdf", "79932657")</f>
        <v>79932657</v>
      </c>
      <c r="F1263" s="11" t="s">
        <v>3666</v>
      </c>
      <c r="G1263" s="11" t="s">
        <v>3667</v>
      </c>
      <c r="H1263" s="11" t="s">
        <v>3668</v>
      </c>
      <c r="I1263" s="11" t="s">
        <v>168</v>
      </c>
    </row>
    <row r="1264" spans="1:9" x14ac:dyDescent="0.15">
      <c r="A1264" s="10">
        <v>1263</v>
      </c>
      <c r="B1264" s="11" t="s">
        <v>9</v>
      </c>
      <c r="C1264" s="11" t="s">
        <v>179</v>
      </c>
      <c r="D1264" s="11" t="s">
        <v>180</v>
      </c>
      <c r="E1264" s="9" t="str">
        <f>+HYPERLINK("http://trademark.i-assist.jp/data/china/image_1908th/79932911.pdf", "79932911")</f>
        <v>79932911</v>
      </c>
      <c r="F1264" s="11" t="s">
        <v>3669</v>
      </c>
      <c r="G1264" s="11" t="s">
        <v>3670</v>
      </c>
      <c r="H1264" s="11" t="s">
        <v>3671</v>
      </c>
      <c r="I1264" s="11" t="s">
        <v>168</v>
      </c>
    </row>
    <row r="1265" spans="1:9" x14ac:dyDescent="0.15">
      <c r="A1265" s="10">
        <v>1264</v>
      </c>
      <c r="B1265" s="11" t="s">
        <v>9</v>
      </c>
      <c r="C1265" s="11" t="s">
        <v>179</v>
      </c>
      <c r="D1265" s="11" t="s">
        <v>180</v>
      </c>
      <c r="E1265" s="9" t="str">
        <f>+HYPERLINK("http://trademark.i-assist.jp/data/china/image_1908th/79933450.pdf", "79933450")</f>
        <v>79933450</v>
      </c>
      <c r="F1265" s="11" t="s">
        <v>3672</v>
      </c>
      <c r="G1265" s="11" t="s">
        <v>3673</v>
      </c>
      <c r="H1265" s="11" t="s">
        <v>3674</v>
      </c>
      <c r="I1265" s="11" t="s">
        <v>168</v>
      </c>
    </row>
    <row r="1266" spans="1:9" x14ac:dyDescent="0.15">
      <c r="A1266" s="10">
        <v>1265</v>
      </c>
      <c r="B1266" s="11" t="s">
        <v>9</v>
      </c>
      <c r="C1266" s="11" t="s">
        <v>179</v>
      </c>
      <c r="D1266" s="11" t="s">
        <v>180</v>
      </c>
      <c r="E1266" s="9" t="str">
        <f>+HYPERLINK("http://trademark.i-assist.jp/data/china/image_1908th/79933468.pdf", "79933468")</f>
        <v>79933468</v>
      </c>
      <c r="F1266" s="11" t="s">
        <v>3675</v>
      </c>
      <c r="G1266" s="11" t="s">
        <v>3676</v>
      </c>
      <c r="H1266" s="11" t="s">
        <v>3677</v>
      </c>
      <c r="I1266" s="11" t="s">
        <v>168</v>
      </c>
    </row>
    <row r="1267" spans="1:9" x14ac:dyDescent="0.15">
      <c r="A1267" s="10">
        <v>1266</v>
      </c>
      <c r="B1267" s="11" t="s">
        <v>9</v>
      </c>
      <c r="C1267" s="11" t="s">
        <v>179</v>
      </c>
      <c r="D1267" s="11" t="s">
        <v>180</v>
      </c>
      <c r="E1267" s="9" t="str">
        <f>+HYPERLINK("http://trademark.i-assist.jp/data/china/image_1908th/79933818.pdf", "79933818")</f>
        <v>79933818</v>
      </c>
      <c r="F1267" s="11" t="s">
        <v>3678</v>
      </c>
      <c r="G1267" s="11" t="s">
        <v>3679</v>
      </c>
      <c r="H1267" s="11" t="s">
        <v>3680</v>
      </c>
      <c r="I1267" s="11" t="s">
        <v>168</v>
      </c>
    </row>
    <row r="1268" spans="1:9" x14ac:dyDescent="0.15">
      <c r="A1268" s="10">
        <v>1267</v>
      </c>
      <c r="B1268" s="11" t="s">
        <v>9</v>
      </c>
      <c r="C1268" s="11" t="s">
        <v>179</v>
      </c>
      <c r="D1268" s="11" t="s">
        <v>180</v>
      </c>
      <c r="E1268" s="9" t="str">
        <f>+HYPERLINK("http://trademark.i-assist.jp/data/china/image_1908th/79934149.pdf", "79934149")</f>
        <v>79934149</v>
      </c>
      <c r="F1268" s="11" t="s">
        <v>3681</v>
      </c>
      <c r="G1268" s="11" t="s">
        <v>3682</v>
      </c>
      <c r="H1268" s="11" t="s">
        <v>3683</v>
      </c>
      <c r="I1268" s="11" t="s">
        <v>168</v>
      </c>
    </row>
    <row r="1269" spans="1:9" x14ac:dyDescent="0.15">
      <c r="A1269" s="10">
        <v>1268</v>
      </c>
      <c r="B1269" s="11" t="s">
        <v>9</v>
      </c>
      <c r="C1269" s="11" t="s">
        <v>179</v>
      </c>
      <c r="D1269" s="11" t="s">
        <v>180</v>
      </c>
      <c r="E1269" s="9" t="str">
        <f>+HYPERLINK("http://trademark.i-assist.jp/data/china/image_1908th/79934410.pdf", "79934410")</f>
        <v>79934410</v>
      </c>
      <c r="F1269" s="11" t="s">
        <v>3684</v>
      </c>
      <c r="G1269" s="11" t="s">
        <v>3685</v>
      </c>
      <c r="H1269" s="11" t="s">
        <v>3686</v>
      </c>
      <c r="I1269" s="11" t="s">
        <v>168</v>
      </c>
    </row>
    <row r="1270" spans="1:9" x14ac:dyDescent="0.15">
      <c r="A1270" s="10">
        <v>1269</v>
      </c>
      <c r="B1270" s="11" t="s">
        <v>9</v>
      </c>
      <c r="C1270" s="11" t="s">
        <v>179</v>
      </c>
      <c r="D1270" s="11" t="s">
        <v>180</v>
      </c>
      <c r="E1270" s="9" t="str">
        <f>+HYPERLINK("http://trademark.i-assist.jp/data/china/image_1908th/79934597.pdf", "79934597")</f>
        <v>79934597</v>
      </c>
      <c r="F1270" s="11" t="s">
        <v>3687</v>
      </c>
      <c r="G1270" s="11" t="s">
        <v>3688</v>
      </c>
      <c r="H1270" s="11" t="s">
        <v>3689</v>
      </c>
      <c r="I1270" s="11" t="s">
        <v>168</v>
      </c>
    </row>
    <row r="1271" spans="1:9" x14ac:dyDescent="0.15">
      <c r="A1271" s="10">
        <v>1270</v>
      </c>
      <c r="B1271" s="11" t="s">
        <v>9</v>
      </c>
      <c r="C1271" s="11" t="s">
        <v>179</v>
      </c>
      <c r="D1271" s="11" t="s">
        <v>180</v>
      </c>
      <c r="E1271" s="9" t="str">
        <f>+HYPERLINK("http://trademark.i-assist.jp/data/china/image_1908th/79934698.pdf", "79934698")</f>
        <v>79934698</v>
      </c>
      <c r="F1271" s="11" t="s">
        <v>3690</v>
      </c>
      <c r="G1271" s="11" t="s">
        <v>3691</v>
      </c>
      <c r="H1271" s="11" t="s">
        <v>3692</v>
      </c>
      <c r="I1271" s="11" t="s">
        <v>168</v>
      </c>
    </row>
    <row r="1272" spans="1:9" x14ac:dyDescent="0.15">
      <c r="A1272" s="10">
        <v>1271</v>
      </c>
      <c r="B1272" s="11" t="s">
        <v>9</v>
      </c>
      <c r="C1272" s="11" t="s">
        <v>179</v>
      </c>
      <c r="D1272" s="11" t="s">
        <v>180</v>
      </c>
      <c r="E1272" s="9" t="str">
        <f>+HYPERLINK("http://trademark.i-assist.jp/data/china/image_1908th/79934722.pdf", "79934722")</f>
        <v>79934722</v>
      </c>
      <c r="F1272" s="11" t="s">
        <v>3693</v>
      </c>
      <c r="G1272" s="11" t="s">
        <v>3694</v>
      </c>
      <c r="H1272" s="11" t="s">
        <v>3695</v>
      </c>
      <c r="I1272" s="11" t="s">
        <v>168</v>
      </c>
    </row>
    <row r="1273" spans="1:9" x14ac:dyDescent="0.15">
      <c r="A1273" s="10">
        <v>1272</v>
      </c>
      <c r="B1273" s="11" t="s">
        <v>9</v>
      </c>
      <c r="C1273" s="11" t="s">
        <v>179</v>
      </c>
      <c r="D1273" s="11" t="s">
        <v>180</v>
      </c>
      <c r="E1273" s="9" t="str">
        <f>+HYPERLINK("http://trademark.i-assist.jp/data/china/image_1908th/79934753.pdf", "79934753")</f>
        <v>79934753</v>
      </c>
      <c r="F1273" s="11" t="s">
        <v>3696</v>
      </c>
      <c r="G1273" s="11" t="s">
        <v>3697</v>
      </c>
      <c r="H1273" s="11" t="s">
        <v>3698</v>
      </c>
      <c r="I1273" s="11" t="s">
        <v>168</v>
      </c>
    </row>
    <row r="1274" spans="1:9" x14ac:dyDescent="0.15">
      <c r="A1274" s="10">
        <v>1273</v>
      </c>
      <c r="B1274" s="11" t="s">
        <v>9</v>
      </c>
      <c r="C1274" s="11" t="s">
        <v>179</v>
      </c>
      <c r="D1274" s="11" t="s">
        <v>180</v>
      </c>
      <c r="E1274" s="9" t="str">
        <f>+HYPERLINK("http://trademark.i-assist.jp/data/china/image_1908th/79935047.pdf", "79935047")</f>
        <v>79935047</v>
      </c>
      <c r="F1274" s="11" t="s">
        <v>3699</v>
      </c>
      <c r="G1274" s="11" t="s">
        <v>3700</v>
      </c>
      <c r="H1274" s="11" t="s">
        <v>3701</v>
      </c>
      <c r="I1274" s="11" t="s">
        <v>168</v>
      </c>
    </row>
    <row r="1275" spans="1:9" x14ac:dyDescent="0.15">
      <c r="A1275" s="10">
        <v>1274</v>
      </c>
      <c r="B1275" s="11" t="s">
        <v>9</v>
      </c>
      <c r="C1275" s="11" t="s">
        <v>179</v>
      </c>
      <c r="D1275" s="11" t="s">
        <v>180</v>
      </c>
      <c r="E1275" s="9" t="str">
        <f>+HYPERLINK("http://trademark.i-assist.jp/data/china/image_1908th/79935055.pdf", "79935055")</f>
        <v>79935055</v>
      </c>
      <c r="F1275" s="11" t="s">
        <v>10</v>
      </c>
      <c r="G1275" s="11" t="s">
        <v>3702</v>
      </c>
      <c r="H1275" s="11" t="s">
        <v>3703</v>
      </c>
      <c r="I1275" s="11" t="s">
        <v>168</v>
      </c>
    </row>
    <row r="1276" spans="1:9" x14ac:dyDescent="0.15">
      <c r="A1276" s="10">
        <v>1275</v>
      </c>
      <c r="B1276" s="11" t="s">
        <v>9</v>
      </c>
      <c r="C1276" s="11" t="s">
        <v>179</v>
      </c>
      <c r="D1276" s="11" t="s">
        <v>180</v>
      </c>
      <c r="E1276" s="9" t="str">
        <f>+HYPERLINK("http://trademark.i-assist.jp/data/china/image_1908th/79935240.pdf", "79935240")</f>
        <v>79935240</v>
      </c>
      <c r="F1276" s="11" t="s">
        <v>3704</v>
      </c>
      <c r="G1276" s="11" t="s">
        <v>2867</v>
      </c>
      <c r="H1276" s="11" t="s">
        <v>3705</v>
      </c>
      <c r="I1276" s="11" t="s">
        <v>168</v>
      </c>
    </row>
    <row r="1277" spans="1:9" x14ac:dyDescent="0.15">
      <c r="A1277" s="10">
        <v>1276</v>
      </c>
      <c r="B1277" s="11" t="s">
        <v>9</v>
      </c>
      <c r="C1277" s="11" t="s">
        <v>179</v>
      </c>
      <c r="D1277" s="11" t="s">
        <v>180</v>
      </c>
      <c r="E1277" s="9" t="str">
        <f>+HYPERLINK("http://trademark.i-assist.jp/data/china/image_1908th/79935491.pdf", "79935491")</f>
        <v>79935491</v>
      </c>
      <c r="F1277" s="11" t="s">
        <v>3706</v>
      </c>
      <c r="G1277" s="11" t="s">
        <v>3707</v>
      </c>
      <c r="H1277" s="11" t="s">
        <v>3708</v>
      </c>
      <c r="I1277" s="11" t="s">
        <v>168</v>
      </c>
    </row>
    <row r="1278" spans="1:9" x14ac:dyDescent="0.15">
      <c r="A1278" s="10">
        <v>1277</v>
      </c>
      <c r="B1278" s="11" t="s">
        <v>9</v>
      </c>
      <c r="C1278" s="11" t="s">
        <v>179</v>
      </c>
      <c r="D1278" s="11" t="s">
        <v>180</v>
      </c>
      <c r="E1278" s="9" t="str">
        <f>+HYPERLINK("http://trademark.i-assist.jp/data/china/image_1908th/79936047.pdf", "79936047")</f>
        <v>79936047</v>
      </c>
      <c r="F1278" s="11" t="s">
        <v>3709</v>
      </c>
      <c r="G1278" s="11" t="s">
        <v>3710</v>
      </c>
      <c r="H1278" s="11" t="s">
        <v>3711</v>
      </c>
      <c r="I1278" s="11" t="s">
        <v>168</v>
      </c>
    </row>
    <row r="1279" spans="1:9" x14ac:dyDescent="0.15">
      <c r="A1279" s="10">
        <v>1278</v>
      </c>
      <c r="B1279" s="11" t="s">
        <v>9</v>
      </c>
      <c r="C1279" s="11" t="s">
        <v>179</v>
      </c>
      <c r="D1279" s="11" t="s">
        <v>180</v>
      </c>
      <c r="E1279" s="9" t="str">
        <f>+HYPERLINK("http://trademark.i-assist.jp/data/china/image_1908th/79936958.pdf", "79936958")</f>
        <v>79936958</v>
      </c>
      <c r="F1279" s="11" t="s">
        <v>3712</v>
      </c>
      <c r="G1279" s="11" t="s">
        <v>3713</v>
      </c>
      <c r="H1279" s="11" t="s">
        <v>3714</v>
      </c>
      <c r="I1279" s="11" t="s">
        <v>168</v>
      </c>
    </row>
    <row r="1280" spans="1:9" x14ac:dyDescent="0.15">
      <c r="A1280" s="10">
        <v>1279</v>
      </c>
      <c r="B1280" s="11" t="s">
        <v>9</v>
      </c>
      <c r="C1280" s="11" t="s">
        <v>179</v>
      </c>
      <c r="D1280" s="11" t="s">
        <v>180</v>
      </c>
      <c r="E1280" s="9" t="str">
        <f>+HYPERLINK("http://trademark.i-assist.jp/data/china/image_1908th/79937564.pdf", "79937564")</f>
        <v>79937564</v>
      </c>
      <c r="F1280" s="11" t="s">
        <v>3715</v>
      </c>
      <c r="G1280" s="11" t="s">
        <v>3716</v>
      </c>
      <c r="H1280" s="11" t="s">
        <v>3717</v>
      </c>
      <c r="I1280" s="11" t="s">
        <v>171</v>
      </c>
    </row>
    <row r="1281" spans="1:9" x14ac:dyDescent="0.15">
      <c r="A1281" s="10">
        <v>1280</v>
      </c>
      <c r="B1281" s="11" t="s">
        <v>9</v>
      </c>
      <c r="C1281" s="11" t="s">
        <v>179</v>
      </c>
      <c r="D1281" s="11" t="s">
        <v>180</v>
      </c>
      <c r="E1281" s="9" t="str">
        <f>+HYPERLINK("http://trademark.i-assist.jp/data/china/image_1908th/79937606.pdf", "79937606")</f>
        <v>79937606</v>
      </c>
      <c r="F1281" s="11" t="s">
        <v>3718</v>
      </c>
      <c r="G1281" s="11" t="s">
        <v>170</v>
      </c>
      <c r="H1281" s="11" t="s">
        <v>3719</v>
      </c>
      <c r="I1281" s="11" t="s">
        <v>171</v>
      </c>
    </row>
    <row r="1282" spans="1:9" x14ac:dyDescent="0.15">
      <c r="A1282" s="10">
        <v>1281</v>
      </c>
      <c r="B1282" s="11" t="s">
        <v>9</v>
      </c>
      <c r="C1282" s="11" t="s">
        <v>179</v>
      </c>
      <c r="D1282" s="11" t="s">
        <v>180</v>
      </c>
      <c r="E1282" s="9" t="str">
        <f>+HYPERLINK("http://trademark.i-assist.jp/data/china/image_1908th/79938427.pdf", "79938427")</f>
        <v>79938427</v>
      </c>
      <c r="F1282" s="11" t="s">
        <v>3720</v>
      </c>
      <c r="G1282" s="11" t="s">
        <v>3721</v>
      </c>
      <c r="H1282" s="11" t="s">
        <v>3722</v>
      </c>
      <c r="I1282" s="11" t="s">
        <v>171</v>
      </c>
    </row>
    <row r="1283" spans="1:9" x14ac:dyDescent="0.15">
      <c r="A1283" s="10">
        <v>1282</v>
      </c>
      <c r="B1283" s="11" t="s">
        <v>9</v>
      </c>
      <c r="C1283" s="11" t="s">
        <v>179</v>
      </c>
      <c r="D1283" s="11" t="s">
        <v>180</v>
      </c>
      <c r="E1283" s="9" t="str">
        <f>+HYPERLINK("http://trademark.i-assist.jp/data/china/image_1908th/79938696.pdf", "79938696")</f>
        <v>79938696</v>
      </c>
      <c r="F1283" s="11" t="s">
        <v>3723</v>
      </c>
      <c r="G1283" s="11" t="s">
        <v>3724</v>
      </c>
      <c r="H1283" s="11" t="s">
        <v>3725</v>
      </c>
      <c r="I1283" s="11" t="s">
        <v>171</v>
      </c>
    </row>
    <row r="1284" spans="1:9" x14ac:dyDescent="0.15">
      <c r="A1284" s="10">
        <v>1283</v>
      </c>
      <c r="B1284" s="11" t="s">
        <v>9</v>
      </c>
      <c r="C1284" s="11" t="s">
        <v>179</v>
      </c>
      <c r="D1284" s="11" t="s">
        <v>180</v>
      </c>
      <c r="E1284" s="9" t="str">
        <f>+HYPERLINK("http://trademark.i-assist.jp/data/china/image_1908th/79938735.pdf", "79938735")</f>
        <v>79938735</v>
      </c>
      <c r="F1284" s="11" t="s">
        <v>3726</v>
      </c>
      <c r="G1284" s="11" t="s">
        <v>3727</v>
      </c>
      <c r="H1284" s="11" t="s">
        <v>3728</v>
      </c>
      <c r="I1284" s="11" t="s">
        <v>171</v>
      </c>
    </row>
    <row r="1285" spans="1:9" x14ac:dyDescent="0.15">
      <c r="A1285" s="10">
        <v>1284</v>
      </c>
      <c r="B1285" s="11" t="s">
        <v>9</v>
      </c>
      <c r="C1285" s="11" t="s">
        <v>179</v>
      </c>
      <c r="D1285" s="11" t="s">
        <v>180</v>
      </c>
      <c r="E1285" s="9" t="str">
        <f>+HYPERLINK("http://trademark.i-assist.jp/data/china/image_1908th/79938759.pdf", "79938759")</f>
        <v>79938759</v>
      </c>
      <c r="F1285" s="11" t="s">
        <v>3729</v>
      </c>
      <c r="G1285" s="11" t="s">
        <v>3730</v>
      </c>
      <c r="H1285" s="11" t="s">
        <v>3731</v>
      </c>
      <c r="I1285" s="11" t="s">
        <v>171</v>
      </c>
    </row>
    <row r="1286" spans="1:9" x14ac:dyDescent="0.15">
      <c r="A1286" s="10">
        <v>1285</v>
      </c>
      <c r="B1286" s="11" t="s">
        <v>9</v>
      </c>
      <c r="C1286" s="11" t="s">
        <v>179</v>
      </c>
      <c r="D1286" s="11" t="s">
        <v>180</v>
      </c>
      <c r="E1286" s="9" t="str">
        <f>+HYPERLINK("http://trademark.i-assist.jp/data/china/image_1908th/79939015.pdf", "79939015")</f>
        <v>79939015</v>
      </c>
      <c r="F1286" s="11" t="s">
        <v>3732</v>
      </c>
      <c r="G1286" s="11" t="s">
        <v>3733</v>
      </c>
      <c r="H1286" s="11" t="s">
        <v>3734</v>
      </c>
      <c r="I1286" s="11" t="s">
        <v>171</v>
      </c>
    </row>
    <row r="1287" spans="1:9" x14ac:dyDescent="0.15">
      <c r="A1287" s="10">
        <v>1286</v>
      </c>
      <c r="B1287" s="11" t="s">
        <v>9</v>
      </c>
      <c r="C1287" s="11" t="s">
        <v>179</v>
      </c>
      <c r="D1287" s="11" t="s">
        <v>180</v>
      </c>
      <c r="E1287" s="9" t="str">
        <f>+HYPERLINK("http://trademark.i-assist.jp/data/china/image_1908th/79939124.pdf", "79939124")</f>
        <v>79939124</v>
      </c>
      <c r="F1287" s="11" t="s">
        <v>3735</v>
      </c>
      <c r="G1287" s="11" t="s">
        <v>3736</v>
      </c>
      <c r="H1287" s="11" t="s">
        <v>3737</v>
      </c>
      <c r="I1287" s="11" t="s">
        <v>171</v>
      </c>
    </row>
    <row r="1288" spans="1:9" x14ac:dyDescent="0.15">
      <c r="A1288" s="10">
        <v>1287</v>
      </c>
      <c r="B1288" s="11" t="s">
        <v>9</v>
      </c>
      <c r="C1288" s="11" t="s">
        <v>179</v>
      </c>
      <c r="D1288" s="11" t="s">
        <v>180</v>
      </c>
      <c r="E1288" s="9" t="str">
        <f>+HYPERLINK("http://trademark.i-assist.jp/data/china/image_1908th/79939135.pdf", "79939135")</f>
        <v>79939135</v>
      </c>
      <c r="F1288" s="11" t="s">
        <v>3738</v>
      </c>
      <c r="G1288" s="11" t="s">
        <v>3739</v>
      </c>
      <c r="H1288" s="11" t="s">
        <v>3740</v>
      </c>
      <c r="I1288" s="11" t="s">
        <v>171</v>
      </c>
    </row>
    <row r="1289" spans="1:9" x14ac:dyDescent="0.15">
      <c r="A1289" s="10">
        <v>1288</v>
      </c>
      <c r="B1289" s="11" t="s">
        <v>9</v>
      </c>
      <c r="C1289" s="11" t="s">
        <v>179</v>
      </c>
      <c r="D1289" s="11" t="s">
        <v>180</v>
      </c>
      <c r="E1289" s="9" t="str">
        <f>+HYPERLINK("http://trademark.i-assist.jp/data/china/image_1908th/79939438.pdf", "79939438")</f>
        <v>79939438</v>
      </c>
      <c r="F1289" s="11" t="s">
        <v>3741</v>
      </c>
      <c r="G1289" s="11" t="s">
        <v>3741</v>
      </c>
      <c r="H1289" s="11" t="s">
        <v>3742</v>
      </c>
      <c r="I1289" s="11" t="s">
        <v>171</v>
      </c>
    </row>
    <row r="1290" spans="1:9" x14ac:dyDescent="0.15">
      <c r="A1290" s="10">
        <v>1289</v>
      </c>
      <c r="B1290" s="11" t="s">
        <v>9</v>
      </c>
      <c r="C1290" s="11" t="s">
        <v>179</v>
      </c>
      <c r="D1290" s="11" t="s">
        <v>180</v>
      </c>
      <c r="E1290" s="9" t="str">
        <f>+HYPERLINK("http://trademark.i-assist.jp/data/china/image_1908th/79940012.pdf", "79940012")</f>
        <v>79940012</v>
      </c>
      <c r="F1290" s="11" t="s">
        <v>3743</v>
      </c>
      <c r="G1290" s="11" t="s">
        <v>3744</v>
      </c>
      <c r="H1290" s="11" t="s">
        <v>3745</v>
      </c>
      <c r="I1290" s="11" t="s">
        <v>171</v>
      </c>
    </row>
    <row r="1291" spans="1:9" x14ac:dyDescent="0.15">
      <c r="A1291" s="10">
        <v>1290</v>
      </c>
      <c r="B1291" s="11" t="s">
        <v>9</v>
      </c>
      <c r="C1291" s="11" t="s">
        <v>179</v>
      </c>
      <c r="D1291" s="11" t="s">
        <v>180</v>
      </c>
      <c r="E1291" s="9" t="str">
        <f>+HYPERLINK("http://trademark.i-assist.jp/data/china/image_1908th/79940198.pdf", "79940198")</f>
        <v>79940198</v>
      </c>
      <c r="F1291" s="11" t="s">
        <v>3746</v>
      </c>
      <c r="G1291" s="11" t="s">
        <v>3730</v>
      </c>
      <c r="H1291" s="11" t="s">
        <v>3747</v>
      </c>
      <c r="I1291" s="11" t="s">
        <v>171</v>
      </c>
    </row>
    <row r="1292" spans="1:9" x14ac:dyDescent="0.15">
      <c r="A1292" s="10">
        <v>1291</v>
      </c>
      <c r="B1292" s="11" t="s">
        <v>9</v>
      </c>
      <c r="C1292" s="11" t="s">
        <v>179</v>
      </c>
      <c r="D1292" s="11" t="s">
        <v>180</v>
      </c>
      <c r="E1292" s="9" t="str">
        <f>+HYPERLINK("http://trademark.i-assist.jp/data/china/image_1908th/79940505.pdf", "79940505")</f>
        <v>79940505</v>
      </c>
      <c r="F1292" s="11" t="s">
        <v>3748</v>
      </c>
      <c r="G1292" s="11" t="s">
        <v>3749</v>
      </c>
      <c r="H1292" s="11" t="s">
        <v>3750</v>
      </c>
      <c r="I1292" s="11" t="s">
        <v>171</v>
      </c>
    </row>
    <row r="1293" spans="1:9" x14ac:dyDescent="0.15">
      <c r="A1293" s="10">
        <v>1292</v>
      </c>
      <c r="B1293" s="11" t="s">
        <v>9</v>
      </c>
      <c r="C1293" s="11" t="s">
        <v>179</v>
      </c>
      <c r="D1293" s="11" t="s">
        <v>180</v>
      </c>
      <c r="E1293" s="9" t="str">
        <f>+HYPERLINK("http://trademark.i-assist.jp/data/china/image_1908th/79941019.pdf", "79941019")</f>
        <v>79941019</v>
      </c>
      <c r="F1293" s="11" t="s">
        <v>10</v>
      </c>
      <c r="G1293" s="11" t="s">
        <v>3751</v>
      </c>
      <c r="H1293" s="11" t="s">
        <v>3752</v>
      </c>
      <c r="I1293" s="11" t="s">
        <v>171</v>
      </c>
    </row>
    <row r="1294" spans="1:9" x14ac:dyDescent="0.15">
      <c r="A1294" s="10">
        <v>1293</v>
      </c>
      <c r="B1294" s="11" t="s">
        <v>9</v>
      </c>
      <c r="C1294" s="11" t="s">
        <v>179</v>
      </c>
      <c r="D1294" s="11" t="s">
        <v>180</v>
      </c>
      <c r="E1294" s="9" t="str">
        <f>+HYPERLINK("http://trademark.i-assist.jp/data/china/image_1908th/79941276.pdf", "79941276")</f>
        <v>79941276</v>
      </c>
      <c r="F1294" s="11" t="s">
        <v>3753</v>
      </c>
      <c r="G1294" s="11" t="s">
        <v>3754</v>
      </c>
      <c r="H1294" s="11" t="s">
        <v>3755</v>
      </c>
      <c r="I1294" s="11" t="s">
        <v>171</v>
      </c>
    </row>
    <row r="1295" spans="1:9" x14ac:dyDescent="0.15">
      <c r="A1295" s="10">
        <v>1294</v>
      </c>
      <c r="B1295" s="11" t="s">
        <v>9</v>
      </c>
      <c r="C1295" s="11" t="s">
        <v>179</v>
      </c>
      <c r="D1295" s="11" t="s">
        <v>180</v>
      </c>
      <c r="E1295" s="9" t="str">
        <f>+HYPERLINK("http://trademark.i-assist.jp/data/china/image_1908th/79941545.pdf", "79941545")</f>
        <v>79941545</v>
      </c>
      <c r="F1295" s="11" t="s">
        <v>3756</v>
      </c>
      <c r="G1295" s="11" t="s">
        <v>3757</v>
      </c>
      <c r="H1295" s="11" t="s">
        <v>3758</v>
      </c>
      <c r="I1295" s="11" t="s">
        <v>171</v>
      </c>
    </row>
    <row r="1296" spans="1:9" x14ac:dyDescent="0.15">
      <c r="A1296" s="10">
        <v>1295</v>
      </c>
      <c r="B1296" s="11" t="s">
        <v>9</v>
      </c>
      <c r="C1296" s="11" t="s">
        <v>179</v>
      </c>
      <c r="D1296" s="11" t="s">
        <v>180</v>
      </c>
      <c r="E1296" s="9" t="str">
        <f>+HYPERLINK("http://trademark.i-assist.jp/data/china/image_1908th/79941870.pdf", "79941870")</f>
        <v>79941870</v>
      </c>
      <c r="F1296" s="11" t="s">
        <v>10</v>
      </c>
      <c r="G1296" s="11" t="s">
        <v>3759</v>
      </c>
      <c r="H1296" s="11" t="s">
        <v>3760</v>
      </c>
      <c r="I1296" s="11" t="s">
        <v>171</v>
      </c>
    </row>
    <row r="1297" spans="1:9" x14ac:dyDescent="0.15">
      <c r="A1297" s="10">
        <v>1296</v>
      </c>
      <c r="B1297" s="11" t="s">
        <v>9</v>
      </c>
      <c r="C1297" s="11" t="s">
        <v>179</v>
      </c>
      <c r="D1297" s="11" t="s">
        <v>180</v>
      </c>
      <c r="E1297" s="9" t="str">
        <f>+HYPERLINK("http://trademark.i-assist.jp/data/china/image_1908th/79941944.pdf", "79941944")</f>
        <v>79941944</v>
      </c>
      <c r="F1297" s="11" t="s">
        <v>10</v>
      </c>
      <c r="G1297" s="11" t="s">
        <v>3761</v>
      </c>
      <c r="H1297" s="11" t="s">
        <v>3762</v>
      </c>
      <c r="I1297" s="11" t="s">
        <v>171</v>
      </c>
    </row>
    <row r="1298" spans="1:9" x14ac:dyDescent="0.15">
      <c r="A1298" s="10">
        <v>1297</v>
      </c>
      <c r="B1298" s="11" t="s">
        <v>9</v>
      </c>
      <c r="C1298" s="11" t="s">
        <v>179</v>
      </c>
      <c r="D1298" s="11" t="s">
        <v>180</v>
      </c>
      <c r="E1298" s="9" t="str">
        <f>+HYPERLINK("http://trademark.i-assist.jp/data/china/image_1908th/79942377.pdf", "79942377")</f>
        <v>79942377</v>
      </c>
      <c r="F1298" s="11" t="s">
        <v>3763</v>
      </c>
      <c r="G1298" s="11" t="s">
        <v>3764</v>
      </c>
      <c r="H1298" s="11" t="s">
        <v>3765</v>
      </c>
      <c r="I1298" s="11" t="s">
        <v>171</v>
      </c>
    </row>
    <row r="1299" spans="1:9" x14ac:dyDescent="0.15">
      <c r="A1299" s="10">
        <v>1298</v>
      </c>
      <c r="B1299" s="11" t="s">
        <v>9</v>
      </c>
      <c r="C1299" s="11" t="s">
        <v>179</v>
      </c>
      <c r="D1299" s="11" t="s">
        <v>180</v>
      </c>
      <c r="E1299" s="9" t="str">
        <f>+HYPERLINK("http://trademark.i-assist.jp/data/china/image_1908th/79942953.pdf", "79942953")</f>
        <v>79942953</v>
      </c>
      <c r="F1299" s="11" t="s">
        <v>3766</v>
      </c>
      <c r="G1299" s="11" t="s">
        <v>3767</v>
      </c>
      <c r="H1299" s="11" t="s">
        <v>3768</v>
      </c>
      <c r="I1299" s="11" t="s">
        <v>171</v>
      </c>
    </row>
    <row r="1300" spans="1:9" x14ac:dyDescent="0.15">
      <c r="A1300" s="10">
        <v>1299</v>
      </c>
      <c r="B1300" s="11" t="s">
        <v>9</v>
      </c>
      <c r="C1300" s="11" t="s">
        <v>179</v>
      </c>
      <c r="D1300" s="11" t="s">
        <v>180</v>
      </c>
      <c r="E1300" s="9" t="str">
        <f>+HYPERLINK("http://trademark.i-assist.jp/data/china/image_1908th/79943200.pdf", "79943200")</f>
        <v>79943200</v>
      </c>
      <c r="F1300" s="11" t="s">
        <v>3769</v>
      </c>
      <c r="G1300" s="11" t="s">
        <v>3770</v>
      </c>
      <c r="H1300" s="11" t="s">
        <v>3771</v>
      </c>
      <c r="I1300" s="11" t="s">
        <v>171</v>
      </c>
    </row>
    <row r="1301" spans="1:9" x14ac:dyDescent="0.15">
      <c r="A1301" s="10">
        <v>1300</v>
      </c>
      <c r="B1301" s="11" t="s">
        <v>9</v>
      </c>
      <c r="C1301" s="11" t="s">
        <v>179</v>
      </c>
      <c r="D1301" s="11" t="s">
        <v>180</v>
      </c>
      <c r="E1301" s="9" t="str">
        <f>+HYPERLINK("http://trademark.i-assist.jp/data/china/image_1908th/79943484.pdf", "79943484")</f>
        <v>79943484</v>
      </c>
      <c r="F1301" s="11" t="s">
        <v>3772</v>
      </c>
      <c r="G1301" s="11" t="s">
        <v>3773</v>
      </c>
      <c r="H1301" s="11" t="s">
        <v>3774</v>
      </c>
      <c r="I1301" s="11" t="s">
        <v>171</v>
      </c>
    </row>
    <row r="1302" spans="1:9" x14ac:dyDescent="0.15">
      <c r="A1302" s="10">
        <v>1301</v>
      </c>
      <c r="B1302" s="11" t="s">
        <v>9</v>
      </c>
      <c r="C1302" s="11" t="s">
        <v>179</v>
      </c>
      <c r="D1302" s="11" t="s">
        <v>180</v>
      </c>
      <c r="E1302" s="9" t="str">
        <f>+HYPERLINK("http://trademark.i-assist.jp/data/china/image_1908th/79943601.pdf", "79943601")</f>
        <v>79943601</v>
      </c>
      <c r="F1302" s="11" t="s">
        <v>3775</v>
      </c>
      <c r="G1302" s="11" t="s">
        <v>3776</v>
      </c>
      <c r="H1302" s="11" t="s">
        <v>3777</v>
      </c>
      <c r="I1302" s="11" t="s">
        <v>171</v>
      </c>
    </row>
    <row r="1303" spans="1:9" x14ac:dyDescent="0.15">
      <c r="A1303" s="10">
        <v>1302</v>
      </c>
      <c r="B1303" s="11" t="s">
        <v>9</v>
      </c>
      <c r="C1303" s="11" t="s">
        <v>179</v>
      </c>
      <c r="D1303" s="11" t="s">
        <v>180</v>
      </c>
      <c r="E1303" s="9" t="str">
        <f>+HYPERLINK("http://trademark.i-assist.jp/data/china/image_1908th/79943632.pdf", "79943632")</f>
        <v>79943632</v>
      </c>
      <c r="F1303" s="11" t="s">
        <v>3778</v>
      </c>
      <c r="G1303" s="11" t="s">
        <v>3736</v>
      </c>
      <c r="H1303" s="11" t="s">
        <v>3779</v>
      </c>
      <c r="I1303" s="11" t="s">
        <v>171</v>
      </c>
    </row>
    <row r="1304" spans="1:9" x14ac:dyDescent="0.15">
      <c r="A1304" s="10">
        <v>1303</v>
      </c>
      <c r="B1304" s="11" t="s">
        <v>9</v>
      </c>
      <c r="C1304" s="11" t="s">
        <v>179</v>
      </c>
      <c r="D1304" s="11" t="s">
        <v>180</v>
      </c>
      <c r="E1304" s="9" t="str">
        <f>+HYPERLINK("http://trademark.i-assist.jp/data/china/image_1908th/79943648.pdf", "79943648")</f>
        <v>79943648</v>
      </c>
      <c r="F1304" s="11" t="s">
        <v>3780</v>
      </c>
      <c r="G1304" s="11" t="s">
        <v>3736</v>
      </c>
      <c r="H1304" s="11" t="s">
        <v>3781</v>
      </c>
      <c r="I1304" s="11" t="s">
        <v>171</v>
      </c>
    </row>
    <row r="1305" spans="1:9" x14ac:dyDescent="0.15">
      <c r="A1305" s="10">
        <v>1304</v>
      </c>
      <c r="B1305" s="11" t="s">
        <v>9</v>
      </c>
      <c r="C1305" s="11" t="s">
        <v>179</v>
      </c>
      <c r="D1305" s="11" t="s">
        <v>180</v>
      </c>
      <c r="E1305" s="9" t="str">
        <f>+HYPERLINK("http://trademark.i-assist.jp/data/china/image_1908th/79944009.pdf", "79944009")</f>
        <v>79944009</v>
      </c>
      <c r="F1305" s="11" t="s">
        <v>3782</v>
      </c>
      <c r="G1305" s="11" t="s">
        <v>3783</v>
      </c>
      <c r="H1305" s="11" t="s">
        <v>3784</v>
      </c>
      <c r="I1305" s="11" t="s">
        <v>171</v>
      </c>
    </row>
    <row r="1306" spans="1:9" x14ac:dyDescent="0.15">
      <c r="A1306" s="10">
        <v>1305</v>
      </c>
      <c r="B1306" s="11" t="s">
        <v>9</v>
      </c>
      <c r="C1306" s="11" t="s">
        <v>179</v>
      </c>
      <c r="D1306" s="11" t="s">
        <v>180</v>
      </c>
      <c r="E1306" s="9" t="str">
        <f>+HYPERLINK("http://trademark.i-assist.jp/data/china/image_1908th/79944373.pdf", "79944373")</f>
        <v>79944373</v>
      </c>
      <c r="F1306" s="11" t="s">
        <v>3785</v>
      </c>
      <c r="G1306" s="11" t="s">
        <v>3786</v>
      </c>
      <c r="H1306" s="11" t="s">
        <v>3787</v>
      </c>
      <c r="I1306" s="11" t="s">
        <v>171</v>
      </c>
    </row>
    <row r="1307" spans="1:9" x14ac:dyDescent="0.15">
      <c r="A1307" s="10">
        <v>1306</v>
      </c>
      <c r="B1307" s="11" t="s">
        <v>9</v>
      </c>
      <c r="C1307" s="11" t="s">
        <v>179</v>
      </c>
      <c r="D1307" s="11" t="s">
        <v>180</v>
      </c>
      <c r="E1307" s="9" t="str">
        <f>+HYPERLINK("http://trademark.i-assist.jp/data/china/image_1908th/79944374.pdf", "79944374")</f>
        <v>79944374</v>
      </c>
      <c r="F1307" s="11" t="s">
        <v>3788</v>
      </c>
      <c r="G1307" s="11" t="s">
        <v>3789</v>
      </c>
      <c r="H1307" s="11" t="s">
        <v>3790</v>
      </c>
      <c r="I1307" s="11" t="s">
        <v>171</v>
      </c>
    </row>
    <row r="1308" spans="1:9" x14ac:dyDescent="0.15">
      <c r="A1308" s="10">
        <v>1307</v>
      </c>
      <c r="B1308" s="11" t="s">
        <v>9</v>
      </c>
      <c r="C1308" s="11" t="s">
        <v>179</v>
      </c>
      <c r="D1308" s="11" t="s">
        <v>180</v>
      </c>
      <c r="E1308" s="9" t="str">
        <f>+HYPERLINK("http://trademark.i-assist.jp/data/china/image_1908th/79944669.pdf", "79944669")</f>
        <v>79944669</v>
      </c>
      <c r="F1308" s="11" t="s">
        <v>3791</v>
      </c>
      <c r="G1308" s="11" t="s">
        <v>3792</v>
      </c>
      <c r="H1308" s="11" t="s">
        <v>3793</v>
      </c>
      <c r="I1308" s="11" t="s">
        <v>171</v>
      </c>
    </row>
    <row r="1309" spans="1:9" x14ac:dyDescent="0.15">
      <c r="A1309" s="10">
        <v>1308</v>
      </c>
      <c r="B1309" s="11" t="s">
        <v>9</v>
      </c>
      <c r="C1309" s="11" t="s">
        <v>179</v>
      </c>
      <c r="D1309" s="11" t="s">
        <v>180</v>
      </c>
      <c r="E1309" s="9" t="str">
        <f>+HYPERLINK("http://trademark.i-assist.jp/data/china/image_1908th/79944727.pdf", "79944727")</f>
        <v>79944727</v>
      </c>
      <c r="F1309" s="11" t="s">
        <v>3794</v>
      </c>
      <c r="G1309" s="11" t="s">
        <v>3795</v>
      </c>
      <c r="H1309" s="11" t="s">
        <v>3796</v>
      </c>
      <c r="I1309" s="11" t="s">
        <v>171</v>
      </c>
    </row>
    <row r="1310" spans="1:9" x14ac:dyDescent="0.15">
      <c r="A1310" s="10">
        <v>1309</v>
      </c>
      <c r="B1310" s="11" t="s">
        <v>9</v>
      </c>
      <c r="C1310" s="11" t="s">
        <v>179</v>
      </c>
      <c r="D1310" s="11" t="s">
        <v>180</v>
      </c>
      <c r="E1310" s="9" t="str">
        <f>+HYPERLINK("http://trademark.i-assist.jp/data/china/image_1908th/79945191.pdf", "79945191")</f>
        <v>79945191</v>
      </c>
      <c r="F1310" s="11" t="s">
        <v>3797</v>
      </c>
      <c r="G1310" s="11" t="s">
        <v>3798</v>
      </c>
      <c r="H1310" s="11" t="s">
        <v>3799</v>
      </c>
      <c r="I1310" s="11" t="s">
        <v>171</v>
      </c>
    </row>
    <row r="1311" spans="1:9" x14ac:dyDescent="0.15">
      <c r="A1311" s="10">
        <v>1310</v>
      </c>
      <c r="B1311" s="11" t="s">
        <v>9</v>
      </c>
      <c r="C1311" s="11" t="s">
        <v>179</v>
      </c>
      <c r="D1311" s="11" t="s">
        <v>180</v>
      </c>
      <c r="E1311" s="9" t="str">
        <f>+HYPERLINK("http://trademark.i-assist.jp/data/china/image_1908th/79945268.pdf", "79945268")</f>
        <v>79945268</v>
      </c>
      <c r="F1311" s="11" t="s">
        <v>10</v>
      </c>
      <c r="G1311" s="11" t="s">
        <v>3800</v>
      </c>
      <c r="H1311" s="11" t="s">
        <v>3801</v>
      </c>
      <c r="I1311" s="11" t="s">
        <v>171</v>
      </c>
    </row>
    <row r="1312" spans="1:9" x14ac:dyDescent="0.15">
      <c r="A1312" s="10">
        <v>1311</v>
      </c>
      <c r="B1312" s="11" t="s">
        <v>9</v>
      </c>
      <c r="C1312" s="11" t="s">
        <v>179</v>
      </c>
      <c r="D1312" s="11" t="s">
        <v>180</v>
      </c>
      <c r="E1312" s="9" t="str">
        <f>+HYPERLINK("http://trademark.i-assist.jp/data/china/image_1908th/79945407.pdf", "79945407")</f>
        <v>79945407</v>
      </c>
      <c r="F1312" s="11" t="s">
        <v>3802</v>
      </c>
      <c r="G1312" s="11" t="s">
        <v>3803</v>
      </c>
      <c r="H1312" s="11" t="s">
        <v>3804</v>
      </c>
      <c r="I1312" s="11" t="s">
        <v>171</v>
      </c>
    </row>
    <row r="1313" spans="1:9" x14ac:dyDescent="0.15">
      <c r="A1313" s="10">
        <v>1312</v>
      </c>
      <c r="B1313" s="11" t="s">
        <v>9</v>
      </c>
      <c r="C1313" s="11" t="s">
        <v>179</v>
      </c>
      <c r="D1313" s="11" t="s">
        <v>180</v>
      </c>
      <c r="E1313" s="9" t="str">
        <f>+HYPERLINK("http://trademark.i-assist.jp/data/china/image_1908th/79945492.pdf", "79945492")</f>
        <v>79945492</v>
      </c>
      <c r="F1313" s="11" t="s">
        <v>3805</v>
      </c>
      <c r="G1313" s="11" t="s">
        <v>3806</v>
      </c>
      <c r="H1313" s="11" t="s">
        <v>3807</v>
      </c>
      <c r="I1313" s="11" t="s">
        <v>171</v>
      </c>
    </row>
    <row r="1314" spans="1:9" x14ac:dyDescent="0.15">
      <c r="A1314" s="10">
        <v>1313</v>
      </c>
      <c r="B1314" s="11" t="s">
        <v>9</v>
      </c>
      <c r="C1314" s="11" t="s">
        <v>179</v>
      </c>
      <c r="D1314" s="11" t="s">
        <v>180</v>
      </c>
      <c r="E1314" s="9" t="str">
        <f>+HYPERLINK("http://trademark.i-assist.jp/data/china/image_1908th/79945636.pdf", "79945636")</f>
        <v>79945636</v>
      </c>
      <c r="F1314" s="11" t="s">
        <v>3808</v>
      </c>
      <c r="G1314" s="11" t="s">
        <v>3809</v>
      </c>
      <c r="H1314" s="11" t="s">
        <v>3810</v>
      </c>
      <c r="I1314" s="11" t="s">
        <v>171</v>
      </c>
    </row>
    <row r="1315" spans="1:9" x14ac:dyDescent="0.15">
      <c r="A1315" s="10">
        <v>1314</v>
      </c>
      <c r="B1315" s="11" t="s">
        <v>9</v>
      </c>
      <c r="C1315" s="11" t="s">
        <v>179</v>
      </c>
      <c r="D1315" s="11" t="s">
        <v>180</v>
      </c>
      <c r="E1315" s="9" t="str">
        <f>+HYPERLINK("http://trademark.i-assist.jp/data/china/image_1908th/79946499.pdf", "79946499")</f>
        <v>79946499</v>
      </c>
      <c r="F1315" s="11" t="s">
        <v>3811</v>
      </c>
      <c r="G1315" s="11" t="s">
        <v>3812</v>
      </c>
      <c r="H1315" s="11" t="s">
        <v>3813</v>
      </c>
      <c r="I1315" s="11" t="s">
        <v>171</v>
      </c>
    </row>
    <row r="1316" spans="1:9" x14ac:dyDescent="0.15">
      <c r="A1316" s="10">
        <v>1315</v>
      </c>
      <c r="B1316" s="11" t="s">
        <v>9</v>
      </c>
      <c r="C1316" s="11" t="s">
        <v>179</v>
      </c>
      <c r="D1316" s="11" t="s">
        <v>180</v>
      </c>
      <c r="E1316" s="9" t="str">
        <f>+HYPERLINK("http://trademark.i-assist.jp/data/china/image_1908th/79946507.pdf", "79946507")</f>
        <v>79946507</v>
      </c>
      <c r="F1316" s="11" t="s">
        <v>3814</v>
      </c>
      <c r="G1316" s="11" t="s">
        <v>3812</v>
      </c>
      <c r="H1316" s="11" t="s">
        <v>3815</v>
      </c>
      <c r="I1316" s="11" t="s">
        <v>171</v>
      </c>
    </row>
    <row r="1317" spans="1:9" x14ac:dyDescent="0.15">
      <c r="A1317" s="10">
        <v>1316</v>
      </c>
      <c r="B1317" s="11" t="s">
        <v>9</v>
      </c>
      <c r="C1317" s="11" t="s">
        <v>179</v>
      </c>
      <c r="D1317" s="11" t="s">
        <v>180</v>
      </c>
      <c r="E1317" s="9" t="str">
        <f>+HYPERLINK("http://trademark.i-assist.jp/data/china/image_1908th/79946656.pdf", "79946656")</f>
        <v>79946656</v>
      </c>
      <c r="F1317" s="11" t="s">
        <v>3816</v>
      </c>
      <c r="G1317" s="11" t="s">
        <v>3817</v>
      </c>
      <c r="H1317" s="11" t="s">
        <v>3818</v>
      </c>
      <c r="I1317" s="11" t="s">
        <v>171</v>
      </c>
    </row>
    <row r="1318" spans="1:9" x14ac:dyDescent="0.15">
      <c r="A1318" s="10">
        <v>1317</v>
      </c>
      <c r="B1318" s="11" t="s">
        <v>9</v>
      </c>
      <c r="C1318" s="11" t="s">
        <v>179</v>
      </c>
      <c r="D1318" s="11" t="s">
        <v>180</v>
      </c>
      <c r="E1318" s="9" t="str">
        <f>+HYPERLINK("http://trademark.i-assist.jp/data/china/image_1908th/79946928.pdf", "79946928")</f>
        <v>79946928</v>
      </c>
      <c r="F1318" s="11" t="s">
        <v>3819</v>
      </c>
      <c r="G1318" s="11" t="s">
        <v>3721</v>
      </c>
      <c r="H1318" s="11" t="s">
        <v>3820</v>
      </c>
      <c r="I1318" s="11" t="s">
        <v>171</v>
      </c>
    </row>
    <row r="1319" spans="1:9" x14ac:dyDescent="0.15">
      <c r="A1319" s="10">
        <v>1318</v>
      </c>
      <c r="B1319" s="11" t="s">
        <v>9</v>
      </c>
      <c r="C1319" s="11" t="s">
        <v>179</v>
      </c>
      <c r="D1319" s="11" t="s">
        <v>180</v>
      </c>
      <c r="E1319" s="9" t="str">
        <f>+HYPERLINK("http://trademark.i-assist.jp/data/china/image_1908th/79946956.pdf", "79946956")</f>
        <v>79946956</v>
      </c>
      <c r="F1319" s="11" t="s">
        <v>3821</v>
      </c>
      <c r="G1319" s="11" t="s">
        <v>3822</v>
      </c>
      <c r="H1319" s="11" t="s">
        <v>3823</v>
      </c>
      <c r="I1319" s="11" t="s">
        <v>171</v>
      </c>
    </row>
    <row r="1320" spans="1:9" x14ac:dyDescent="0.15">
      <c r="A1320" s="10">
        <v>1319</v>
      </c>
      <c r="B1320" s="11" t="s">
        <v>9</v>
      </c>
      <c r="C1320" s="11" t="s">
        <v>179</v>
      </c>
      <c r="D1320" s="11" t="s">
        <v>180</v>
      </c>
      <c r="E1320" s="9" t="str">
        <f>+HYPERLINK("http://trademark.i-assist.jp/data/china/image_1908th/79947018.pdf", "79947018")</f>
        <v>79947018</v>
      </c>
      <c r="F1320" s="11" t="s">
        <v>3824</v>
      </c>
      <c r="G1320" s="11" t="s">
        <v>3825</v>
      </c>
      <c r="H1320" s="11" t="s">
        <v>3826</v>
      </c>
      <c r="I1320" s="11" t="s">
        <v>171</v>
      </c>
    </row>
    <row r="1321" spans="1:9" x14ac:dyDescent="0.15">
      <c r="A1321" s="10">
        <v>1320</v>
      </c>
      <c r="B1321" s="11" t="s">
        <v>9</v>
      </c>
      <c r="C1321" s="11" t="s">
        <v>179</v>
      </c>
      <c r="D1321" s="11" t="s">
        <v>180</v>
      </c>
      <c r="E1321" s="9" t="str">
        <f>+HYPERLINK("http://trademark.i-assist.jp/data/china/image_1908th/79947199.pdf", "79947199")</f>
        <v>79947199</v>
      </c>
      <c r="F1321" s="11" t="s">
        <v>3827</v>
      </c>
      <c r="G1321" s="11" t="s">
        <v>3828</v>
      </c>
      <c r="H1321" s="11" t="s">
        <v>3829</v>
      </c>
      <c r="I1321" s="11" t="s">
        <v>171</v>
      </c>
    </row>
    <row r="1322" spans="1:9" x14ac:dyDescent="0.15">
      <c r="A1322" s="10">
        <v>1321</v>
      </c>
      <c r="B1322" s="11" t="s">
        <v>9</v>
      </c>
      <c r="C1322" s="11" t="s">
        <v>179</v>
      </c>
      <c r="D1322" s="11" t="s">
        <v>180</v>
      </c>
      <c r="E1322" s="9" t="str">
        <f>+HYPERLINK("http://trademark.i-assist.jp/data/china/image_1908th/79947204.pdf", "79947204")</f>
        <v>79947204</v>
      </c>
      <c r="F1322" s="11" t="s">
        <v>3830</v>
      </c>
      <c r="G1322" s="11" t="s">
        <v>3831</v>
      </c>
      <c r="H1322" s="11" t="s">
        <v>3832</v>
      </c>
      <c r="I1322" s="11" t="s">
        <v>171</v>
      </c>
    </row>
    <row r="1323" spans="1:9" x14ac:dyDescent="0.15">
      <c r="A1323" s="10">
        <v>1322</v>
      </c>
      <c r="B1323" s="11" t="s">
        <v>9</v>
      </c>
      <c r="C1323" s="11" t="s">
        <v>179</v>
      </c>
      <c r="D1323" s="11" t="s">
        <v>180</v>
      </c>
      <c r="E1323" s="9" t="str">
        <f>+HYPERLINK("http://trademark.i-assist.jp/data/china/image_1908th/79947246.pdf", "79947246")</f>
        <v>79947246</v>
      </c>
      <c r="F1323" s="11" t="s">
        <v>3833</v>
      </c>
      <c r="G1323" s="11" t="s">
        <v>56</v>
      </c>
      <c r="H1323" s="11" t="s">
        <v>3834</v>
      </c>
      <c r="I1323" s="11" t="s">
        <v>171</v>
      </c>
    </row>
    <row r="1324" spans="1:9" x14ac:dyDescent="0.15">
      <c r="A1324" s="10">
        <v>1323</v>
      </c>
      <c r="B1324" s="11" t="s">
        <v>9</v>
      </c>
      <c r="C1324" s="11" t="s">
        <v>179</v>
      </c>
      <c r="D1324" s="11" t="s">
        <v>180</v>
      </c>
      <c r="E1324" s="9" t="str">
        <f>+HYPERLINK("http://trademark.i-assist.jp/data/china/image_1908th/79947324.pdf", "79947324")</f>
        <v>79947324</v>
      </c>
      <c r="F1324" s="11" t="s">
        <v>3835</v>
      </c>
      <c r="G1324" s="11" t="s">
        <v>3836</v>
      </c>
      <c r="H1324" s="11" t="s">
        <v>3837</v>
      </c>
      <c r="I1324" s="11" t="s">
        <v>171</v>
      </c>
    </row>
    <row r="1325" spans="1:9" x14ac:dyDescent="0.15">
      <c r="A1325" s="10">
        <v>1324</v>
      </c>
      <c r="B1325" s="11" t="s">
        <v>9</v>
      </c>
      <c r="C1325" s="11" t="s">
        <v>179</v>
      </c>
      <c r="D1325" s="11" t="s">
        <v>180</v>
      </c>
      <c r="E1325" s="9" t="str">
        <f>+HYPERLINK("http://trademark.i-assist.jp/data/china/image_1908th/79947340.pdf", "79947340")</f>
        <v>79947340</v>
      </c>
      <c r="F1325" s="11" t="s">
        <v>3838</v>
      </c>
      <c r="G1325" s="11" t="s">
        <v>3839</v>
      </c>
      <c r="H1325" s="11" t="s">
        <v>3840</v>
      </c>
      <c r="I1325" s="11" t="s">
        <v>171</v>
      </c>
    </row>
    <row r="1326" spans="1:9" x14ac:dyDescent="0.15">
      <c r="A1326" s="10">
        <v>1325</v>
      </c>
      <c r="B1326" s="11" t="s">
        <v>9</v>
      </c>
      <c r="C1326" s="11" t="s">
        <v>179</v>
      </c>
      <c r="D1326" s="11" t="s">
        <v>180</v>
      </c>
      <c r="E1326" s="9" t="str">
        <f>+HYPERLINK("http://trademark.i-assist.jp/data/china/image_1908th/79947696.pdf", "79947696")</f>
        <v>79947696</v>
      </c>
      <c r="F1326" s="11" t="s">
        <v>3841</v>
      </c>
      <c r="G1326" s="11" t="s">
        <v>3842</v>
      </c>
      <c r="H1326" s="11" t="s">
        <v>3843</v>
      </c>
      <c r="I1326" s="11" t="s">
        <v>171</v>
      </c>
    </row>
    <row r="1327" spans="1:9" x14ac:dyDescent="0.15">
      <c r="A1327" s="10">
        <v>1326</v>
      </c>
      <c r="B1327" s="11" t="s">
        <v>9</v>
      </c>
      <c r="C1327" s="11" t="s">
        <v>179</v>
      </c>
      <c r="D1327" s="11" t="s">
        <v>180</v>
      </c>
      <c r="E1327" s="9" t="str">
        <f>+HYPERLINK("http://trademark.i-assist.jp/data/china/image_1908th/79947701.pdf", "79947701")</f>
        <v>79947701</v>
      </c>
      <c r="F1327" s="11" t="s">
        <v>3844</v>
      </c>
      <c r="G1327" s="11" t="s">
        <v>3845</v>
      </c>
      <c r="H1327" s="11" t="s">
        <v>3846</v>
      </c>
      <c r="I1327" s="11" t="s">
        <v>171</v>
      </c>
    </row>
    <row r="1328" spans="1:9" x14ac:dyDescent="0.15">
      <c r="A1328" s="10">
        <v>1327</v>
      </c>
      <c r="B1328" s="11" t="s">
        <v>9</v>
      </c>
      <c r="C1328" s="11" t="s">
        <v>179</v>
      </c>
      <c r="D1328" s="11" t="s">
        <v>180</v>
      </c>
      <c r="E1328" s="9" t="str">
        <f>+HYPERLINK("http://trademark.i-assist.jp/data/china/image_1908th/79947829.pdf", "79947829")</f>
        <v>79947829</v>
      </c>
      <c r="F1328" s="11" t="s">
        <v>3847</v>
      </c>
      <c r="G1328" s="11" t="s">
        <v>3848</v>
      </c>
      <c r="H1328" s="11" t="s">
        <v>3849</v>
      </c>
      <c r="I1328" s="11" t="s">
        <v>171</v>
      </c>
    </row>
    <row r="1329" spans="1:9" x14ac:dyDescent="0.15">
      <c r="A1329" s="10">
        <v>1328</v>
      </c>
      <c r="B1329" s="11" t="s">
        <v>9</v>
      </c>
      <c r="C1329" s="11" t="s">
        <v>179</v>
      </c>
      <c r="D1329" s="11" t="s">
        <v>180</v>
      </c>
      <c r="E1329" s="9" t="str">
        <f>+HYPERLINK("http://trademark.i-assist.jp/data/china/image_1908th/79947915.pdf", "79947915")</f>
        <v>79947915</v>
      </c>
      <c r="F1329" s="11" t="s">
        <v>3850</v>
      </c>
      <c r="G1329" s="11" t="s">
        <v>3831</v>
      </c>
      <c r="H1329" s="11" t="s">
        <v>3851</v>
      </c>
      <c r="I1329" s="11" t="s">
        <v>171</v>
      </c>
    </row>
    <row r="1330" spans="1:9" x14ac:dyDescent="0.15">
      <c r="A1330" s="10">
        <v>1329</v>
      </c>
      <c r="B1330" s="11" t="s">
        <v>9</v>
      </c>
      <c r="C1330" s="11" t="s">
        <v>179</v>
      </c>
      <c r="D1330" s="11" t="s">
        <v>180</v>
      </c>
      <c r="E1330" s="9" t="str">
        <f>+HYPERLINK("http://trademark.i-assist.jp/data/china/image_1908th/79948049.pdf", "79948049")</f>
        <v>79948049</v>
      </c>
      <c r="F1330" s="11" t="s">
        <v>3852</v>
      </c>
      <c r="G1330" s="11" t="s">
        <v>3853</v>
      </c>
      <c r="H1330" s="11" t="s">
        <v>3854</v>
      </c>
      <c r="I1330" s="11" t="s">
        <v>171</v>
      </c>
    </row>
    <row r="1331" spans="1:9" x14ac:dyDescent="0.15">
      <c r="A1331" s="10">
        <v>1330</v>
      </c>
      <c r="B1331" s="11" t="s">
        <v>9</v>
      </c>
      <c r="C1331" s="11" t="s">
        <v>179</v>
      </c>
      <c r="D1331" s="11" t="s">
        <v>180</v>
      </c>
      <c r="E1331" s="9" t="str">
        <f>+HYPERLINK("http://trademark.i-assist.jp/data/china/image_1908th/79948267.pdf", "79948267")</f>
        <v>79948267</v>
      </c>
      <c r="F1331" s="11" t="s">
        <v>3855</v>
      </c>
      <c r="G1331" s="11" t="s">
        <v>3812</v>
      </c>
      <c r="H1331" s="11" t="s">
        <v>3856</v>
      </c>
      <c r="I1331" s="11" t="s">
        <v>171</v>
      </c>
    </row>
    <row r="1332" spans="1:9" x14ac:dyDescent="0.15">
      <c r="A1332" s="10">
        <v>1331</v>
      </c>
      <c r="B1332" s="11" t="s">
        <v>9</v>
      </c>
      <c r="C1332" s="11" t="s">
        <v>179</v>
      </c>
      <c r="D1332" s="11" t="s">
        <v>180</v>
      </c>
      <c r="E1332" s="9" t="str">
        <f>+HYPERLINK("http://trademark.i-assist.jp/data/china/image_1908th/79948289.pdf", "79948289")</f>
        <v>79948289</v>
      </c>
      <c r="F1332" s="11" t="s">
        <v>3857</v>
      </c>
      <c r="G1332" s="11" t="s">
        <v>3812</v>
      </c>
      <c r="H1332" s="11" t="s">
        <v>3858</v>
      </c>
      <c r="I1332" s="11" t="s">
        <v>171</v>
      </c>
    </row>
    <row r="1333" spans="1:9" x14ac:dyDescent="0.15">
      <c r="A1333" s="10">
        <v>1332</v>
      </c>
      <c r="B1333" s="11" t="s">
        <v>9</v>
      </c>
      <c r="C1333" s="11" t="s">
        <v>179</v>
      </c>
      <c r="D1333" s="11" t="s">
        <v>180</v>
      </c>
      <c r="E1333" s="9" t="str">
        <f>+HYPERLINK("http://trademark.i-assist.jp/data/china/image_1908th/79948338.pdf", "79948338")</f>
        <v>79948338</v>
      </c>
      <c r="F1333" s="11" t="s">
        <v>3859</v>
      </c>
      <c r="G1333" s="11" t="s">
        <v>3860</v>
      </c>
      <c r="H1333" s="11" t="s">
        <v>3861</v>
      </c>
      <c r="I1333" s="11" t="s">
        <v>171</v>
      </c>
    </row>
    <row r="1334" spans="1:9" x14ac:dyDescent="0.15">
      <c r="A1334" s="10">
        <v>1333</v>
      </c>
      <c r="B1334" s="11" t="s">
        <v>9</v>
      </c>
      <c r="C1334" s="11" t="s">
        <v>179</v>
      </c>
      <c r="D1334" s="11" t="s">
        <v>180</v>
      </c>
      <c r="E1334" s="9" t="str">
        <f>+HYPERLINK("http://trademark.i-assist.jp/data/china/image_1908th/79948351.pdf", "79948351")</f>
        <v>79948351</v>
      </c>
      <c r="F1334" s="11" t="s">
        <v>3862</v>
      </c>
      <c r="G1334" s="11" t="s">
        <v>3721</v>
      </c>
      <c r="H1334" s="11" t="s">
        <v>3863</v>
      </c>
      <c r="I1334" s="11" t="s">
        <v>171</v>
      </c>
    </row>
    <row r="1335" spans="1:9" x14ac:dyDescent="0.15">
      <c r="A1335" s="10">
        <v>1334</v>
      </c>
      <c r="B1335" s="11" t="s">
        <v>9</v>
      </c>
      <c r="C1335" s="11" t="s">
        <v>179</v>
      </c>
      <c r="D1335" s="11" t="s">
        <v>180</v>
      </c>
      <c r="E1335" s="9" t="str">
        <f>+HYPERLINK("http://trademark.i-assist.jp/data/china/image_1908th/79948439.pdf", "79948439")</f>
        <v>79948439</v>
      </c>
      <c r="F1335" s="11" t="s">
        <v>3864</v>
      </c>
      <c r="G1335" s="11" t="s">
        <v>3865</v>
      </c>
      <c r="H1335" s="11" t="s">
        <v>3866</v>
      </c>
      <c r="I1335" s="11" t="s">
        <v>171</v>
      </c>
    </row>
    <row r="1336" spans="1:9" x14ac:dyDescent="0.15">
      <c r="A1336" s="10">
        <v>1335</v>
      </c>
      <c r="B1336" s="11" t="s">
        <v>9</v>
      </c>
      <c r="C1336" s="11" t="s">
        <v>179</v>
      </c>
      <c r="D1336" s="11" t="s">
        <v>180</v>
      </c>
      <c r="E1336" s="9" t="str">
        <f>+HYPERLINK("http://trademark.i-assist.jp/data/china/image_1908th/79948446.pdf", "79948446")</f>
        <v>79948446</v>
      </c>
      <c r="F1336" s="11" t="s">
        <v>3867</v>
      </c>
      <c r="G1336" s="11" t="s">
        <v>3806</v>
      </c>
      <c r="H1336" s="11" t="s">
        <v>3868</v>
      </c>
      <c r="I1336" s="11" t="s">
        <v>171</v>
      </c>
    </row>
    <row r="1337" spans="1:9" x14ac:dyDescent="0.15">
      <c r="A1337" s="10">
        <v>1336</v>
      </c>
      <c r="B1337" s="11" t="s">
        <v>9</v>
      </c>
      <c r="C1337" s="11" t="s">
        <v>179</v>
      </c>
      <c r="D1337" s="11" t="s">
        <v>180</v>
      </c>
      <c r="E1337" s="9" t="str">
        <f>+HYPERLINK("http://trademark.i-assist.jp/data/china/image_1908th/79948483.pdf", "79948483")</f>
        <v>79948483</v>
      </c>
      <c r="F1337" s="11" t="s">
        <v>3869</v>
      </c>
      <c r="G1337" s="11" t="s">
        <v>3870</v>
      </c>
      <c r="H1337" s="11" t="s">
        <v>3871</v>
      </c>
      <c r="I1337" s="11" t="s">
        <v>171</v>
      </c>
    </row>
    <row r="1338" spans="1:9" x14ac:dyDescent="0.15">
      <c r="A1338" s="10">
        <v>1337</v>
      </c>
      <c r="B1338" s="11" t="s">
        <v>9</v>
      </c>
      <c r="C1338" s="11" t="s">
        <v>179</v>
      </c>
      <c r="D1338" s="11" t="s">
        <v>180</v>
      </c>
      <c r="E1338" s="9" t="str">
        <f>+HYPERLINK("http://trademark.i-assist.jp/data/china/image_1908th/79948536.pdf", "79948536")</f>
        <v>79948536</v>
      </c>
      <c r="F1338" s="11" t="s">
        <v>3872</v>
      </c>
      <c r="G1338" s="11" t="s">
        <v>3873</v>
      </c>
      <c r="H1338" s="11" t="s">
        <v>3874</v>
      </c>
      <c r="I1338" s="11" t="s">
        <v>171</v>
      </c>
    </row>
    <row r="1339" spans="1:9" x14ac:dyDescent="0.15">
      <c r="A1339" s="10">
        <v>1338</v>
      </c>
      <c r="B1339" s="11" t="s">
        <v>9</v>
      </c>
      <c r="C1339" s="11" t="s">
        <v>179</v>
      </c>
      <c r="D1339" s="11" t="s">
        <v>180</v>
      </c>
      <c r="E1339" s="9" t="str">
        <f>+HYPERLINK("http://trademark.i-assist.jp/data/china/image_1908th/79948681.pdf", "79948681")</f>
        <v>79948681</v>
      </c>
      <c r="F1339" s="11" t="s">
        <v>3875</v>
      </c>
      <c r="G1339" s="11" t="s">
        <v>3759</v>
      </c>
      <c r="H1339" s="11" t="s">
        <v>3876</v>
      </c>
      <c r="I1339" s="11" t="s">
        <v>171</v>
      </c>
    </row>
    <row r="1340" spans="1:9" x14ac:dyDescent="0.15">
      <c r="A1340" s="10">
        <v>1339</v>
      </c>
      <c r="B1340" s="11" t="s">
        <v>9</v>
      </c>
      <c r="C1340" s="11" t="s">
        <v>179</v>
      </c>
      <c r="D1340" s="11" t="s">
        <v>180</v>
      </c>
      <c r="E1340" s="9" t="str">
        <f>+HYPERLINK("http://trademark.i-assist.jp/data/china/image_1908th/79949085.pdf", "79949085")</f>
        <v>79949085</v>
      </c>
      <c r="F1340" s="11" t="s">
        <v>3877</v>
      </c>
      <c r="G1340" s="11" t="s">
        <v>3721</v>
      </c>
      <c r="H1340" s="11" t="s">
        <v>3878</v>
      </c>
      <c r="I1340" s="11" t="s">
        <v>171</v>
      </c>
    </row>
    <row r="1341" spans="1:9" x14ac:dyDescent="0.15">
      <c r="A1341" s="10">
        <v>1340</v>
      </c>
      <c r="B1341" s="11" t="s">
        <v>9</v>
      </c>
      <c r="C1341" s="11" t="s">
        <v>179</v>
      </c>
      <c r="D1341" s="11" t="s">
        <v>180</v>
      </c>
      <c r="E1341" s="9" t="str">
        <f>+HYPERLINK("http://trademark.i-assist.jp/data/china/image_1908th/79949173.pdf", "79949173")</f>
        <v>79949173</v>
      </c>
      <c r="F1341" s="11" t="s">
        <v>3879</v>
      </c>
      <c r="G1341" s="11" t="s">
        <v>3880</v>
      </c>
      <c r="H1341" s="11" t="s">
        <v>3881</v>
      </c>
      <c r="I1341" s="11" t="s">
        <v>171</v>
      </c>
    </row>
    <row r="1342" spans="1:9" x14ac:dyDescent="0.15">
      <c r="A1342" s="10">
        <v>1341</v>
      </c>
      <c r="B1342" s="11" t="s">
        <v>9</v>
      </c>
      <c r="C1342" s="11" t="s">
        <v>179</v>
      </c>
      <c r="D1342" s="11" t="s">
        <v>180</v>
      </c>
      <c r="E1342" s="9" t="str">
        <f>+HYPERLINK("http://trademark.i-assist.jp/data/china/image_1908th/79949427.pdf", "79949427")</f>
        <v>79949427</v>
      </c>
      <c r="F1342" s="11" t="s">
        <v>3882</v>
      </c>
      <c r="G1342" s="11" t="s">
        <v>3883</v>
      </c>
      <c r="H1342" s="11" t="s">
        <v>3884</v>
      </c>
      <c r="I1342" s="11" t="s">
        <v>171</v>
      </c>
    </row>
    <row r="1343" spans="1:9" x14ac:dyDescent="0.15">
      <c r="A1343" s="10">
        <v>1342</v>
      </c>
      <c r="B1343" s="11" t="s">
        <v>9</v>
      </c>
      <c r="C1343" s="11" t="s">
        <v>179</v>
      </c>
      <c r="D1343" s="11" t="s">
        <v>180</v>
      </c>
      <c r="E1343" s="9" t="str">
        <f>+HYPERLINK("http://trademark.i-assist.jp/data/china/image_1908th/79949476.pdf", "79949476")</f>
        <v>79949476</v>
      </c>
      <c r="F1343" s="11" t="s">
        <v>3885</v>
      </c>
      <c r="G1343" s="11" t="s">
        <v>3786</v>
      </c>
      <c r="H1343" s="11" t="s">
        <v>3886</v>
      </c>
      <c r="I1343" s="11" t="s">
        <v>171</v>
      </c>
    </row>
    <row r="1344" spans="1:9" x14ac:dyDescent="0.15">
      <c r="A1344" s="10">
        <v>1343</v>
      </c>
      <c r="B1344" s="11" t="s">
        <v>9</v>
      </c>
      <c r="C1344" s="11" t="s">
        <v>179</v>
      </c>
      <c r="D1344" s="11" t="s">
        <v>180</v>
      </c>
      <c r="E1344" s="9" t="str">
        <f>+HYPERLINK("http://trademark.i-assist.jp/data/china/image_1908th/79950021.pdf", "79950021")</f>
        <v>79950021</v>
      </c>
      <c r="F1344" s="11" t="s">
        <v>3887</v>
      </c>
      <c r="G1344" s="11" t="s">
        <v>3888</v>
      </c>
      <c r="H1344" s="11" t="s">
        <v>3889</v>
      </c>
      <c r="I1344" s="11" t="s">
        <v>171</v>
      </c>
    </row>
    <row r="1345" spans="1:9" x14ac:dyDescent="0.15">
      <c r="A1345" s="10">
        <v>1344</v>
      </c>
      <c r="B1345" s="11" t="s">
        <v>9</v>
      </c>
      <c r="C1345" s="11" t="s">
        <v>179</v>
      </c>
      <c r="D1345" s="11" t="s">
        <v>180</v>
      </c>
      <c r="E1345" s="9" t="str">
        <f>+HYPERLINK("http://trademark.i-assist.jp/data/china/image_1908th/79950128.pdf", "79950128")</f>
        <v>79950128</v>
      </c>
      <c r="F1345" s="11" t="s">
        <v>3890</v>
      </c>
      <c r="G1345" s="11" t="s">
        <v>3736</v>
      </c>
      <c r="H1345" s="11" t="s">
        <v>3891</v>
      </c>
      <c r="I1345" s="11" t="s">
        <v>171</v>
      </c>
    </row>
    <row r="1346" spans="1:9" x14ac:dyDescent="0.15">
      <c r="A1346" s="10">
        <v>1345</v>
      </c>
      <c r="B1346" s="11" t="s">
        <v>9</v>
      </c>
      <c r="C1346" s="11" t="s">
        <v>179</v>
      </c>
      <c r="D1346" s="11" t="s">
        <v>180</v>
      </c>
      <c r="E1346" s="9" t="str">
        <f>+HYPERLINK("http://trademark.i-assist.jp/data/china/image_1908th/79950154.pdf", "79950154")</f>
        <v>79950154</v>
      </c>
      <c r="F1346" s="11" t="s">
        <v>3892</v>
      </c>
      <c r="G1346" s="11" t="s">
        <v>3812</v>
      </c>
      <c r="H1346" s="11" t="s">
        <v>3893</v>
      </c>
      <c r="I1346" s="11" t="s">
        <v>171</v>
      </c>
    </row>
    <row r="1347" spans="1:9" x14ac:dyDescent="0.15">
      <c r="A1347" s="10">
        <v>1346</v>
      </c>
      <c r="B1347" s="11" t="s">
        <v>9</v>
      </c>
      <c r="C1347" s="11" t="s">
        <v>179</v>
      </c>
      <c r="D1347" s="11" t="s">
        <v>180</v>
      </c>
      <c r="E1347" s="9" t="str">
        <f>+HYPERLINK("http://trademark.i-assist.jp/data/china/image_1908th/79950448.pdf", "79950448")</f>
        <v>79950448</v>
      </c>
      <c r="F1347" s="11" t="s">
        <v>3894</v>
      </c>
      <c r="G1347" s="11" t="s">
        <v>3895</v>
      </c>
      <c r="H1347" s="11" t="s">
        <v>3896</v>
      </c>
      <c r="I1347" s="11" t="s">
        <v>171</v>
      </c>
    </row>
    <row r="1348" spans="1:9" x14ac:dyDescent="0.15">
      <c r="A1348" s="10">
        <v>1347</v>
      </c>
      <c r="B1348" s="11" t="s">
        <v>9</v>
      </c>
      <c r="C1348" s="11" t="s">
        <v>179</v>
      </c>
      <c r="D1348" s="11" t="s">
        <v>180</v>
      </c>
      <c r="E1348" s="9" t="str">
        <f>+HYPERLINK("http://trademark.i-assist.jp/data/china/image_1908th/79950556.pdf", "79950556")</f>
        <v>79950556</v>
      </c>
      <c r="F1348" s="11" t="s">
        <v>3897</v>
      </c>
      <c r="G1348" s="11" t="s">
        <v>3898</v>
      </c>
      <c r="H1348" s="11" t="s">
        <v>3899</v>
      </c>
      <c r="I1348" s="11" t="s">
        <v>171</v>
      </c>
    </row>
    <row r="1349" spans="1:9" x14ac:dyDescent="0.15">
      <c r="A1349" s="10">
        <v>1348</v>
      </c>
      <c r="B1349" s="11" t="s">
        <v>9</v>
      </c>
      <c r="C1349" s="11" t="s">
        <v>179</v>
      </c>
      <c r="D1349" s="11" t="s">
        <v>180</v>
      </c>
      <c r="E1349" s="9" t="str">
        <f>+HYPERLINK("http://trademark.i-assist.jp/data/china/image_1908th/79951110.pdf", "79951110")</f>
        <v>79951110</v>
      </c>
      <c r="F1349" s="11" t="s">
        <v>3900</v>
      </c>
      <c r="G1349" s="11" t="s">
        <v>3901</v>
      </c>
      <c r="H1349" s="11" t="s">
        <v>3902</v>
      </c>
      <c r="I1349" s="11" t="s">
        <v>171</v>
      </c>
    </row>
    <row r="1350" spans="1:9" x14ac:dyDescent="0.15">
      <c r="A1350" s="10">
        <v>1349</v>
      </c>
      <c r="B1350" s="11" t="s">
        <v>9</v>
      </c>
      <c r="C1350" s="11" t="s">
        <v>179</v>
      </c>
      <c r="D1350" s="11" t="s">
        <v>180</v>
      </c>
      <c r="E1350" s="9" t="str">
        <f>+HYPERLINK("http://trademark.i-assist.jp/data/china/image_1908th/79951225.pdf", "79951225")</f>
        <v>79951225</v>
      </c>
      <c r="F1350" s="11" t="s">
        <v>3903</v>
      </c>
      <c r="G1350" s="11" t="s">
        <v>3904</v>
      </c>
      <c r="H1350" s="11" t="s">
        <v>3905</v>
      </c>
      <c r="I1350" s="11" t="s">
        <v>171</v>
      </c>
    </row>
    <row r="1351" spans="1:9" x14ac:dyDescent="0.15">
      <c r="A1351" s="10">
        <v>1350</v>
      </c>
      <c r="B1351" s="11" t="s">
        <v>9</v>
      </c>
      <c r="C1351" s="11" t="s">
        <v>179</v>
      </c>
      <c r="D1351" s="11" t="s">
        <v>180</v>
      </c>
      <c r="E1351" s="9" t="str">
        <f>+HYPERLINK("http://trademark.i-assist.jp/data/china/image_1908th/79951340.pdf", "79951340")</f>
        <v>79951340</v>
      </c>
      <c r="F1351" s="11" t="s">
        <v>3906</v>
      </c>
      <c r="G1351" s="11" t="s">
        <v>3907</v>
      </c>
      <c r="H1351" s="11" t="s">
        <v>3908</v>
      </c>
      <c r="I1351" s="11" t="s">
        <v>171</v>
      </c>
    </row>
    <row r="1352" spans="1:9" x14ac:dyDescent="0.15">
      <c r="A1352" s="10">
        <v>1351</v>
      </c>
      <c r="B1352" s="11" t="s">
        <v>9</v>
      </c>
      <c r="C1352" s="11" t="s">
        <v>179</v>
      </c>
      <c r="D1352" s="11" t="s">
        <v>180</v>
      </c>
      <c r="E1352" s="9" t="str">
        <f>+HYPERLINK("http://trademark.i-assist.jp/data/china/image_1908th/79951353.pdf", "79951353")</f>
        <v>79951353</v>
      </c>
      <c r="F1352" s="11" t="s">
        <v>3909</v>
      </c>
      <c r="G1352" s="11" t="s">
        <v>3730</v>
      </c>
      <c r="H1352" s="11" t="s">
        <v>3910</v>
      </c>
      <c r="I1352" s="11" t="s">
        <v>171</v>
      </c>
    </row>
    <row r="1353" spans="1:9" x14ac:dyDescent="0.15">
      <c r="A1353" s="10">
        <v>1352</v>
      </c>
      <c r="B1353" s="11" t="s">
        <v>9</v>
      </c>
      <c r="C1353" s="11" t="s">
        <v>179</v>
      </c>
      <c r="D1353" s="11" t="s">
        <v>180</v>
      </c>
      <c r="E1353" s="9" t="str">
        <f>+HYPERLINK("http://trademark.i-assist.jp/data/china/image_1908th/79951358.pdf", "79951358")</f>
        <v>79951358</v>
      </c>
      <c r="F1353" s="11" t="s">
        <v>3911</v>
      </c>
      <c r="G1353" s="11" t="s">
        <v>3730</v>
      </c>
      <c r="H1353" s="11" t="s">
        <v>3912</v>
      </c>
      <c r="I1353" s="11" t="s">
        <v>171</v>
      </c>
    </row>
    <row r="1354" spans="1:9" x14ac:dyDescent="0.15">
      <c r="A1354" s="10">
        <v>1353</v>
      </c>
      <c r="B1354" s="11" t="s">
        <v>9</v>
      </c>
      <c r="C1354" s="11" t="s">
        <v>179</v>
      </c>
      <c r="D1354" s="11" t="s">
        <v>180</v>
      </c>
      <c r="E1354" s="9" t="str">
        <f>+HYPERLINK("http://trademark.i-assist.jp/data/china/image_1908th/79951433.pdf", "79951433")</f>
        <v>79951433</v>
      </c>
      <c r="F1354" s="11" t="s">
        <v>3913</v>
      </c>
      <c r="G1354" s="11" t="s">
        <v>3914</v>
      </c>
      <c r="H1354" s="11" t="s">
        <v>3915</v>
      </c>
      <c r="I1354" s="11" t="s">
        <v>171</v>
      </c>
    </row>
    <row r="1355" spans="1:9" x14ac:dyDescent="0.15">
      <c r="A1355" s="10">
        <v>1354</v>
      </c>
      <c r="B1355" s="11" t="s">
        <v>9</v>
      </c>
      <c r="C1355" s="11" t="s">
        <v>179</v>
      </c>
      <c r="D1355" s="11" t="s">
        <v>180</v>
      </c>
      <c r="E1355" s="9" t="str">
        <f>+HYPERLINK("http://trademark.i-assist.jp/data/china/image_1908th/79952460.pdf", "79952460")</f>
        <v>79952460</v>
      </c>
      <c r="F1355" s="11" t="s">
        <v>3916</v>
      </c>
      <c r="G1355" s="11" t="s">
        <v>3759</v>
      </c>
      <c r="H1355" s="11" t="s">
        <v>3917</v>
      </c>
      <c r="I1355" s="11" t="s">
        <v>171</v>
      </c>
    </row>
    <row r="1356" spans="1:9" x14ac:dyDescent="0.15">
      <c r="A1356" s="10">
        <v>1355</v>
      </c>
      <c r="B1356" s="11" t="s">
        <v>9</v>
      </c>
      <c r="C1356" s="11" t="s">
        <v>179</v>
      </c>
      <c r="D1356" s="11" t="s">
        <v>180</v>
      </c>
      <c r="E1356" s="9" t="str">
        <f>+HYPERLINK("http://trademark.i-assist.jp/data/china/image_1908th/79952541.pdf", "79952541")</f>
        <v>79952541</v>
      </c>
      <c r="F1356" s="11" t="s">
        <v>10</v>
      </c>
      <c r="G1356" s="11" t="s">
        <v>3918</v>
      </c>
      <c r="H1356" s="11" t="s">
        <v>3919</v>
      </c>
      <c r="I1356" s="11" t="s">
        <v>171</v>
      </c>
    </row>
    <row r="1357" spans="1:9" x14ac:dyDescent="0.15">
      <c r="A1357" s="10">
        <v>1356</v>
      </c>
      <c r="B1357" s="11" t="s">
        <v>9</v>
      </c>
      <c r="C1357" s="11" t="s">
        <v>179</v>
      </c>
      <c r="D1357" s="11" t="s">
        <v>180</v>
      </c>
      <c r="E1357" s="9" t="str">
        <f>+HYPERLINK("http://trademark.i-assist.jp/data/china/image_1908th/79953076.pdf", "79953076")</f>
        <v>79953076</v>
      </c>
      <c r="F1357" s="11" t="s">
        <v>3920</v>
      </c>
      <c r="G1357" s="11" t="s">
        <v>3921</v>
      </c>
      <c r="H1357" s="11" t="s">
        <v>3922</v>
      </c>
      <c r="I1357" s="11" t="s">
        <v>171</v>
      </c>
    </row>
    <row r="1358" spans="1:9" x14ac:dyDescent="0.15">
      <c r="A1358" s="10">
        <v>1357</v>
      </c>
      <c r="B1358" s="11" t="s">
        <v>9</v>
      </c>
      <c r="C1358" s="11" t="s">
        <v>179</v>
      </c>
      <c r="D1358" s="11" t="s">
        <v>180</v>
      </c>
      <c r="E1358" s="9" t="str">
        <f>+HYPERLINK("http://trademark.i-assist.jp/data/china/image_1908th/79954124.pdf", "79954124")</f>
        <v>79954124</v>
      </c>
      <c r="F1358" s="11" t="s">
        <v>3923</v>
      </c>
      <c r="G1358" s="11" t="s">
        <v>3924</v>
      </c>
      <c r="H1358" s="11" t="s">
        <v>3925</v>
      </c>
      <c r="I1358" s="11" t="s">
        <v>171</v>
      </c>
    </row>
    <row r="1359" spans="1:9" x14ac:dyDescent="0.15">
      <c r="A1359" s="10">
        <v>1358</v>
      </c>
      <c r="B1359" s="11" t="s">
        <v>9</v>
      </c>
      <c r="C1359" s="11" t="s">
        <v>179</v>
      </c>
      <c r="D1359" s="11" t="s">
        <v>180</v>
      </c>
      <c r="E1359" s="9" t="str">
        <f>+HYPERLINK("http://trademark.i-assist.jp/data/china/image_1908th/79954215.pdf", "79954215")</f>
        <v>79954215</v>
      </c>
      <c r="F1359" s="11" t="s">
        <v>3926</v>
      </c>
      <c r="G1359" s="11" t="s">
        <v>3927</v>
      </c>
      <c r="H1359" s="11" t="s">
        <v>3928</v>
      </c>
      <c r="I1359" s="11" t="s">
        <v>171</v>
      </c>
    </row>
    <row r="1360" spans="1:9" x14ac:dyDescent="0.15">
      <c r="A1360" s="10">
        <v>1359</v>
      </c>
      <c r="B1360" s="11" t="s">
        <v>9</v>
      </c>
      <c r="C1360" s="11" t="s">
        <v>179</v>
      </c>
      <c r="D1360" s="11" t="s">
        <v>180</v>
      </c>
      <c r="E1360" s="9" t="str">
        <f>+HYPERLINK("http://trademark.i-assist.jp/data/china/image_1908th/79954553.pdf", "79954553")</f>
        <v>79954553</v>
      </c>
      <c r="F1360" s="11" t="s">
        <v>3929</v>
      </c>
      <c r="G1360" s="11" t="s">
        <v>3930</v>
      </c>
      <c r="H1360" s="11" t="s">
        <v>3931</v>
      </c>
      <c r="I1360" s="11" t="s">
        <v>171</v>
      </c>
    </row>
    <row r="1361" spans="1:9" x14ac:dyDescent="0.15">
      <c r="A1361" s="10">
        <v>1360</v>
      </c>
      <c r="B1361" s="11" t="s">
        <v>9</v>
      </c>
      <c r="C1361" s="11" t="s">
        <v>179</v>
      </c>
      <c r="D1361" s="11" t="s">
        <v>180</v>
      </c>
      <c r="E1361" s="9" t="str">
        <f>+HYPERLINK("http://trademark.i-assist.jp/data/china/image_1908th/79954598.pdf", "79954598")</f>
        <v>79954598</v>
      </c>
      <c r="F1361" s="11" t="s">
        <v>3932</v>
      </c>
      <c r="G1361" s="11" t="s">
        <v>3933</v>
      </c>
      <c r="H1361" s="11" t="s">
        <v>3934</v>
      </c>
      <c r="I1361" s="11" t="s">
        <v>171</v>
      </c>
    </row>
    <row r="1362" spans="1:9" x14ac:dyDescent="0.15">
      <c r="A1362" s="10">
        <v>1361</v>
      </c>
      <c r="B1362" s="11" t="s">
        <v>9</v>
      </c>
      <c r="C1362" s="11" t="s">
        <v>179</v>
      </c>
      <c r="D1362" s="11" t="s">
        <v>180</v>
      </c>
      <c r="E1362" s="9" t="str">
        <f>+HYPERLINK("http://trademark.i-assist.jp/data/china/image_1908th/79954664.pdf", "79954664")</f>
        <v>79954664</v>
      </c>
      <c r="F1362" s="11" t="s">
        <v>3935</v>
      </c>
      <c r="G1362" s="11" t="s">
        <v>3936</v>
      </c>
      <c r="H1362" s="11" t="s">
        <v>3937</v>
      </c>
      <c r="I1362" s="11" t="s">
        <v>171</v>
      </c>
    </row>
    <row r="1363" spans="1:9" x14ac:dyDescent="0.15">
      <c r="A1363" s="10">
        <v>1362</v>
      </c>
      <c r="B1363" s="11" t="s">
        <v>9</v>
      </c>
      <c r="C1363" s="11" t="s">
        <v>179</v>
      </c>
      <c r="D1363" s="11" t="s">
        <v>180</v>
      </c>
      <c r="E1363" s="9" t="str">
        <f>+HYPERLINK("http://trademark.i-assist.jp/data/china/image_1908th/79954855.pdf", "79954855")</f>
        <v>79954855</v>
      </c>
      <c r="F1363" s="11" t="s">
        <v>3938</v>
      </c>
      <c r="G1363" s="11" t="s">
        <v>3939</v>
      </c>
      <c r="H1363" s="11" t="s">
        <v>3940</v>
      </c>
      <c r="I1363" s="11" t="s">
        <v>171</v>
      </c>
    </row>
    <row r="1364" spans="1:9" x14ac:dyDescent="0.15">
      <c r="A1364" s="10">
        <v>1363</v>
      </c>
      <c r="B1364" s="11" t="s">
        <v>9</v>
      </c>
      <c r="C1364" s="11" t="s">
        <v>179</v>
      </c>
      <c r="D1364" s="11" t="s">
        <v>180</v>
      </c>
      <c r="E1364" s="9" t="str">
        <f>+HYPERLINK("http://trademark.i-assist.jp/data/china/image_1908th/79955254.pdf", "79955254")</f>
        <v>79955254</v>
      </c>
      <c r="F1364" s="11" t="s">
        <v>3941</v>
      </c>
      <c r="G1364" s="11" t="s">
        <v>3942</v>
      </c>
      <c r="H1364" s="11" t="s">
        <v>3943</v>
      </c>
      <c r="I1364" s="11" t="s">
        <v>171</v>
      </c>
    </row>
    <row r="1365" spans="1:9" x14ac:dyDescent="0.15">
      <c r="A1365" s="10">
        <v>1364</v>
      </c>
      <c r="B1365" s="11" t="s">
        <v>9</v>
      </c>
      <c r="C1365" s="11" t="s">
        <v>179</v>
      </c>
      <c r="D1365" s="11" t="s">
        <v>180</v>
      </c>
      <c r="E1365" s="9" t="str">
        <f>+HYPERLINK("http://trademark.i-assist.jp/data/china/image_1908th/79955346.pdf", "79955346")</f>
        <v>79955346</v>
      </c>
      <c r="F1365" s="11" t="s">
        <v>3944</v>
      </c>
      <c r="G1365" s="11" t="s">
        <v>3945</v>
      </c>
      <c r="H1365" s="11" t="s">
        <v>3946</v>
      </c>
      <c r="I1365" s="11" t="s">
        <v>171</v>
      </c>
    </row>
    <row r="1366" spans="1:9" x14ac:dyDescent="0.15">
      <c r="A1366" s="10">
        <v>1365</v>
      </c>
      <c r="B1366" s="11" t="s">
        <v>9</v>
      </c>
      <c r="C1366" s="11" t="s">
        <v>179</v>
      </c>
      <c r="D1366" s="11" t="s">
        <v>180</v>
      </c>
      <c r="E1366" s="9" t="str">
        <f>+HYPERLINK("http://trademark.i-assist.jp/data/china/image_1908th/79955426.pdf", "79955426")</f>
        <v>79955426</v>
      </c>
      <c r="F1366" s="11" t="s">
        <v>3947</v>
      </c>
      <c r="G1366" s="11" t="s">
        <v>3948</v>
      </c>
      <c r="H1366" s="11" t="s">
        <v>3949</v>
      </c>
      <c r="I1366" s="11" t="s">
        <v>171</v>
      </c>
    </row>
    <row r="1367" spans="1:9" x14ac:dyDescent="0.15">
      <c r="A1367" s="10">
        <v>1366</v>
      </c>
      <c r="B1367" s="11" t="s">
        <v>9</v>
      </c>
      <c r="C1367" s="11" t="s">
        <v>179</v>
      </c>
      <c r="D1367" s="11" t="s">
        <v>180</v>
      </c>
      <c r="E1367" s="9" t="str">
        <f>+HYPERLINK("http://trademark.i-assist.jp/data/china/image_1908th/79955632.pdf", "79955632")</f>
        <v>79955632</v>
      </c>
      <c r="F1367" s="11" t="s">
        <v>10</v>
      </c>
      <c r="G1367" s="11" t="s">
        <v>3950</v>
      </c>
      <c r="H1367" s="11" t="s">
        <v>3951</v>
      </c>
      <c r="I1367" s="11" t="s">
        <v>171</v>
      </c>
    </row>
    <row r="1368" spans="1:9" x14ac:dyDescent="0.15">
      <c r="A1368" s="10">
        <v>1367</v>
      </c>
      <c r="B1368" s="11" t="s">
        <v>9</v>
      </c>
      <c r="C1368" s="11" t="s">
        <v>179</v>
      </c>
      <c r="D1368" s="11" t="s">
        <v>180</v>
      </c>
      <c r="E1368" s="9" t="str">
        <f>+HYPERLINK("http://trademark.i-assist.jp/data/china/image_1908th/79955708.pdf", "79955708")</f>
        <v>79955708</v>
      </c>
      <c r="F1368" s="11" t="s">
        <v>3952</v>
      </c>
      <c r="G1368" s="11" t="s">
        <v>172</v>
      </c>
      <c r="H1368" s="11" t="s">
        <v>3953</v>
      </c>
      <c r="I1368" s="11" t="s">
        <v>171</v>
      </c>
    </row>
    <row r="1369" spans="1:9" x14ac:dyDescent="0.15">
      <c r="A1369" s="10">
        <v>1368</v>
      </c>
      <c r="B1369" s="11" t="s">
        <v>9</v>
      </c>
      <c r="C1369" s="11" t="s">
        <v>179</v>
      </c>
      <c r="D1369" s="11" t="s">
        <v>180</v>
      </c>
      <c r="E1369" s="9" t="str">
        <f>+HYPERLINK("http://trademark.i-assist.jp/data/china/image_1908th/79955781.pdf", "79955781")</f>
        <v>79955781</v>
      </c>
      <c r="F1369" s="11" t="s">
        <v>3954</v>
      </c>
      <c r="G1369" s="11" t="s">
        <v>3812</v>
      </c>
      <c r="H1369" s="11" t="s">
        <v>3955</v>
      </c>
      <c r="I1369" s="11" t="s">
        <v>171</v>
      </c>
    </row>
    <row r="1370" spans="1:9" x14ac:dyDescent="0.15">
      <c r="A1370" s="10">
        <v>1369</v>
      </c>
      <c r="B1370" s="11" t="s">
        <v>9</v>
      </c>
      <c r="C1370" s="11" t="s">
        <v>179</v>
      </c>
      <c r="D1370" s="11" t="s">
        <v>180</v>
      </c>
      <c r="E1370" s="9" t="str">
        <f>+HYPERLINK("http://trademark.i-assist.jp/data/china/image_1908th/79956352.pdf", "79956352")</f>
        <v>79956352</v>
      </c>
      <c r="F1370" s="11" t="s">
        <v>3956</v>
      </c>
      <c r="G1370" s="11" t="s">
        <v>3957</v>
      </c>
      <c r="H1370" s="11" t="s">
        <v>3958</v>
      </c>
      <c r="I1370" s="11" t="s">
        <v>171</v>
      </c>
    </row>
    <row r="1371" spans="1:9" x14ac:dyDescent="0.15">
      <c r="A1371" s="10">
        <v>1370</v>
      </c>
      <c r="B1371" s="11" t="s">
        <v>9</v>
      </c>
      <c r="C1371" s="11" t="s">
        <v>179</v>
      </c>
      <c r="D1371" s="11" t="s">
        <v>180</v>
      </c>
      <c r="E1371" s="9" t="str">
        <f>+HYPERLINK("http://trademark.i-assist.jp/data/china/image_1908th/79956603.pdf", "79956603")</f>
        <v>79956603</v>
      </c>
      <c r="F1371" s="11" t="s">
        <v>3959</v>
      </c>
      <c r="G1371" s="11" t="s">
        <v>3960</v>
      </c>
      <c r="H1371" s="11" t="s">
        <v>3961</v>
      </c>
      <c r="I1371" s="11" t="s">
        <v>171</v>
      </c>
    </row>
    <row r="1372" spans="1:9" x14ac:dyDescent="0.15">
      <c r="A1372" s="10">
        <v>1371</v>
      </c>
      <c r="B1372" s="11" t="s">
        <v>9</v>
      </c>
      <c r="C1372" s="11" t="s">
        <v>179</v>
      </c>
      <c r="D1372" s="11" t="s">
        <v>180</v>
      </c>
      <c r="E1372" s="9" t="str">
        <f>+HYPERLINK("http://trademark.i-assist.jp/data/china/image_1908th/79957124.pdf", "79957124")</f>
        <v>79957124</v>
      </c>
      <c r="F1372" s="11" t="s">
        <v>3962</v>
      </c>
      <c r="G1372" s="11" t="s">
        <v>3963</v>
      </c>
      <c r="H1372" s="11" t="s">
        <v>3964</v>
      </c>
      <c r="I1372" s="11" t="s">
        <v>171</v>
      </c>
    </row>
    <row r="1373" spans="1:9" x14ac:dyDescent="0.15">
      <c r="A1373" s="10">
        <v>1372</v>
      </c>
      <c r="B1373" s="11" t="s">
        <v>9</v>
      </c>
      <c r="C1373" s="11" t="s">
        <v>179</v>
      </c>
      <c r="D1373" s="11" t="s">
        <v>180</v>
      </c>
      <c r="E1373" s="9" t="str">
        <f>+HYPERLINK("http://trademark.i-assist.jp/data/china/image_1908th/79957325.pdf", "79957325")</f>
        <v>79957325</v>
      </c>
      <c r="F1373" s="11" t="s">
        <v>3965</v>
      </c>
      <c r="G1373" s="11" t="s">
        <v>3736</v>
      </c>
      <c r="H1373" s="11" t="s">
        <v>3966</v>
      </c>
      <c r="I1373" s="11" t="s">
        <v>171</v>
      </c>
    </row>
    <row r="1374" spans="1:9" x14ac:dyDescent="0.15">
      <c r="A1374" s="10">
        <v>1373</v>
      </c>
      <c r="B1374" s="11" t="s">
        <v>9</v>
      </c>
      <c r="C1374" s="11" t="s">
        <v>179</v>
      </c>
      <c r="D1374" s="11" t="s">
        <v>180</v>
      </c>
      <c r="E1374" s="9" t="str">
        <f>+HYPERLINK("http://trademark.i-assist.jp/data/china/image_1908th/79957340.pdf", "79957340")</f>
        <v>79957340</v>
      </c>
      <c r="F1374" s="11" t="s">
        <v>3967</v>
      </c>
      <c r="G1374" s="11" t="s">
        <v>3736</v>
      </c>
      <c r="H1374" s="11" t="s">
        <v>3968</v>
      </c>
      <c r="I1374" s="11" t="s">
        <v>171</v>
      </c>
    </row>
    <row r="1375" spans="1:9" x14ac:dyDescent="0.15">
      <c r="A1375" s="10">
        <v>1374</v>
      </c>
      <c r="B1375" s="11" t="s">
        <v>9</v>
      </c>
      <c r="C1375" s="11" t="s">
        <v>179</v>
      </c>
      <c r="D1375" s="11" t="s">
        <v>180</v>
      </c>
      <c r="E1375" s="9" t="str">
        <f>+HYPERLINK("http://trademark.i-assist.jp/data/china/image_1908th/79957497.pdf", "79957497")</f>
        <v>79957497</v>
      </c>
      <c r="F1375" s="11" t="s">
        <v>3969</v>
      </c>
      <c r="G1375" s="11" t="s">
        <v>3970</v>
      </c>
      <c r="H1375" s="11" t="s">
        <v>3971</v>
      </c>
      <c r="I1375" s="11" t="s">
        <v>171</v>
      </c>
    </row>
    <row r="1376" spans="1:9" x14ac:dyDescent="0.15">
      <c r="A1376" s="10">
        <v>1375</v>
      </c>
      <c r="B1376" s="11" t="s">
        <v>9</v>
      </c>
      <c r="C1376" s="11" t="s">
        <v>179</v>
      </c>
      <c r="D1376" s="11" t="s">
        <v>180</v>
      </c>
      <c r="E1376" s="9" t="str">
        <f>+HYPERLINK("http://trademark.i-assist.jp/data/china/image_1908th/79957625.pdf", "79957625")</f>
        <v>79957625</v>
      </c>
      <c r="F1376" s="11" t="s">
        <v>3972</v>
      </c>
      <c r="G1376" s="11" t="s">
        <v>3973</v>
      </c>
      <c r="H1376" s="11" t="s">
        <v>3974</v>
      </c>
      <c r="I1376" s="11" t="s">
        <v>171</v>
      </c>
    </row>
    <row r="1377" spans="1:9" x14ac:dyDescent="0.15">
      <c r="A1377" s="10">
        <v>1376</v>
      </c>
      <c r="B1377" s="11" t="s">
        <v>9</v>
      </c>
      <c r="C1377" s="11" t="s">
        <v>179</v>
      </c>
      <c r="D1377" s="11" t="s">
        <v>180</v>
      </c>
      <c r="E1377" s="9" t="str">
        <f>+HYPERLINK("http://trademark.i-assist.jp/data/china/image_1908th/79958172.pdf", "79958172")</f>
        <v>79958172</v>
      </c>
      <c r="F1377" s="11" t="s">
        <v>3975</v>
      </c>
      <c r="G1377" s="11" t="s">
        <v>3786</v>
      </c>
      <c r="H1377" s="11" t="s">
        <v>3976</v>
      </c>
      <c r="I1377" s="11" t="s">
        <v>171</v>
      </c>
    </row>
    <row r="1378" spans="1:9" x14ac:dyDescent="0.15">
      <c r="A1378" s="10">
        <v>1377</v>
      </c>
      <c r="B1378" s="11" t="s">
        <v>9</v>
      </c>
      <c r="C1378" s="11" t="s">
        <v>179</v>
      </c>
      <c r="D1378" s="11" t="s">
        <v>180</v>
      </c>
      <c r="E1378" s="9" t="str">
        <f>+HYPERLINK("http://trademark.i-assist.jp/data/china/image_1908th/79958258.pdf", "79958258")</f>
        <v>79958258</v>
      </c>
      <c r="F1378" s="11" t="s">
        <v>3977</v>
      </c>
      <c r="G1378" s="11" t="s">
        <v>3978</v>
      </c>
      <c r="H1378" s="11" t="s">
        <v>220</v>
      </c>
      <c r="I1378" s="11" t="s">
        <v>171</v>
      </c>
    </row>
    <row r="1379" spans="1:9" x14ac:dyDescent="0.15">
      <c r="A1379" s="10">
        <v>1378</v>
      </c>
      <c r="B1379" s="11" t="s">
        <v>9</v>
      </c>
      <c r="C1379" s="11" t="s">
        <v>179</v>
      </c>
      <c r="D1379" s="11" t="s">
        <v>180</v>
      </c>
      <c r="E1379" s="9" t="str">
        <f>+HYPERLINK("http://trademark.i-assist.jp/data/china/image_1908th/79958325.pdf", "79958325")</f>
        <v>79958325</v>
      </c>
      <c r="F1379" s="11" t="s">
        <v>3979</v>
      </c>
      <c r="G1379" s="11" t="s">
        <v>3980</v>
      </c>
      <c r="H1379" s="11" t="s">
        <v>3981</v>
      </c>
      <c r="I1379" s="11" t="s">
        <v>171</v>
      </c>
    </row>
    <row r="1380" spans="1:9" x14ac:dyDescent="0.15">
      <c r="A1380" s="10">
        <v>1379</v>
      </c>
      <c r="B1380" s="11" t="s">
        <v>9</v>
      </c>
      <c r="C1380" s="11" t="s">
        <v>179</v>
      </c>
      <c r="D1380" s="11" t="s">
        <v>180</v>
      </c>
      <c r="E1380" s="9" t="str">
        <f>+HYPERLINK("http://trademark.i-assist.jp/data/china/image_1908th/79958426.pdf", "79958426")</f>
        <v>79958426</v>
      </c>
      <c r="F1380" s="11" t="s">
        <v>3982</v>
      </c>
      <c r="G1380" s="11" t="s">
        <v>3983</v>
      </c>
      <c r="H1380" s="11" t="s">
        <v>3984</v>
      </c>
      <c r="I1380" s="11" t="s">
        <v>171</v>
      </c>
    </row>
    <row r="1381" spans="1:9" x14ac:dyDescent="0.15">
      <c r="A1381" s="10">
        <v>1380</v>
      </c>
      <c r="B1381" s="11" t="s">
        <v>9</v>
      </c>
      <c r="C1381" s="11" t="s">
        <v>179</v>
      </c>
      <c r="D1381" s="11" t="s">
        <v>180</v>
      </c>
      <c r="E1381" s="9" t="str">
        <f>+HYPERLINK("http://trademark.i-assist.jp/data/china/image_1908th/79958589.pdf", "79958589")</f>
        <v>79958589</v>
      </c>
      <c r="F1381" s="11" t="s">
        <v>3985</v>
      </c>
      <c r="G1381" s="11" t="s">
        <v>3986</v>
      </c>
      <c r="H1381" s="11" t="s">
        <v>3987</v>
      </c>
      <c r="I1381" s="11" t="s">
        <v>171</v>
      </c>
    </row>
    <row r="1382" spans="1:9" x14ac:dyDescent="0.15">
      <c r="A1382" s="10">
        <v>1381</v>
      </c>
      <c r="B1382" s="11" t="s">
        <v>9</v>
      </c>
      <c r="C1382" s="11" t="s">
        <v>179</v>
      </c>
      <c r="D1382" s="11" t="s">
        <v>180</v>
      </c>
      <c r="E1382" s="9" t="str">
        <f>+HYPERLINK("http://trademark.i-assist.jp/data/china/image_1908th/79958758.pdf", "79958758")</f>
        <v>79958758</v>
      </c>
      <c r="F1382" s="11" t="s">
        <v>3988</v>
      </c>
      <c r="G1382" s="11" t="s">
        <v>3989</v>
      </c>
      <c r="H1382" s="11" t="s">
        <v>3990</v>
      </c>
      <c r="I1382" s="11" t="s">
        <v>171</v>
      </c>
    </row>
    <row r="1383" spans="1:9" x14ac:dyDescent="0.15">
      <c r="A1383" s="10">
        <v>1382</v>
      </c>
      <c r="B1383" s="11" t="s">
        <v>9</v>
      </c>
      <c r="C1383" s="11" t="s">
        <v>179</v>
      </c>
      <c r="D1383" s="11" t="s">
        <v>180</v>
      </c>
      <c r="E1383" s="9" t="str">
        <f>+HYPERLINK("http://trademark.i-assist.jp/data/china/image_1908th/79959121.pdf", "79959121")</f>
        <v>79959121</v>
      </c>
      <c r="F1383" s="11" t="s">
        <v>3991</v>
      </c>
      <c r="G1383" s="11" t="s">
        <v>169</v>
      </c>
      <c r="H1383" s="11" t="s">
        <v>3992</v>
      </c>
      <c r="I1383" s="11" t="s">
        <v>171</v>
      </c>
    </row>
    <row r="1384" spans="1:9" x14ac:dyDescent="0.15">
      <c r="A1384" s="10">
        <v>1383</v>
      </c>
      <c r="B1384" s="11" t="s">
        <v>9</v>
      </c>
      <c r="C1384" s="11" t="s">
        <v>179</v>
      </c>
      <c r="D1384" s="11" t="s">
        <v>180</v>
      </c>
      <c r="E1384" s="9" t="str">
        <f>+HYPERLINK("http://trademark.i-assist.jp/data/china/image_1908th/79959172.pdf", "79959172")</f>
        <v>79959172</v>
      </c>
      <c r="F1384" s="11" t="s">
        <v>3993</v>
      </c>
      <c r="G1384" s="11" t="s">
        <v>3994</v>
      </c>
      <c r="H1384" s="11" t="s">
        <v>3995</v>
      </c>
      <c r="I1384" s="11" t="s">
        <v>171</v>
      </c>
    </row>
    <row r="1385" spans="1:9" x14ac:dyDescent="0.15">
      <c r="A1385" s="10">
        <v>1384</v>
      </c>
      <c r="B1385" s="11" t="s">
        <v>9</v>
      </c>
      <c r="C1385" s="11" t="s">
        <v>179</v>
      </c>
      <c r="D1385" s="11" t="s">
        <v>180</v>
      </c>
      <c r="E1385" s="9" t="str">
        <f>+HYPERLINK("http://trademark.i-assist.jp/data/china/image_1908th/79959220.pdf", "79959220")</f>
        <v>79959220</v>
      </c>
      <c r="F1385" s="11" t="s">
        <v>3996</v>
      </c>
      <c r="G1385" s="11" t="s">
        <v>3997</v>
      </c>
      <c r="H1385" s="11" t="s">
        <v>3998</v>
      </c>
      <c r="I1385" s="11" t="s">
        <v>171</v>
      </c>
    </row>
    <row r="1386" spans="1:9" x14ac:dyDescent="0.15">
      <c r="A1386" s="10">
        <v>1385</v>
      </c>
      <c r="B1386" s="11" t="s">
        <v>9</v>
      </c>
      <c r="C1386" s="11" t="s">
        <v>179</v>
      </c>
      <c r="D1386" s="11" t="s">
        <v>180</v>
      </c>
      <c r="E1386" s="9" t="str">
        <f>+HYPERLINK("http://trademark.i-assist.jp/data/china/image_1908th/79959271.pdf", "79959271")</f>
        <v>79959271</v>
      </c>
      <c r="F1386" s="11" t="s">
        <v>3999</v>
      </c>
      <c r="G1386" s="11" t="s">
        <v>4000</v>
      </c>
      <c r="H1386" s="11" t="s">
        <v>4001</v>
      </c>
      <c r="I1386" s="11" t="s">
        <v>171</v>
      </c>
    </row>
    <row r="1387" spans="1:9" x14ac:dyDescent="0.15">
      <c r="A1387" s="10">
        <v>1386</v>
      </c>
      <c r="B1387" s="11" t="s">
        <v>9</v>
      </c>
      <c r="C1387" s="11" t="s">
        <v>179</v>
      </c>
      <c r="D1387" s="11" t="s">
        <v>180</v>
      </c>
      <c r="E1387" s="9" t="str">
        <f>+HYPERLINK("http://trademark.i-assist.jp/data/china/image_1908th/79959822.pdf", "79959822")</f>
        <v>79959822</v>
      </c>
      <c r="F1387" s="11" t="s">
        <v>4002</v>
      </c>
      <c r="G1387" s="11" t="s">
        <v>4003</v>
      </c>
      <c r="H1387" s="11" t="s">
        <v>4004</v>
      </c>
      <c r="I1387" s="11" t="s">
        <v>171</v>
      </c>
    </row>
    <row r="1388" spans="1:9" x14ac:dyDescent="0.15">
      <c r="A1388" s="10">
        <v>1387</v>
      </c>
      <c r="B1388" s="11" t="s">
        <v>9</v>
      </c>
      <c r="C1388" s="11" t="s">
        <v>179</v>
      </c>
      <c r="D1388" s="11" t="s">
        <v>180</v>
      </c>
      <c r="E1388" s="9" t="str">
        <f>+HYPERLINK("http://trademark.i-assist.jp/data/china/image_1908th/79959962.pdf", "79959962")</f>
        <v>79959962</v>
      </c>
      <c r="F1388" s="11" t="s">
        <v>4005</v>
      </c>
      <c r="G1388" s="11" t="s">
        <v>3736</v>
      </c>
      <c r="H1388" s="11" t="s">
        <v>4006</v>
      </c>
      <c r="I1388" s="11" t="s">
        <v>171</v>
      </c>
    </row>
    <row r="1389" spans="1:9" x14ac:dyDescent="0.15">
      <c r="A1389" s="10">
        <v>1388</v>
      </c>
      <c r="B1389" s="11" t="s">
        <v>9</v>
      </c>
      <c r="C1389" s="11" t="s">
        <v>179</v>
      </c>
      <c r="D1389" s="11" t="s">
        <v>180</v>
      </c>
      <c r="E1389" s="9" t="str">
        <f>+HYPERLINK("http://trademark.i-assist.jp/data/china/image_1908th/79960326.pdf", "79960326")</f>
        <v>79960326</v>
      </c>
      <c r="F1389" s="11" t="s">
        <v>4007</v>
      </c>
      <c r="G1389" s="11" t="s">
        <v>3736</v>
      </c>
      <c r="H1389" s="11" t="s">
        <v>4008</v>
      </c>
      <c r="I1389" s="11" t="s">
        <v>171</v>
      </c>
    </row>
    <row r="1390" spans="1:9" x14ac:dyDescent="0.15">
      <c r="A1390" s="10">
        <v>1389</v>
      </c>
      <c r="B1390" s="11" t="s">
        <v>9</v>
      </c>
      <c r="C1390" s="11" t="s">
        <v>179</v>
      </c>
      <c r="D1390" s="11" t="s">
        <v>180</v>
      </c>
      <c r="E1390" s="9" t="str">
        <f>+HYPERLINK("http://trademark.i-assist.jp/data/china/image_1908th/79960523.pdf", "79960523")</f>
        <v>79960523</v>
      </c>
      <c r="F1390" s="11" t="s">
        <v>4009</v>
      </c>
      <c r="G1390" s="11" t="s">
        <v>3930</v>
      </c>
      <c r="H1390" s="11" t="s">
        <v>4010</v>
      </c>
      <c r="I1390" s="11" t="s">
        <v>171</v>
      </c>
    </row>
    <row r="1391" spans="1:9" x14ac:dyDescent="0.15">
      <c r="A1391" s="10">
        <v>1390</v>
      </c>
      <c r="B1391" s="11" t="s">
        <v>9</v>
      </c>
      <c r="C1391" s="11" t="s">
        <v>179</v>
      </c>
      <c r="D1391" s="11" t="s">
        <v>180</v>
      </c>
      <c r="E1391" s="9" t="str">
        <f>+HYPERLINK("http://trademark.i-assist.jp/data/china/image_1908th/79961001.pdf", "79961001")</f>
        <v>79961001</v>
      </c>
      <c r="F1391" s="11" t="s">
        <v>4011</v>
      </c>
      <c r="G1391" s="11" t="s">
        <v>4012</v>
      </c>
      <c r="H1391" s="11" t="s">
        <v>4013</v>
      </c>
      <c r="I1391" s="11" t="s">
        <v>171</v>
      </c>
    </row>
    <row r="1392" spans="1:9" x14ac:dyDescent="0.15">
      <c r="A1392" s="10">
        <v>1391</v>
      </c>
      <c r="B1392" s="11" t="s">
        <v>9</v>
      </c>
      <c r="C1392" s="11" t="s">
        <v>179</v>
      </c>
      <c r="D1392" s="11" t="s">
        <v>180</v>
      </c>
      <c r="E1392" s="9" t="str">
        <f>+HYPERLINK("http://trademark.i-assist.jp/data/china/image_1908th/79961341.pdf", "79961341")</f>
        <v>79961341</v>
      </c>
      <c r="F1392" s="11" t="s">
        <v>10</v>
      </c>
      <c r="G1392" s="11" t="s">
        <v>4014</v>
      </c>
      <c r="H1392" s="11" t="s">
        <v>4015</v>
      </c>
      <c r="I1392" s="11" t="s">
        <v>171</v>
      </c>
    </row>
    <row r="1393" spans="1:9" x14ac:dyDescent="0.15">
      <c r="A1393" s="10">
        <v>1392</v>
      </c>
      <c r="B1393" s="11" t="s">
        <v>9</v>
      </c>
      <c r="C1393" s="11" t="s">
        <v>179</v>
      </c>
      <c r="D1393" s="11" t="s">
        <v>180</v>
      </c>
      <c r="E1393" s="9" t="str">
        <f>+HYPERLINK("http://trademark.i-assist.jp/data/china/image_1908th/79961386.pdf", "79961386")</f>
        <v>79961386</v>
      </c>
      <c r="F1393" s="11" t="s">
        <v>4016</v>
      </c>
      <c r="G1393" s="11" t="s">
        <v>4017</v>
      </c>
      <c r="H1393" s="11" t="s">
        <v>4018</v>
      </c>
      <c r="I1393" s="11" t="s">
        <v>171</v>
      </c>
    </row>
    <row r="1394" spans="1:9" x14ac:dyDescent="0.15">
      <c r="A1394" s="10">
        <v>1393</v>
      </c>
      <c r="B1394" s="11" t="s">
        <v>9</v>
      </c>
      <c r="C1394" s="11" t="s">
        <v>179</v>
      </c>
      <c r="D1394" s="11" t="s">
        <v>180</v>
      </c>
      <c r="E1394" s="9" t="str">
        <f>+HYPERLINK("http://trademark.i-assist.jp/data/china/image_1908th/79961762.pdf", "79961762")</f>
        <v>79961762</v>
      </c>
      <c r="F1394" s="11" t="s">
        <v>4019</v>
      </c>
      <c r="G1394" s="11" t="s">
        <v>3831</v>
      </c>
      <c r="H1394" s="11" t="s">
        <v>4020</v>
      </c>
      <c r="I1394" s="11" t="s">
        <v>171</v>
      </c>
    </row>
    <row r="1395" spans="1:9" x14ac:dyDescent="0.15">
      <c r="A1395" s="10">
        <v>1394</v>
      </c>
      <c r="B1395" s="11" t="s">
        <v>9</v>
      </c>
      <c r="C1395" s="11" t="s">
        <v>179</v>
      </c>
      <c r="D1395" s="11" t="s">
        <v>180</v>
      </c>
      <c r="E1395" s="9" t="str">
        <f>+HYPERLINK("http://trademark.i-assist.jp/data/china/image_1908th/79961892.pdf", "79961892")</f>
        <v>79961892</v>
      </c>
      <c r="F1395" s="11" t="s">
        <v>4021</v>
      </c>
      <c r="G1395" s="11" t="s">
        <v>4022</v>
      </c>
      <c r="H1395" s="11" t="s">
        <v>4023</v>
      </c>
      <c r="I1395" s="11" t="s">
        <v>171</v>
      </c>
    </row>
    <row r="1396" spans="1:9" x14ac:dyDescent="0.15">
      <c r="A1396" s="10">
        <v>1395</v>
      </c>
      <c r="B1396" s="11" t="s">
        <v>9</v>
      </c>
      <c r="C1396" s="11" t="s">
        <v>179</v>
      </c>
      <c r="D1396" s="11" t="s">
        <v>180</v>
      </c>
      <c r="E1396" s="9" t="str">
        <f>+HYPERLINK("http://trademark.i-assist.jp/data/china/image_1908th/79962000.pdf", "79962000")</f>
        <v>79962000</v>
      </c>
      <c r="F1396" s="11" t="s">
        <v>4024</v>
      </c>
      <c r="G1396" s="11" t="s">
        <v>4025</v>
      </c>
      <c r="H1396" s="11" t="s">
        <v>4026</v>
      </c>
      <c r="I1396" s="11" t="s">
        <v>171</v>
      </c>
    </row>
    <row r="1397" spans="1:9" x14ac:dyDescent="0.15">
      <c r="A1397" s="10">
        <v>1396</v>
      </c>
      <c r="B1397" s="11" t="s">
        <v>9</v>
      </c>
      <c r="C1397" s="11" t="s">
        <v>179</v>
      </c>
      <c r="D1397" s="11" t="s">
        <v>180</v>
      </c>
      <c r="E1397" s="9" t="str">
        <f>+HYPERLINK("http://trademark.i-assist.jp/data/china/image_1908th/79962103.pdf", "79962103")</f>
        <v>79962103</v>
      </c>
      <c r="F1397" s="11" t="s">
        <v>4027</v>
      </c>
      <c r="G1397" s="11" t="s">
        <v>4028</v>
      </c>
      <c r="H1397" s="11" t="s">
        <v>4029</v>
      </c>
      <c r="I1397" s="11" t="s">
        <v>171</v>
      </c>
    </row>
    <row r="1398" spans="1:9" x14ac:dyDescent="0.15">
      <c r="A1398" s="10">
        <v>1397</v>
      </c>
      <c r="B1398" s="11" t="s">
        <v>9</v>
      </c>
      <c r="C1398" s="11" t="s">
        <v>179</v>
      </c>
      <c r="D1398" s="11" t="s">
        <v>180</v>
      </c>
      <c r="E1398" s="9" t="str">
        <f>+HYPERLINK("http://trademark.i-assist.jp/data/china/image_1908th/79962278.pdf", "79962278")</f>
        <v>79962278</v>
      </c>
      <c r="F1398" s="11" t="s">
        <v>4030</v>
      </c>
      <c r="G1398" s="11" t="s">
        <v>3904</v>
      </c>
      <c r="H1398" s="11" t="s">
        <v>4031</v>
      </c>
      <c r="I1398" s="11" t="s">
        <v>171</v>
      </c>
    </row>
    <row r="1399" spans="1:9" x14ac:dyDescent="0.15">
      <c r="A1399" s="10">
        <v>1398</v>
      </c>
      <c r="B1399" s="11" t="s">
        <v>9</v>
      </c>
      <c r="C1399" s="11" t="s">
        <v>179</v>
      </c>
      <c r="D1399" s="11" t="s">
        <v>180</v>
      </c>
      <c r="E1399" s="9" t="str">
        <f>+HYPERLINK("http://trademark.i-assist.jp/data/china/image_1908th/79962549.pdf", "79962549")</f>
        <v>79962549</v>
      </c>
      <c r="F1399" s="11" t="s">
        <v>4032</v>
      </c>
      <c r="G1399" s="11" t="s">
        <v>4033</v>
      </c>
      <c r="H1399" s="11" t="s">
        <v>4034</v>
      </c>
      <c r="I1399" s="11" t="s">
        <v>171</v>
      </c>
    </row>
    <row r="1400" spans="1:9" x14ac:dyDescent="0.15">
      <c r="A1400" s="10">
        <v>1399</v>
      </c>
      <c r="B1400" s="11" t="s">
        <v>9</v>
      </c>
      <c r="C1400" s="11" t="s">
        <v>179</v>
      </c>
      <c r="D1400" s="11" t="s">
        <v>180</v>
      </c>
      <c r="E1400" s="9" t="str">
        <f>+HYPERLINK("http://trademark.i-assist.jp/data/china/image_1908th/79963286.pdf", "79963286")</f>
        <v>79963286</v>
      </c>
      <c r="F1400" s="11" t="s">
        <v>4035</v>
      </c>
      <c r="G1400" s="11" t="s">
        <v>4036</v>
      </c>
      <c r="H1400" s="11" t="s">
        <v>4037</v>
      </c>
      <c r="I1400" s="11" t="s">
        <v>175</v>
      </c>
    </row>
    <row r="1401" spans="1:9" x14ac:dyDescent="0.15">
      <c r="A1401" s="10">
        <v>1400</v>
      </c>
      <c r="B1401" s="11" t="s">
        <v>9</v>
      </c>
      <c r="C1401" s="11" t="s">
        <v>179</v>
      </c>
      <c r="D1401" s="11" t="s">
        <v>180</v>
      </c>
      <c r="E1401" s="9" t="str">
        <f>+HYPERLINK("http://trademark.i-assist.jp/data/china/image_1908th/79963314.pdf", "79963314")</f>
        <v>79963314</v>
      </c>
      <c r="F1401" s="11" t="s">
        <v>4038</v>
      </c>
      <c r="G1401" s="11" t="s">
        <v>4039</v>
      </c>
      <c r="H1401" s="11" t="s">
        <v>4040</v>
      </c>
      <c r="I1401" s="11" t="s">
        <v>175</v>
      </c>
    </row>
    <row r="1402" spans="1:9" x14ac:dyDescent="0.15">
      <c r="A1402" s="10">
        <v>1401</v>
      </c>
      <c r="B1402" s="11" t="s">
        <v>9</v>
      </c>
      <c r="C1402" s="11" t="s">
        <v>179</v>
      </c>
      <c r="D1402" s="11" t="s">
        <v>180</v>
      </c>
      <c r="E1402" s="9" t="str">
        <f>+HYPERLINK("http://trademark.i-assist.jp/data/china/image_1908th/79964557.pdf", "79964557")</f>
        <v>79964557</v>
      </c>
      <c r="F1402" s="11" t="s">
        <v>4041</v>
      </c>
      <c r="G1402" s="11" t="s">
        <v>4042</v>
      </c>
      <c r="H1402" s="11" t="s">
        <v>4043</v>
      </c>
      <c r="I1402" s="11" t="s">
        <v>175</v>
      </c>
    </row>
    <row r="1403" spans="1:9" x14ac:dyDescent="0.15">
      <c r="A1403" s="10">
        <v>1402</v>
      </c>
      <c r="B1403" s="11" t="s">
        <v>9</v>
      </c>
      <c r="C1403" s="11" t="s">
        <v>179</v>
      </c>
      <c r="D1403" s="11" t="s">
        <v>180</v>
      </c>
      <c r="E1403" s="9" t="str">
        <f>+HYPERLINK("http://trademark.i-assist.jp/data/china/image_1908th/79964779.pdf", "79964779")</f>
        <v>79964779</v>
      </c>
      <c r="F1403" s="11" t="s">
        <v>4044</v>
      </c>
      <c r="G1403" s="11" t="s">
        <v>4045</v>
      </c>
      <c r="H1403" s="11" t="s">
        <v>4046</v>
      </c>
      <c r="I1403" s="11" t="s">
        <v>175</v>
      </c>
    </row>
    <row r="1404" spans="1:9" x14ac:dyDescent="0.15">
      <c r="A1404" s="10">
        <v>1403</v>
      </c>
      <c r="B1404" s="11" t="s">
        <v>9</v>
      </c>
      <c r="C1404" s="11" t="s">
        <v>179</v>
      </c>
      <c r="D1404" s="11" t="s">
        <v>180</v>
      </c>
      <c r="E1404" s="9" t="str">
        <f>+HYPERLINK("http://trademark.i-assist.jp/data/china/image_1908th/79964849.pdf", "79964849")</f>
        <v>79964849</v>
      </c>
      <c r="F1404" s="11" t="s">
        <v>4047</v>
      </c>
      <c r="G1404" s="11" t="s">
        <v>1626</v>
      </c>
      <c r="H1404" s="11" t="s">
        <v>4048</v>
      </c>
      <c r="I1404" s="11" t="s">
        <v>175</v>
      </c>
    </row>
    <row r="1405" spans="1:9" x14ac:dyDescent="0.15">
      <c r="A1405" s="10">
        <v>1404</v>
      </c>
      <c r="B1405" s="11" t="s">
        <v>9</v>
      </c>
      <c r="C1405" s="11" t="s">
        <v>179</v>
      </c>
      <c r="D1405" s="11" t="s">
        <v>180</v>
      </c>
      <c r="E1405" s="9" t="str">
        <f>+HYPERLINK("http://trademark.i-assist.jp/data/china/image_1908th/79965062.pdf", "79965062")</f>
        <v>79965062</v>
      </c>
      <c r="F1405" s="11" t="s">
        <v>4049</v>
      </c>
      <c r="G1405" s="11" t="s">
        <v>4050</v>
      </c>
      <c r="H1405" s="11" t="s">
        <v>4051</v>
      </c>
      <c r="I1405" s="11" t="s">
        <v>175</v>
      </c>
    </row>
    <row r="1406" spans="1:9" x14ac:dyDescent="0.15">
      <c r="A1406" s="10">
        <v>1405</v>
      </c>
      <c r="B1406" s="11" t="s">
        <v>9</v>
      </c>
      <c r="C1406" s="11" t="s">
        <v>179</v>
      </c>
      <c r="D1406" s="11" t="s">
        <v>180</v>
      </c>
      <c r="E1406" s="9" t="str">
        <f>+HYPERLINK("http://trademark.i-assist.jp/data/china/image_1908th/79965150.pdf", "79965150")</f>
        <v>79965150</v>
      </c>
      <c r="F1406" s="11" t="s">
        <v>4052</v>
      </c>
      <c r="G1406" s="11" t="s">
        <v>4053</v>
      </c>
      <c r="H1406" s="11" t="s">
        <v>4054</v>
      </c>
      <c r="I1406" s="11" t="s">
        <v>175</v>
      </c>
    </row>
    <row r="1407" spans="1:9" x14ac:dyDescent="0.15">
      <c r="A1407" s="10">
        <v>1406</v>
      </c>
      <c r="B1407" s="11" t="s">
        <v>9</v>
      </c>
      <c r="C1407" s="11" t="s">
        <v>179</v>
      </c>
      <c r="D1407" s="11" t="s">
        <v>180</v>
      </c>
      <c r="E1407" s="9" t="str">
        <f>+HYPERLINK("http://trademark.i-assist.jp/data/china/image_1908th/79965531.pdf", "79965531")</f>
        <v>79965531</v>
      </c>
      <c r="F1407" s="11" t="s">
        <v>4055</v>
      </c>
      <c r="G1407" s="11" t="s">
        <v>4056</v>
      </c>
      <c r="H1407" s="11" t="s">
        <v>4057</v>
      </c>
      <c r="I1407" s="11" t="s">
        <v>175</v>
      </c>
    </row>
    <row r="1408" spans="1:9" x14ac:dyDescent="0.15">
      <c r="A1408" s="10">
        <v>1407</v>
      </c>
      <c r="B1408" s="11" t="s">
        <v>9</v>
      </c>
      <c r="C1408" s="11" t="s">
        <v>179</v>
      </c>
      <c r="D1408" s="11" t="s">
        <v>180</v>
      </c>
      <c r="E1408" s="9" t="str">
        <f>+HYPERLINK("http://trademark.i-assist.jp/data/china/image_1908th/79965635.pdf", "79965635")</f>
        <v>79965635</v>
      </c>
      <c r="F1408" s="11" t="s">
        <v>4058</v>
      </c>
      <c r="G1408" s="11" t="s">
        <v>4059</v>
      </c>
      <c r="H1408" s="11" t="s">
        <v>4060</v>
      </c>
      <c r="I1408" s="11" t="s">
        <v>175</v>
      </c>
    </row>
    <row r="1409" spans="1:9" x14ac:dyDescent="0.15">
      <c r="A1409" s="10">
        <v>1408</v>
      </c>
      <c r="B1409" s="11" t="s">
        <v>9</v>
      </c>
      <c r="C1409" s="11" t="s">
        <v>179</v>
      </c>
      <c r="D1409" s="11" t="s">
        <v>180</v>
      </c>
      <c r="E1409" s="9" t="str">
        <f>+HYPERLINK("http://trademark.i-assist.jp/data/china/image_1908th/79965684.pdf", "79965684")</f>
        <v>79965684</v>
      </c>
      <c r="F1409" s="11" t="s">
        <v>4061</v>
      </c>
      <c r="G1409" s="11" t="s">
        <v>4062</v>
      </c>
      <c r="H1409" s="11" t="s">
        <v>4063</v>
      </c>
      <c r="I1409" s="11" t="s">
        <v>175</v>
      </c>
    </row>
    <row r="1410" spans="1:9" x14ac:dyDescent="0.15">
      <c r="A1410" s="10">
        <v>1409</v>
      </c>
      <c r="B1410" s="11" t="s">
        <v>9</v>
      </c>
      <c r="C1410" s="11" t="s">
        <v>179</v>
      </c>
      <c r="D1410" s="11" t="s">
        <v>180</v>
      </c>
      <c r="E1410" s="9" t="str">
        <f>+HYPERLINK("http://trademark.i-assist.jp/data/china/image_1908th/79966104.pdf", "79966104")</f>
        <v>79966104</v>
      </c>
      <c r="F1410" s="11" t="s">
        <v>10</v>
      </c>
      <c r="G1410" s="11" t="s">
        <v>4064</v>
      </c>
      <c r="H1410" s="11" t="s">
        <v>4065</v>
      </c>
      <c r="I1410" s="11" t="s">
        <v>175</v>
      </c>
    </row>
    <row r="1411" spans="1:9" x14ac:dyDescent="0.15">
      <c r="A1411" s="10">
        <v>1410</v>
      </c>
      <c r="B1411" s="11" t="s">
        <v>9</v>
      </c>
      <c r="C1411" s="11" t="s">
        <v>179</v>
      </c>
      <c r="D1411" s="11" t="s">
        <v>180</v>
      </c>
      <c r="E1411" s="9" t="str">
        <f>+HYPERLINK("http://trademark.i-assist.jp/data/china/image_1908th/79966227.pdf", "79966227")</f>
        <v>79966227</v>
      </c>
      <c r="F1411" s="11" t="s">
        <v>4066</v>
      </c>
      <c r="G1411" s="11" t="s">
        <v>4067</v>
      </c>
      <c r="H1411" s="11" t="s">
        <v>4068</v>
      </c>
      <c r="I1411" s="11" t="s">
        <v>175</v>
      </c>
    </row>
    <row r="1412" spans="1:9" x14ac:dyDescent="0.15">
      <c r="A1412" s="10">
        <v>1411</v>
      </c>
      <c r="B1412" s="11" t="s">
        <v>9</v>
      </c>
      <c r="C1412" s="11" t="s">
        <v>179</v>
      </c>
      <c r="D1412" s="11" t="s">
        <v>180</v>
      </c>
      <c r="E1412" s="9" t="str">
        <f>+HYPERLINK("http://trademark.i-assist.jp/data/china/image_1908th/79966269.pdf", "79966269")</f>
        <v>79966269</v>
      </c>
      <c r="F1412" s="11" t="s">
        <v>4069</v>
      </c>
      <c r="G1412" s="11" t="s">
        <v>135</v>
      </c>
      <c r="H1412" s="11" t="s">
        <v>4070</v>
      </c>
      <c r="I1412" s="11" t="s">
        <v>175</v>
      </c>
    </row>
    <row r="1413" spans="1:9" x14ac:dyDescent="0.15">
      <c r="A1413" s="10">
        <v>1412</v>
      </c>
      <c r="B1413" s="11" t="s">
        <v>9</v>
      </c>
      <c r="C1413" s="11" t="s">
        <v>179</v>
      </c>
      <c r="D1413" s="11" t="s">
        <v>180</v>
      </c>
      <c r="E1413" s="9" t="str">
        <f>+HYPERLINK("http://trademark.i-assist.jp/data/china/image_1908th/79966353.pdf", "79966353")</f>
        <v>79966353</v>
      </c>
      <c r="F1413" s="11" t="s">
        <v>4071</v>
      </c>
      <c r="G1413" s="11" t="s">
        <v>4072</v>
      </c>
      <c r="H1413" s="11" t="s">
        <v>4073</v>
      </c>
      <c r="I1413" s="11" t="s">
        <v>175</v>
      </c>
    </row>
    <row r="1414" spans="1:9" x14ac:dyDescent="0.15">
      <c r="A1414" s="10">
        <v>1413</v>
      </c>
      <c r="B1414" s="11" t="s">
        <v>9</v>
      </c>
      <c r="C1414" s="11" t="s">
        <v>179</v>
      </c>
      <c r="D1414" s="11" t="s">
        <v>180</v>
      </c>
      <c r="E1414" s="9" t="str">
        <f>+HYPERLINK("http://trademark.i-assist.jp/data/china/image_1908th/79966692.pdf", "79966692")</f>
        <v>79966692</v>
      </c>
      <c r="F1414" s="11" t="s">
        <v>4074</v>
      </c>
      <c r="G1414" s="11" t="s">
        <v>4075</v>
      </c>
      <c r="H1414" s="11" t="s">
        <v>4076</v>
      </c>
      <c r="I1414" s="11" t="s">
        <v>175</v>
      </c>
    </row>
    <row r="1415" spans="1:9" x14ac:dyDescent="0.15">
      <c r="A1415" s="10">
        <v>1414</v>
      </c>
      <c r="B1415" s="11" t="s">
        <v>9</v>
      </c>
      <c r="C1415" s="11" t="s">
        <v>179</v>
      </c>
      <c r="D1415" s="11" t="s">
        <v>180</v>
      </c>
      <c r="E1415" s="9" t="str">
        <f>+HYPERLINK("http://trademark.i-assist.jp/data/china/image_1908th/79966783.pdf", "79966783")</f>
        <v>79966783</v>
      </c>
      <c r="F1415" s="11" t="s">
        <v>4077</v>
      </c>
      <c r="G1415" s="11" t="s">
        <v>4078</v>
      </c>
      <c r="H1415" s="11" t="s">
        <v>220</v>
      </c>
      <c r="I1415" s="11" t="s">
        <v>175</v>
      </c>
    </row>
    <row r="1416" spans="1:9" x14ac:dyDescent="0.15">
      <c r="A1416" s="10">
        <v>1415</v>
      </c>
      <c r="B1416" s="11" t="s">
        <v>9</v>
      </c>
      <c r="C1416" s="11" t="s">
        <v>179</v>
      </c>
      <c r="D1416" s="11" t="s">
        <v>180</v>
      </c>
      <c r="E1416" s="9" t="str">
        <f>+HYPERLINK("http://trademark.i-assist.jp/data/china/image_1908th/79967286.pdf", "79967286")</f>
        <v>79967286</v>
      </c>
      <c r="F1416" s="11" t="s">
        <v>4079</v>
      </c>
      <c r="G1416" s="11" t="s">
        <v>4080</v>
      </c>
      <c r="H1416" s="11" t="s">
        <v>4081</v>
      </c>
      <c r="I1416" s="11" t="s">
        <v>175</v>
      </c>
    </row>
    <row r="1417" spans="1:9" x14ac:dyDescent="0.15">
      <c r="A1417" s="10">
        <v>1416</v>
      </c>
      <c r="B1417" s="11" t="s">
        <v>9</v>
      </c>
      <c r="C1417" s="11" t="s">
        <v>179</v>
      </c>
      <c r="D1417" s="11" t="s">
        <v>180</v>
      </c>
      <c r="E1417" s="9" t="str">
        <f>+HYPERLINK("http://trademark.i-assist.jp/data/china/image_1908th/79967298.pdf", "79967298")</f>
        <v>79967298</v>
      </c>
      <c r="F1417" s="11" t="s">
        <v>4082</v>
      </c>
      <c r="G1417" s="11" t="s">
        <v>4083</v>
      </c>
      <c r="H1417" s="11" t="s">
        <v>4084</v>
      </c>
      <c r="I1417" s="11" t="s">
        <v>175</v>
      </c>
    </row>
    <row r="1418" spans="1:9" x14ac:dyDescent="0.15">
      <c r="A1418" s="10">
        <v>1417</v>
      </c>
      <c r="B1418" s="11" t="s">
        <v>9</v>
      </c>
      <c r="C1418" s="11" t="s">
        <v>179</v>
      </c>
      <c r="D1418" s="11" t="s">
        <v>180</v>
      </c>
      <c r="E1418" s="9" t="str">
        <f>+HYPERLINK("http://trademark.i-assist.jp/data/china/image_1908th/79968171.pdf", "79968171")</f>
        <v>79968171</v>
      </c>
      <c r="F1418" s="11" t="s">
        <v>4085</v>
      </c>
      <c r="G1418" s="11" t="s">
        <v>1626</v>
      </c>
      <c r="H1418" s="11" t="s">
        <v>4086</v>
      </c>
      <c r="I1418" s="11" t="s">
        <v>175</v>
      </c>
    </row>
    <row r="1419" spans="1:9" x14ac:dyDescent="0.15">
      <c r="A1419" s="10">
        <v>1418</v>
      </c>
      <c r="B1419" s="11" t="s">
        <v>9</v>
      </c>
      <c r="C1419" s="11" t="s">
        <v>179</v>
      </c>
      <c r="D1419" s="11" t="s">
        <v>180</v>
      </c>
      <c r="E1419" s="9" t="str">
        <f>+HYPERLINK("http://trademark.i-assist.jp/data/china/image_1908th/79968328.pdf", "79968328")</f>
        <v>79968328</v>
      </c>
      <c r="F1419" s="11" t="s">
        <v>4087</v>
      </c>
      <c r="G1419" s="11" t="s">
        <v>4088</v>
      </c>
      <c r="H1419" s="11" t="s">
        <v>4089</v>
      </c>
      <c r="I1419" s="11" t="s">
        <v>175</v>
      </c>
    </row>
    <row r="1420" spans="1:9" x14ac:dyDescent="0.15">
      <c r="A1420" s="10">
        <v>1419</v>
      </c>
      <c r="B1420" s="11" t="s">
        <v>9</v>
      </c>
      <c r="C1420" s="11" t="s">
        <v>179</v>
      </c>
      <c r="D1420" s="11" t="s">
        <v>180</v>
      </c>
      <c r="E1420" s="9" t="str">
        <f>+HYPERLINK("http://trademark.i-assist.jp/data/china/image_1908th/79968655.pdf", "79968655")</f>
        <v>79968655</v>
      </c>
      <c r="F1420" s="11" t="s">
        <v>4090</v>
      </c>
      <c r="G1420" s="11" t="s">
        <v>4091</v>
      </c>
      <c r="H1420" s="11" t="s">
        <v>4092</v>
      </c>
      <c r="I1420" s="11" t="s">
        <v>175</v>
      </c>
    </row>
    <row r="1421" spans="1:9" x14ac:dyDescent="0.15">
      <c r="A1421" s="10">
        <v>1420</v>
      </c>
      <c r="B1421" s="11" t="s">
        <v>9</v>
      </c>
      <c r="C1421" s="11" t="s">
        <v>179</v>
      </c>
      <c r="D1421" s="11" t="s">
        <v>180</v>
      </c>
      <c r="E1421" s="9" t="str">
        <f>+HYPERLINK("http://trademark.i-assist.jp/data/china/image_1908th/79968997.pdf", "79968997")</f>
        <v>79968997</v>
      </c>
      <c r="F1421" s="11" t="s">
        <v>4093</v>
      </c>
      <c r="G1421" s="11" t="s">
        <v>4094</v>
      </c>
      <c r="H1421" s="11" t="s">
        <v>4095</v>
      </c>
      <c r="I1421" s="11" t="s">
        <v>175</v>
      </c>
    </row>
    <row r="1422" spans="1:9" x14ac:dyDescent="0.15">
      <c r="A1422" s="10">
        <v>1421</v>
      </c>
      <c r="B1422" s="11" t="s">
        <v>9</v>
      </c>
      <c r="C1422" s="11" t="s">
        <v>179</v>
      </c>
      <c r="D1422" s="11" t="s">
        <v>180</v>
      </c>
      <c r="E1422" s="9" t="str">
        <f>+HYPERLINK("http://trademark.i-assist.jp/data/china/image_1908th/79969263.pdf", "79969263")</f>
        <v>79969263</v>
      </c>
      <c r="F1422" s="11" t="s">
        <v>4096</v>
      </c>
      <c r="G1422" s="11" t="s">
        <v>4097</v>
      </c>
      <c r="H1422" s="11" t="s">
        <v>4098</v>
      </c>
      <c r="I1422" s="11" t="s">
        <v>175</v>
      </c>
    </row>
    <row r="1423" spans="1:9" x14ac:dyDescent="0.15">
      <c r="A1423" s="10">
        <v>1422</v>
      </c>
      <c r="B1423" s="11" t="s">
        <v>9</v>
      </c>
      <c r="C1423" s="11" t="s">
        <v>179</v>
      </c>
      <c r="D1423" s="11" t="s">
        <v>180</v>
      </c>
      <c r="E1423" s="9" t="str">
        <f>+HYPERLINK("http://trademark.i-assist.jp/data/china/image_1908th/79969291.pdf", "79969291")</f>
        <v>79969291</v>
      </c>
      <c r="F1423" s="11" t="s">
        <v>4099</v>
      </c>
      <c r="G1423" s="11" t="s">
        <v>4100</v>
      </c>
      <c r="H1423" s="11" t="s">
        <v>4101</v>
      </c>
      <c r="I1423" s="11" t="s">
        <v>175</v>
      </c>
    </row>
    <row r="1424" spans="1:9" x14ac:dyDescent="0.15">
      <c r="A1424" s="10">
        <v>1423</v>
      </c>
      <c r="B1424" s="11" t="s">
        <v>9</v>
      </c>
      <c r="C1424" s="11" t="s">
        <v>179</v>
      </c>
      <c r="D1424" s="11" t="s">
        <v>180</v>
      </c>
      <c r="E1424" s="9" t="str">
        <f>+HYPERLINK("http://trademark.i-assist.jp/data/china/image_1908th/79969400.pdf", "79969400")</f>
        <v>79969400</v>
      </c>
      <c r="F1424" s="11" t="s">
        <v>4102</v>
      </c>
      <c r="G1424" s="11" t="s">
        <v>4103</v>
      </c>
      <c r="H1424" s="11" t="s">
        <v>4104</v>
      </c>
      <c r="I1424" s="11" t="s">
        <v>175</v>
      </c>
    </row>
    <row r="1425" spans="1:9" x14ac:dyDescent="0.15">
      <c r="A1425" s="10">
        <v>1424</v>
      </c>
      <c r="B1425" s="11" t="s">
        <v>9</v>
      </c>
      <c r="C1425" s="11" t="s">
        <v>179</v>
      </c>
      <c r="D1425" s="11" t="s">
        <v>180</v>
      </c>
      <c r="E1425" s="9" t="str">
        <f>+HYPERLINK("http://trademark.i-assist.jp/data/china/image_1908th/79969434.pdf", "79969434")</f>
        <v>79969434</v>
      </c>
      <c r="F1425" s="11" t="s">
        <v>4105</v>
      </c>
      <c r="G1425" s="11" t="s">
        <v>4106</v>
      </c>
      <c r="H1425" s="11" t="s">
        <v>4107</v>
      </c>
      <c r="I1425" s="11" t="s">
        <v>175</v>
      </c>
    </row>
    <row r="1426" spans="1:9" x14ac:dyDescent="0.15">
      <c r="A1426" s="10">
        <v>1425</v>
      </c>
      <c r="B1426" s="11" t="s">
        <v>9</v>
      </c>
      <c r="C1426" s="11" t="s">
        <v>179</v>
      </c>
      <c r="D1426" s="11" t="s">
        <v>180</v>
      </c>
      <c r="E1426" s="9" t="str">
        <f>+HYPERLINK("http://trademark.i-assist.jp/data/china/image_1908th/79969536.pdf", "79969536")</f>
        <v>79969536</v>
      </c>
      <c r="F1426" s="11" t="s">
        <v>4108</v>
      </c>
      <c r="G1426" s="11" t="s">
        <v>4109</v>
      </c>
      <c r="H1426" s="11" t="s">
        <v>4110</v>
      </c>
      <c r="I1426" s="11" t="s">
        <v>175</v>
      </c>
    </row>
    <row r="1427" spans="1:9" x14ac:dyDescent="0.15">
      <c r="A1427" s="10">
        <v>1426</v>
      </c>
      <c r="B1427" s="11" t="s">
        <v>9</v>
      </c>
      <c r="C1427" s="11" t="s">
        <v>179</v>
      </c>
      <c r="D1427" s="11" t="s">
        <v>180</v>
      </c>
      <c r="E1427" s="9" t="str">
        <f>+HYPERLINK("http://trademark.i-assist.jp/data/china/image_1908th/79969829.pdf", "79969829")</f>
        <v>79969829</v>
      </c>
      <c r="F1427" s="11" t="s">
        <v>4111</v>
      </c>
      <c r="G1427" s="11" t="s">
        <v>4112</v>
      </c>
      <c r="H1427" s="11" t="s">
        <v>4113</v>
      </c>
      <c r="I1427" s="11" t="s">
        <v>175</v>
      </c>
    </row>
    <row r="1428" spans="1:9" x14ac:dyDescent="0.15">
      <c r="A1428" s="10">
        <v>1427</v>
      </c>
      <c r="B1428" s="11" t="s">
        <v>9</v>
      </c>
      <c r="C1428" s="11" t="s">
        <v>179</v>
      </c>
      <c r="D1428" s="11" t="s">
        <v>180</v>
      </c>
      <c r="E1428" s="9" t="str">
        <f>+HYPERLINK("http://trademark.i-assist.jp/data/china/image_1908th/79969849.pdf", "79969849")</f>
        <v>79969849</v>
      </c>
      <c r="F1428" s="11" t="s">
        <v>4114</v>
      </c>
      <c r="G1428" s="11" t="s">
        <v>2731</v>
      </c>
      <c r="H1428" s="11" t="s">
        <v>4115</v>
      </c>
      <c r="I1428" s="11" t="s">
        <v>175</v>
      </c>
    </row>
    <row r="1429" spans="1:9" x14ac:dyDescent="0.15">
      <c r="A1429" s="10">
        <v>1428</v>
      </c>
      <c r="B1429" s="11" t="s">
        <v>9</v>
      </c>
      <c r="C1429" s="11" t="s">
        <v>179</v>
      </c>
      <c r="D1429" s="11" t="s">
        <v>180</v>
      </c>
      <c r="E1429" s="9" t="str">
        <f>+HYPERLINK("http://trademark.i-assist.jp/data/china/image_1908th/79970021.pdf", "79970021")</f>
        <v>79970021</v>
      </c>
      <c r="F1429" s="11" t="s">
        <v>4116</v>
      </c>
      <c r="G1429" s="11" t="s">
        <v>4117</v>
      </c>
      <c r="H1429" s="11" t="s">
        <v>4118</v>
      </c>
      <c r="I1429" s="11" t="s">
        <v>175</v>
      </c>
    </row>
    <row r="1430" spans="1:9" x14ac:dyDescent="0.15">
      <c r="A1430" s="10">
        <v>1429</v>
      </c>
      <c r="B1430" s="11" t="s">
        <v>9</v>
      </c>
      <c r="C1430" s="11" t="s">
        <v>179</v>
      </c>
      <c r="D1430" s="11" t="s">
        <v>180</v>
      </c>
      <c r="E1430" s="9" t="str">
        <f>+HYPERLINK("http://trademark.i-assist.jp/data/china/image_1908th/79970111.pdf", "79970111")</f>
        <v>79970111</v>
      </c>
      <c r="F1430" s="11" t="s">
        <v>4119</v>
      </c>
      <c r="G1430" s="11" t="s">
        <v>3500</v>
      </c>
      <c r="H1430" s="11" t="s">
        <v>4120</v>
      </c>
      <c r="I1430" s="11" t="s">
        <v>175</v>
      </c>
    </row>
    <row r="1431" spans="1:9" x14ac:dyDescent="0.15">
      <c r="A1431" s="10">
        <v>1430</v>
      </c>
      <c r="B1431" s="11" t="s">
        <v>9</v>
      </c>
      <c r="C1431" s="11" t="s">
        <v>179</v>
      </c>
      <c r="D1431" s="11" t="s">
        <v>180</v>
      </c>
      <c r="E1431" s="9" t="str">
        <f>+HYPERLINK("http://trademark.i-assist.jp/data/china/image_1908th/79971541.pdf", "79971541")</f>
        <v>79971541</v>
      </c>
      <c r="F1431" s="11" t="s">
        <v>4121</v>
      </c>
      <c r="G1431" s="11" t="s">
        <v>4122</v>
      </c>
      <c r="H1431" s="11" t="s">
        <v>4123</v>
      </c>
      <c r="I1431" s="11" t="s">
        <v>175</v>
      </c>
    </row>
    <row r="1432" spans="1:9" x14ac:dyDescent="0.15">
      <c r="A1432" s="10">
        <v>1431</v>
      </c>
      <c r="B1432" s="11" t="s">
        <v>9</v>
      </c>
      <c r="C1432" s="11" t="s">
        <v>179</v>
      </c>
      <c r="D1432" s="11" t="s">
        <v>180</v>
      </c>
      <c r="E1432" s="9" t="str">
        <f>+HYPERLINK("http://trademark.i-assist.jp/data/china/image_1908th/79971618.pdf", "79971618")</f>
        <v>79971618</v>
      </c>
      <c r="F1432" s="11" t="s">
        <v>4124</v>
      </c>
      <c r="G1432" s="11" t="s">
        <v>4125</v>
      </c>
      <c r="H1432" s="11" t="s">
        <v>4126</v>
      </c>
      <c r="I1432" s="11" t="s">
        <v>175</v>
      </c>
    </row>
    <row r="1433" spans="1:9" x14ac:dyDescent="0.15">
      <c r="A1433" s="10">
        <v>1432</v>
      </c>
      <c r="B1433" s="11" t="s">
        <v>9</v>
      </c>
      <c r="C1433" s="11" t="s">
        <v>179</v>
      </c>
      <c r="D1433" s="11" t="s">
        <v>180</v>
      </c>
      <c r="E1433" s="9" t="str">
        <f>+HYPERLINK("http://trademark.i-assist.jp/data/china/image_1908th/79971947.pdf", "79971947")</f>
        <v>79971947</v>
      </c>
      <c r="F1433" s="11" t="s">
        <v>4127</v>
      </c>
      <c r="G1433" s="11" t="s">
        <v>4128</v>
      </c>
      <c r="H1433" s="11" t="s">
        <v>4129</v>
      </c>
      <c r="I1433" s="11" t="s">
        <v>175</v>
      </c>
    </row>
    <row r="1434" spans="1:9" x14ac:dyDescent="0.15">
      <c r="A1434" s="10">
        <v>1433</v>
      </c>
      <c r="B1434" s="11" t="s">
        <v>9</v>
      </c>
      <c r="C1434" s="11" t="s">
        <v>179</v>
      </c>
      <c r="D1434" s="11" t="s">
        <v>180</v>
      </c>
      <c r="E1434" s="9" t="str">
        <f>+HYPERLINK("http://trademark.i-assist.jp/data/china/image_1908th/79971999.pdf", "79971999")</f>
        <v>79971999</v>
      </c>
      <c r="F1434" s="11" t="s">
        <v>4130</v>
      </c>
      <c r="G1434" s="11" t="s">
        <v>4131</v>
      </c>
      <c r="H1434" s="11" t="s">
        <v>4132</v>
      </c>
      <c r="I1434" s="11" t="s">
        <v>175</v>
      </c>
    </row>
    <row r="1435" spans="1:9" x14ac:dyDescent="0.15">
      <c r="A1435" s="10">
        <v>1434</v>
      </c>
      <c r="B1435" s="11" t="s">
        <v>9</v>
      </c>
      <c r="C1435" s="11" t="s">
        <v>179</v>
      </c>
      <c r="D1435" s="11" t="s">
        <v>180</v>
      </c>
      <c r="E1435" s="9" t="str">
        <f>+HYPERLINK("http://trademark.i-assist.jp/data/china/image_1908th/79972099.pdf", "79972099")</f>
        <v>79972099</v>
      </c>
      <c r="F1435" s="11" t="s">
        <v>4133</v>
      </c>
      <c r="G1435" s="11" t="s">
        <v>4134</v>
      </c>
      <c r="H1435" s="11" t="s">
        <v>4135</v>
      </c>
      <c r="I1435" s="11" t="s">
        <v>175</v>
      </c>
    </row>
    <row r="1436" spans="1:9" x14ac:dyDescent="0.15">
      <c r="A1436" s="10">
        <v>1435</v>
      </c>
      <c r="B1436" s="11" t="s">
        <v>9</v>
      </c>
      <c r="C1436" s="11" t="s">
        <v>179</v>
      </c>
      <c r="D1436" s="11" t="s">
        <v>180</v>
      </c>
      <c r="E1436" s="9" t="str">
        <f>+HYPERLINK("http://trademark.i-assist.jp/data/china/image_1908th/79972431.pdf", "79972431")</f>
        <v>79972431</v>
      </c>
      <c r="F1436" s="11" t="s">
        <v>4136</v>
      </c>
      <c r="G1436" s="11" t="s">
        <v>4137</v>
      </c>
      <c r="H1436" s="11" t="s">
        <v>4138</v>
      </c>
      <c r="I1436" s="11" t="s">
        <v>175</v>
      </c>
    </row>
    <row r="1437" spans="1:9" x14ac:dyDescent="0.15">
      <c r="A1437" s="10">
        <v>1436</v>
      </c>
      <c r="B1437" s="11" t="s">
        <v>9</v>
      </c>
      <c r="C1437" s="11" t="s">
        <v>179</v>
      </c>
      <c r="D1437" s="11" t="s">
        <v>180</v>
      </c>
      <c r="E1437" s="9" t="str">
        <f>+HYPERLINK("http://trademark.i-assist.jp/data/china/image_1908th/79972606.pdf", "79972606")</f>
        <v>79972606</v>
      </c>
      <c r="F1437" s="11" t="s">
        <v>4139</v>
      </c>
      <c r="G1437" s="11" t="s">
        <v>4140</v>
      </c>
      <c r="H1437" s="11" t="s">
        <v>4141</v>
      </c>
      <c r="I1437" s="11" t="s">
        <v>175</v>
      </c>
    </row>
    <row r="1438" spans="1:9" x14ac:dyDescent="0.15">
      <c r="A1438" s="10">
        <v>1437</v>
      </c>
      <c r="B1438" s="11" t="s">
        <v>9</v>
      </c>
      <c r="C1438" s="11" t="s">
        <v>179</v>
      </c>
      <c r="D1438" s="11" t="s">
        <v>180</v>
      </c>
      <c r="E1438" s="9" t="str">
        <f>+HYPERLINK("http://trademark.i-assist.jp/data/china/image_1908th/79973082.pdf", "79973082")</f>
        <v>79973082</v>
      </c>
      <c r="F1438" s="11" t="s">
        <v>4142</v>
      </c>
      <c r="G1438" s="11" t="s">
        <v>4143</v>
      </c>
      <c r="H1438" s="11" t="s">
        <v>4144</v>
      </c>
      <c r="I1438" s="11" t="s">
        <v>175</v>
      </c>
    </row>
    <row r="1439" spans="1:9" x14ac:dyDescent="0.15">
      <c r="A1439" s="10">
        <v>1438</v>
      </c>
      <c r="B1439" s="11" t="s">
        <v>9</v>
      </c>
      <c r="C1439" s="11" t="s">
        <v>179</v>
      </c>
      <c r="D1439" s="11" t="s">
        <v>180</v>
      </c>
      <c r="E1439" s="9" t="str">
        <f>+HYPERLINK("http://trademark.i-assist.jp/data/china/image_1908th/79973500.pdf", "79973500")</f>
        <v>79973500</v>
      </c>
      <c r="F1439" s="11" t="s">
        <v>4145</v>
      </c>
      <c r="G1439" s="11" t="s">
        <v>4146</v>
      </c>
      <c r="H1439" s="11" t="s">
        <v>4147</v>
      </c>
      <c r="I1439" s="11" t="s">
        <v>175</v>
      </c>
    </row>
    <row r="1440" spans="1:9" x14ac:dyDescent="0.15">
      <c r="A1440" s="10">
        <v>1439</v>
      </c>
      <c r="B1440" s="11" t="s">
        <v>9</v>
      </c>
      <c r="C1440" s="11" t="s">
        <v>179</v>
      </c>
      <c r="D1440" s="11" t="s">
        <v>180</v>
      </c>
      <c r="E1440" s="9" t="str">
        <f>+HYPERLINK("http://trademark.i-assist.jp/data/china/image_1908th/79973720.pdf", "79973720")</f>
        <v>79973720</v>
      </c>
      <c r="F1440" s="11" t="s">
        <v>4148</v>
      </c>
      <c r="G1440" s="11" t="s">
        <v>4149</v>
      </c>
      <c r="H1440" s="11" t="s">
        <v>4150</v>
      </c>
      <c r="I1440" s="11" t="s">
        <v>175</v>
      </c>
    </row>
    <row r="1441" spans="1:9" x14ac:dyDescent="0.15">
      <c r="A1441" s="10">
        <v>1440</v>
      </c>
      <c r="B1441" s="11" t="s">
        <v>9</v>
      </c>
      <c r="C1441" s="11" t="s">
        <v>179</v>
      </c>
      <c r="D1441" s="11" t="s">
        <v>180</v>
      </c>
      <c r="E1441" s="9" t="str">
        <f>+HYPERLINK("http://trademark.i-assist.jp/data/china/image_1908th/79973816.pdf", "79973816")</f>
        <v>79973816</v>
      </c>
      <c r="F1441" s="11" t="s">
        <v>4151</v>
      </c>
      <c r="G1441" s="11" t="s">
        <v>4103</v>
      </c>
      <c r="H1441" s="11" t="s">
        <v>4152</v>
      </c>
      <c r="I1441" s="11" t="s">
        <v>175</v>
      </c>
    </row>
    <row r="1442" spans="1:9" x14ac:dyDescent="0.15">
      <c r="A1442" s="10">
        <v>1441</v>
      </c>
      <c r="B1442" s="11" t="s">
        <v>9</v>
      </c>
      <c r="C1442" s="11" t="s">
        <v>179</v>
      </c>
      <c r="D1442" s="11" t="s">
        <v>180</v>
      </c>
      <c r="E1442" s="9" t="str">
        <f>+HYPERLINK("http://trademark.i-assist.jp/data/china/image_1908th/79973939.pdf", "79973939")</f>
        <v>79973939</v>
      </c>
      <c r="F1442" s="11" t="s">
        <v>4153</v>
      </c>
      <c r="G1442" s="11" t="s">
        <v>4154</v>
      </c>
      <c r="H1442" s="11" t="s">
        <v>4155</v>
      </c>
      <c r="I1442" s="11" t="s">
        <v>175</v>
      </c>
    </row>
    <row r="1443" spans="1:9" x14ac:dyDescent="0.15">
      <c r="A1443" s="10">
        <v>1442</v>
      </c>
      <c r="B1443" s="11" t="s">
        <v>9</v>
      </c>
      <c r="C1443" s="11" t="s">
        <v>179</v>
      </c>
      <c r="D1443" s="11" t="s">
        <v>180</v>
      </c>
      <c r="E1443" s="9" t="str">
        <f>+HYPERLINK("http://trademark.i-assist.jp/data/china/image_1908th/79974734.pdf", "79974734")</f>
        <v>79974734</v>
      </c>
      <c r="F1443" s="11" t="s">
        <v>4156</v>
      </c>
      <c r="G1443" s="11" t="s">
        <v>173</v>
      </c>
      <c r="H1443" s="11" t="s">
        <v>4157</v>
      </c>
      <c r="I1443" s="11" t="s">
        <v>175</v>
      </c>
    </row>
    <row r="1444" spans="1:9" x14ac:dyDescent="0.15">
      <c r="A1444" s="10">
        <v>1443</v>
      </c>
      <c r="B1444" s="11" t="s">
        <v>9</v>
      </c>
      <c r="C1444" s="11" t="s">
        <v>179</v>
      </c>
      <c r="D1444" s="11" t="s">
        <v>180</v>
      </c>
      <c r="E1444" s="9" t="str">
        <f>+HYPERLINK("http://trademark.i-assist.jp/data/china/image_1908th/79975211.pdf", "79975211")</f>
        <v>79975211</v>
      </c>
      <c r="F1444" s="11" t="s">
        <v>4158</v>
      </c>
      <c r="G1444" s="11" t="s">
        <v>4159</v>
      </c>
      <c r="H1444" s="11" t="s">
        <v>4160</v>
      </c>
      <c r="I1444" s="11" t="s">
        <v>175</v>
      </c>
    </row>
    <row r="1445" spans="1:9" x14ac:dyDescent="0.15">
      <c r="A1445" s="10">
        <v>1444</v>
      </c>
      <c r="B1445" s="11" t="s">
        <v>9</v>
      </c>
      <c r="C1445" s="11" t="s">
        <v>179</v>
      </c>
      <c r="D1445" s="11" t="s">
        <v>180</v>
      </c>
      <c r="E1445" s="9" t="str">
        <f>+HYPERLINK("http://trademark.i-assist.jp/data/china/image_1908th/79975548.pdf", "79975548")</f>
        <v>79975548</v>
      </c>
      <c r="F1445" s="11" t="s">
        <v>4161</v>
      </c>
      <c r="G1445" s="11" t="s">
        <v>4162</v>
      </c>
      <c r="H1445" s="11" t="s">
        <v>4163</v>
      </c>
      <c r="I1445" s="11" t="s">
        <v>175</v>
      </c>
    </row>
    <row r="1446" spans="1:9" x14ac:dyDescent="0.15">
      <c r="A1446" s="10">
        <v>1445</v>
      </c>
      <c r="B1446" s="11" t="s">
        <v>9</v>
      </c>
      <c r="C1446" s="11" t="s">
        <v>179</v>
      </c>
      <c r="D1446" s="11" t="s">
        <v>180</v>
      </c>
      <c r="E1446" s="9" t="str">
        <f>+HYPERLINK("http://trademark.i-assist.jp/data/china/image_1908th/79975591.pdf", "79975591")</f>
        <v>79975591</v>
      </c>
      <c r="F1446" s="11" t="s">
        <v>4164</v>
      </c>
      <c r="G1446" s="11" t="s">
        <v>4165</v>
      </c>
      <c r="H1446" s="11" t="s">
        <v>4166</v>
      </c>
      <c r="I1446" s="11" t="s">
        <v>175</v>
      </c>
    </row>
    <row r="1447" spans="1:9" x14ac:dyDescent="0.15">
      <c r="A1447" s="10">
        <v>1446</v>
      </c>
      <c r="B1447" s="11" t="s">
        <v>9</v>
      </c>
      <c r="C1447" s="11" t="s">
        <v>179</v>
      </c>
      <c r="D1447" s="11" t="s">
        <v>180</v>
      </c>
      <c r="E1447" s="9" t="str">
        <f>+HYPERLINK("http://trademark.i-assist.jp/data/china/image_1908th/79976460.pdf", "79976460")</f>
        <v>79976460</v>
      </c>
      <c r="F1447" s="11" t="s">
        <v>4047</v>
      </c>
      <c r="G1447" s="11" t="s">
        <v>1626</v>
      </c>
      <c r="H1447" s="11" t="s">
        <v>4167</v>
      </c>
      <c r="I1447" s="11" t="s">
        <v>175</v>
      </c>
    </row>
    <row r="1448" spans="1:9" x14ac:dyDescent="0.15">
      <c r="A1448" s="10">
        <v>1447</v>
      </c>
      <c r="B1448" s="11" t="s">
        <v>9</v>
      </c>
      <c r="C1448" s="11" t="s">
        <v>179</v>
      </c>
      <c r="D1448" s="11" t="s">
        <v>180</v>
      </c>
      <c r="E1448" s="9" t="str">
        <f>+HYPERLINK("http://trademark.i-assist.jp/data/china/image_1908th/79976492.pdf", "79976492")</f>
        <v>79976492</v>
      </c>
      <c r="F1448" s="11" t="s">
        <v>4168</v>
      </c>
      <c r="G1448" s="11" t="s">
        <v>4169</v>
      </c>
      <c r="H1448" s="11" t="s">
        <v>4170</v>
      </c>
      <c r="I1448" s="11" t="s">
        <v>175</v>
      </c>
    </row>
    <row r="1449" spans="1:9" x14ac:dyDescent="0.15">
      <c r="A1449" s="10">
        <v>1448</v>
      </c>
      <c r="B1449" s="11" t="s">
        <v>9</v>
      </c>
      <c r="C1449" s="11" t="s">
        <v>179</v>
      </c>
      <c r="D1449" s="11" t="s">
        <v>180</v>
      </c>
      <c r="E1449" s="9" t="str">
        <f>+HYPERLINK("http://trademark.i-assist.jp/data/china/image_1908th/79976620.pdf", "79976620")</f>
        <v>79976620</v>
      </c>
      <c r="F1449" s="11" t="s">
        <v>4171</v>
      </c>
      <c r="G1449" s="11" t="s">
        <v>4091</v>
      </c>
      <c r="H1449" s="11" t="s">
        <v>4172</v>
      </c>
      <c r="I1449" s="11" t="s">
        <v>175</v>
      </c>
    </row>
    <row r="1450" spans="1:9" x14ac:dyDescent="0.15">
      <c r="A1450" s="10">
        <v>1449</v>
      </c>
      <c r="B1450" s="11" t="s">
        <v>9</v>
      </c>
      <c r="C1450" s="11" t="s">
        <v>179</v>
      </c>
      <c r="D1450" s="11" t="s">
        <v>180</v>
      </c>
      <c r="E1450" s="9" t="str">
        <f>+HYPERLINK("http://trademark.i-assist.jp/data/china/image_1908th/79977377.pdf", "79977377")</f>
        <v>79977377</v>
      </c>
      <c r="F1450" s="11" t="s">
        <v>4173</v>
      </c>
      <c r="G1450" s="11" t="s">
        <v>4174</v>
      </c>
      <c r="H1450" s="11" t="s">
        <v>4175</v>
      </c>
      <c r="I1450" s="11" t="s">
        <v>175</v>
      </c>
    </row>
    <row r="1451" spans="1:9" x14ac:dyDescent="0.15">
      <c r="A1451" s="10">
        <v>1450</v>
      </c>
      <c r="B1451" s="11" t="s">
        <v>9</v>
      </c>
      <c r="C1451" s="11" t="s">
        <v>179</v>
      </c>
      <c r="D1451" s="11" t="s">
        <v>180</v>
      </c>
      <c r="E1451" s="9" t="str">
        <f>+HYPERLINK("http://trademark.i-assist.jp/data/china/image_1908th/79977451.pdf", "79977451")</f>
        <v>79977451</v>
      </c>
      <c r="F1451" s="11" t="s">
        <v>4176</v>
      </c>
      <c r="G1451" s="11" t="s">
        <v>4177</v>
      </c>
      <c r="H1451" s="11" t="s">
        <v>4178</v>
      </c>
      <c r="I1451" s="11" t="s">
        <v>175</v>
      </c>
    </row>
    <row r="1452" spans="1:9" x14ac:dyDescent="0.15">
      <c r="A1452" s="10">
        <v>1451</v>
      </c>
      <c r="B1452" s="11" t="s">
        <v>9</v>
      </c>
      <c r="C1452" s="11" t="s">
        <v>179</v>
      </c>
      <c r="D1452" s="11" t="s">
        <v>180</v>
      </c>
      <c r="E1452" s="9" t="str">
        <f>+HYPERLINK("http://trademark.i-assist.jp/data/china/image_1908th/79977680.pdf", "79977680")</f>
        <v>79977680</v>
      </c>
      <c r="F1452" s="11" t="s">
        <v>4179</v>
      </c>
      <c r="G1452" s="11" t="s">
        <v>4180</v>
      </c>
      <c r="H1452" s="11" t="s">
        <v>4181</v>
      </c>
      <c r="I1452" s="11" t="s">
        <v>175</v>
      </c>
    </row>
    <row r="1453" spans="1:9" x14ac:dyDescent="0.15">
      <c r="A1453" s="10">
        <v>1452</v>
      </c>
      <c r="B1453" s="11" t="s">
        <v>9</v>
      </c>
      <c r="C1453" s="11" t="s">
        <v>179</v>
      </c>
      <c r="D1453" s="11" t="s">
        <v>180</v>
      </c>
      <c r="E1453" s="9" t="str">
        <f>+HYPERLINK("http://trademark.i-assist.jp/data/china/image_1908th/79977690.pdf", "79977690")</f>
        <v>79977690</v>
      </c>
      <c r="F1453" s="11" t="s">
        <v>4182</v>
      </c>
      <c r="G1453" s="11" t="s">
        <v>4183</v>
      </c>
      <c r="H1453" s="11" t="s">
        <v>4184</v>
      </c>
      <c r="I1453" s="11" t="s">
        <v>175</v>
      </c>
    </row>
    <row r="1454" spans="1:9" x14ac:dyDescent="0.15">
      <c r="A1454" s="10">
        <v>1453</v>
      </c>
      <c r="B1454" s="11" t="s">
        <v>9</v>
      </c>
      <c r="C1454" s="11" t="s">
        <v>179</v>
      </c>
      <c r="D1454" s="11" t="s">
        <v>180</v>
      </c>
      <c r="E1454" s="9" t="str">
        <f>+HYPERLINK("http://trademark.i-assist.jp/data/china/image_1908th/79978303.pdf", "79978303")</f>
        <v>79978303</v>
      </c>
      <c r="F1454" s="11" t="s">
        <v>4185</v>
      </c>
      <c r="G1454" s="11" t="s">
        <v>4186</v>
      </c>
      <c r="H1454" s="11" t="s">
        <v>4187</v>
      </c>
      <c r="I1454" s="11" t="s">
        <v>175</v>
      </c>
    </row>
    <row r="1455" spans="1:9" x14ac:dyDescent="0.15">
      <c r="A1455" s="10">
        <v>1454</v>
      </c>
      <c r="B1455" s="11" t="s">
        <v>9</v>
      </c>
      <c r="C1455" s="11" t="s">
        <v>179</v>
      </c>
      <c r="D1455" s="11" t="s">
        <v>180</v>
      </c>
      <c r="E1455" s="9" t="str">
        <f>+HYPERLINK("http://trademark.i-assist.jp/data/china/image_1908th/79979394.pdf", "79979394")</f>
        <v>79979394</v>
      </c>
      <c r="F1455" s="11" t="s">
        <v>4188</v>
      </c>
      <c r="G1455" s="11" t="s">
        <v>4189</v>
      </c>
      <c r="H1455" s="11" t="s">
        <v>4190</v>
      </c>
      <c r="I1455" s="11" t="s">
        <v>175</v>
      </c>
    </row>
    <row r="1456" spans="1:9" x14ac:dyDescent="0.15">
      <c r="A1456" s="10">
        <v>1455</v>
      </c>
      <c r="B1456" s="11" t="s">
        <v>9</v>
      </c>
      <c r="C1456" s="11" t="s">
        <v>179</v>
      </c>
      <c r="D1456" s="11" t="s">
        <v>180</v>
      </c>
      <c r="E1456" s="9" t="str">
        <f>+HYPERLINK("http://trademark.i-assist.jp/data/china/image_1908th/79979727.pdf", "79979727")</f>
        <v>79979727</v>
      </c>
      <c r="F1456" s="11" t="s">
        <v>4191</v>
      </c>
      <c r="G1456" s="11" t="s">
        <v>4192</v>
      </c>
      <c r="H1456" s="11" t="s">
        <v>4193</v>
      </c>
      <c r="I1456" s="11" t="s">
        <v>175</v>
      </c>
    </row>
    <row r="1457" spans="1:9" x14ac:dyDescent="0.15">
      <c r="A1457" s="10">
        <v>1456</v>
      </c>
      <c r="B1457" s="11" t="s">
        <v>9</v>
      </c>
      <c r="C1457" s="11" t="s">
        <v>179</v>
      </c>
      <c r="D1457" s="11" t="s">
        <v>180</v>
      </c>
      <c r="E1457" s="9" t="str">
        <f>+HYPERLINK("http://trademark.i-assist.jp/data/china/image_1908th/79979787.pdf", "79979787")</f>
        <v>79979787</v>
      </c>
      <c r="F1457" s="11" t="s">
        <v>4194</v>
      </c>
      <c r="G1457" s="11" t="s">
        <v>4195</v>
      </c>
      <c r="H1457" s="11" t="s">
        <v>4196</v>
      </c>
      <c r="I1457" s="11" t="s">
        <v>175</v>
      </c>
    </row>
    <row r="1458" spans="1:9" x14ac:dyDescent="0.15">
      <c r="A1458" s="10">
        <v>1457</v>
      </c>
      <c r="B1458" s="11" t="s">
        <v>9</v>
      </c>
      <c r="C1458" s="11" t="s">
        <v>179</v>
      </c>
      <c r="D1458" s="11" t="s">
        <v>180</v>
      </c>
      <c r="E1458" s="9" t="str">
        <f>+HYPERLINK("http://trademark.i-assist.jp/data/china/image_1908th/79979801.pdf", "79979801")</f>
        <v>79979801</v>
      </c>
      <c r="F1458" s="11" t="s">
        <v>4197</v>
      </c>
      <c r="G1458" s="11" t="s">
        <v>4131</v>
      </c>
      <c r="H1458" s="11" t="s">
        <v>4198</v>
      </c>
      <c r="I1458" s="11" t="s">
        <v>175</v>
      </c>
    </row>
    <row r="1459" spans="1:9" x14ac:dyDescent="0.15">
      <c r="A1459" s="10">
        <v>1458</v>
      </c>
      <c r="B1459" s="11" t="s">
        <v>9</v>
      </c>
      <c r="C1459" s="11" t="s">
        <v>179</v>
      </c>
      <c r="D1459" s="11" t="s">
        <v>180</v>
      </c>
      <c r="E1459" s="9" t="str">
        <f>+HYPERLINK("http://trademark.i-assist.jp/data/china/image_1908th/79980775.pdf", "79980775")</f>
        <v>79980775</v>
      </c>
      <c r="F1459" s="11" t="s">
        <v>4199</v>
      </c>
      <c r="G1459" s="11" t="s">
        <v>4154</v>
      </c>
      <c r="H1459" s="11" t="s">
        <v>4200</v>
      </c>
      <c r="I1459" s="11" t="s">
        <v>175</v>
      </c>
    </row>
    <row r="1460" spans="1:9" x14ac:dyDescent="0.15">
      <c r="A1460" s="10">
        <v>1459</v>
      </c>
      <c r="B1460" s="11" t="s">
        <v>9</v>
      </c>
      <c r="C1460" s="11" t="s">
        <v>179</v>
      </c>
      <c r="D1460" s="11" t="s">
        <v>180</v>
      </c>
      <c r="E1460" s="9" t="str">
        <f>+HYPERLINK("http://trademark.i-assist.jp/data/china/image_1908th/79980987.pdf", "79980987")</f>
        <v>79980987</v>
      </c>
      <c r="F1460" s="11" t="s">
        <v>4201</v>
      </c>
      <c r="G1460" s="11" t="s">
        <v>132</v>
      </c>
      <c r="H1460" s="11" t="s">
        <v>4202</v>
      </c>
      <c r="I1460" s="11" t="s">
        <v>175</v>
      </c>
    </row>
    <row r="1461" spans="1:9" x14ac:dyDescent="0.15">
      <c r="A1461" s="10">
        <v>1460</v>
      </c>
      <c r="B1461" s="11" t="s">
        <v>9</v>
      </c>
      <c r="C1461" s="11" t="s">
        <v>179</v>
      </c>
      <c r="D1461" s="11" t="s">
        <v>180</v>
      </c>
      <c r="E1461" s="9" t="str">
        <f>+HYPERLINK("http://trademark.i-assist.jp/data/china/image_1908th/79981183.pdf", "79981183")</f>
        <v>79981183</v>
      </c>
      <c r="F1461" s="11" t="s">
        <v>4203</v>
      </c>
      <c r="G1461" s="11" t="s">
        <v>4204</v>
      </c>
      <c r="H1461" s="11" t="s">
        <v>4205</v>
      </c>
      <c r="I1461" s="11" t="s">
        <v>175</v>
      </c>
    </row>
    <row r="1462" spans="1:9" x14ac:dyDescent="0.15">
      <c r="A1462" s="10">
        <v>1461</v>
      </c>
      <c r="B1462" s="11" t="s">
        <v>9</v>
      </c>
      <c r="C1462" s="11" t="s">
        <v>179</v>
      </c>
      <c r="D1462" s="11" t="s">
        <v>180</v>
      </c>
      <c r="E1462" s="9" t="str">
        <f>+HYPERLINK("http://trademark.i-assist.jp/data/china/image_1908th/79981541.pdf", "79981541")</f>
        <v>79981541</v>
      </c>
      <c r="F1462" s="11" t="s">
        <v>4206</v>
      </c>
      <c r="G1462" s="11" t="s">
        <v>4207</v>
      </c>
      <c r="H1462" s="11" t="s">
        <v>4208</v>
      </c>
      <c r="I1462" s="11" t="s">
        <v>175</v>
      </c>
    </row>
    <row r="1463" spans="1:9" x14ac:dyDescent="0.15">
      <c r="A1463" s="10">
        <v>1462</v>
      </c>
      <c r="B1463" s="11" t="s">
        <v>9</v>
      </c>
      <c r="C1463" s="11" t="s">
        <v>179</v>
      </c>
      <c r="D1463" s="11" t="s">
        <v>180</v>
      </c>
      <c r="E1463" s="9" t="str">
        <f>+HYPERLINK("http://trademark.i-assist.jp/data/china/image_1908th/79981715.pdf", "79981715")</f>
        <v>79981715</v>
      </c>
      <c r="F1463" s="11" t="s">
        <v>4209</v>
      </c>
      <c r="G1463" s="11" t="s">
        <v>56</v>
      </c>
      <c r="H1463" s="11" t="s">
        <v>4210</v>
      </c>
      <c r="I1463" s="11" t="s">
        <v>175</v>
      </c>
    </row>
    <row r="1464" spans="1:9" x14ac:dyDescent="0.15">
      <c r="A1464" s="10">
        <v>1463</v>
      </c>
      <c r="B1464" s="11" t="s">
        <v>9</v>
      </c>
      <c r="C1464" s="11" t="s">
        <v>179</v>
      </c>
      <c r="D1464" s="11" t="s">
        <v>180</v>
      </c>
      <c r="E1464" s="9" t="str">
        <f>+HYPERLINK("http://trademark.i-assist.jp/data/china/image_1908th/79981790.pdf", "79981790")</f>
        <v>79981790</v>
      </c>
      <c r="F1464" s="11" t="s">
        <v>4211</v>
      </c>
      <c r="G1464" s="11" t="s">
        <v>4212</v>
      </c>
      <c r="H1464" s="11" t="s">
        <v>4213</v>
      </c>
      <c r="I1464" s="11" t="s">
        <v>175</v>
      </c>
    </row>
    <row r="1465" spans="1:9" x14ac:dyDescent="0.15">
      <c r="A1465" s="10">
        <v>1464</v>
      </c>
      <c r="B1465" s="11" t="s">
        <v>9</v>
      </c>
      <c r="C1465" s="11" t="s">
        <v>179</v>
      </c>
      <c r="D1465" s="11" t="s">
        <v>180</v>
      </c>
      <c r="E1465" s="9" t="str">
        <f>+HYPERLINK("http://trademark.i-assist.jp/data/china/image_1908th/79982118.pdf", "79982118")</f>
        <v>79982118</v>
      </c>
      <c r="F1465" s="11" t="s">
        <v>4214</v>
      </c>
      <c r="G1465" s="11" t="s">
        <v>4215</v>
      </c>
      <c r="H1465" s="11" t="s">
        <v>4216</v>
      </c>
      <c r="I1465" s="11" t="s">
        <v>175</v>
      </c>
    </row>
    <row r="1466" spans="1:9" x14ac:dyDescent="0.15">
      <c r="A1466" s="10">
        <v>1465</v>
      </c>
      <c r="B1466" s="11" t="s">
        <v>9</v>
      </c>
      <c r="C1466" s="11" t="s">
        <v>179</v>
      </c>
      <c r="D1466" s="11" t="s">
        <v>180</v>
      </c>
      <c r="E1466" s="9" t="str">
        <f>+HYPERLINK("http://trademark.i-assist.jp/data/china/image_1908th/79982125.pdf", "79982125")</f>
        <v>79982125</v>
      </c>
      <c r="F1466" s="11" t="s">
        <v>4217</v>
      </c>
      <c r="G1466" s="11" t="s">
        <v>4218</v>
      </c>
      <c r="H1466" s="11" t="s">
        <v>4219</v>
      </c>
      <c r="I1466" s="11" t="s">
        <v>175</v>
      </c>
    </row>
    <row r="1467" spans="1:9" x14ac:dyDescent="0.15">
      <c r="A1467" s="10">
        <v>1466</v>
      </c>
      <c r="B1467" s="11" t="s">
        <v>9</v>
      </c>
      <c r="C1467" s="11" t="s">
        <v>179</v>
      </c>
      <c r="D1467" s="11" t="s">
        <v>180</v>
      </c>
      <c r="E1467" s="9" t="str">
        <f>+HYPERLINK("http://trademark.i-assist.jp/data/china/image_1908th/79982146.pdf", "79982146")</f>
        <v>79982146</v>
      </c>
      <c r="F1467" s="11" t="s">
        <v>4220</v>
      </c>
      <c r="G1467" s="11" t="s">
        <v>4221</v>
      </c>
      <c r="H1467" s="11" t="s">
        <v>4222</v>
      </c>
      <c r="I1467" s="11" t="s">
        <v>175</v>
      </c>
    </row>
    <row r="1468" spans="1:9" x14ac:dyDescent="0.15">
      <c r="A1468" s="10">
        <v>1467</v>
      </c>
      <c r="B1468" s="11" t="s">
        <v>9</v>
      </c>
      <c r="C1468" s="11" t="s">
        <v>179</v>
      </c>
      <c r="D1468" s="11" t="s">
        <v>180</v>
      </c>
      <c r="E1468" s="9" t="str">
        <f>+HYPERLINK("http://trademark.i-assist.jp/data/china/image_1908th/79982149.pdf", "79982149")</f>
        <v>79982149</v>
      </c>
      <c r="F1468" s="11" t="s">
        <v>4223</v>
      </c>
      <c r="G1468" s="11" t="s">
        <v>4224</v>
      </c>
      <c r="H1468" s="11" t="s">
        <v>4225</v>
      </c>
      <c r="I1468" s="11" t="s">
        <v>175</v>
      </c>
    </row>
    <row r="1469" spans="1:9" x14ac:dyDescent="0.15">
      <c r="A1469" s="10">
        <v>1468</v>
      </c>
      <c r="B1469" s="11" t="s">
        <v>9</v>
      </c>
      <c r="C1469" s="11" t="s">
        <v>179</v>
      </c>
      <c r="D1469" s="11" t="s">
        <v>180</v>
      </c>
      <c r="E1469" s="9" t="str">
        <f>+HYPERLINK("http://trademark.i-assist.jp/data/china/image_1908th/79982193.pdf", "79982193")</f>
        <v>79982193</v>
      </c>
      <c r="F1469" s="11" t="s">
        <v>4226</v>
      </c>
      <c r="G1469" s="11" t="s">
        <v>4227</v>
      </c>
      <c r="H1469" s="11" t="s">
        <v>4228</v>
      </c>
      <c r="I1469" s="11" t="s">
        <v>175</v>
      </c>
    </row>
    <row r="1470" spans="1:9" x14ac:dyDescent="0.15">
      <c r="A1470" s="10">
        <v>1469</v>
      </c>
      <c r="B1470" s="11" t="s">
        <v>9</v>
      </c>
      <c r="C1470" s="11" t="s">
        <v>179</v>
      </c>
      <c r="D1470" s="11" t="s">
        <v>180</v>
      </c>
      <c r="E1470" s="9" t="str">
        <f>+HYPERLINK("http://trademark.i-assist.jp/data/china/image_1908th/79982282.pdf", "79982282")</f>
        <v>79982282</v>
      </c>
      <c r="F1470" s="11" t="s">
        <v>4229</v>
      </c>
      <c r="G1470" s="11" t="s">
        <v>4230</v>
      </c>
      <c r="H1470" s="11" t="s">
        <v>4231</v>
      </c>
      <c r="I1470" s="11" t="s">
        <v>175</v>
      </c>
    </row>
    <row r="1471" spans="1:9" x14ac:dyDescent="0.15">
      <c r="A1471" s="10">
        <v>1470</v>
      </c>
      <c r="B1471" s="11" t="s">
        <v>9</v>
      </c>
      <c r="C1471" s="11" t="s">
        <v>179</v>
      </c>
      <c r="D1471" s="11" t="s">
        <v>180</v>
      </c>
      <c r="E1471" s="9" t="str">
        <f>+HYPERLINK("http://trademark.i-assist.jp/data/china/image_1908th/79982484.pdf", "79982484")</f>
        <v>79982484</v>
      </c>
      <c r="F1471" s="11" t="s">
        <v>4232</v>
      </c>
      <c r="G1471" s="11" t="s">
        <v>4233</v>
      </c>
      <c r="H1471" s="11" t="s">
        <v>4234</v>
      </c>
      <c r="I1471" s="11" t="s">
        <v>175</v>
      </c>
    </row>
    <row r="1472" spans="1:9" x14ac:dyDescent="0.15">
      <c r="A1472" s="10">
        <v>1471</v>
      </c>
      <c r="B1472" s="11" t="s">
        <v>9</v>
      </c>
      <c r="C1472" s="11" t="s">
        <v>179</v>
      </c>
      <c r="D1472" s="11" t="s">
        <v>180</v>
      </c>
      <c r="E1472" s="9" t="str">
        <f>+HYPERLINK("http://trademark.i-assist.jp/data/china/image_1908th/79982753.pdf", "79982753")</f>
        <v>79982753</v>
      </c>
      <c r="F1472" s="11" t="s">
        <v>4235</v>
      </c>
      <c r="G1472" s="11" t="s">
        <v>133</v>
      </c>
      <c r="H1472" s="11" t="s">
        <v>4236</v>
      </c>
      <c r="I1472" s="11" t="s">
        <v>175</v>
      </c>
    </row>
    <row r="1473" spans="1:9" x14ac:dyDescent="0.15">
      <c r="A1473" s="10">
        <v>1472</v>
      </c>
      <c r="B1473" s="11" t="s">
        <v>9</v>
      </c>
      <c r="C1473" s="11" t="s">
        <v>179</v>
      </c>
      <c r="D1473" s="11" t="s">
        <v>180</v>
      </c>
      <c r="E1473" s="9" t="str">
        <f>+HYPERLINK("http://trademark.i-assist.jp/data/china/image_1908th/79982758.pdf", "79982758")</f>
        <v>79982758</v>
      </c>
      <c r="F1473" s="11" t="s">
        <v>4237</v>
      </c>
      <c r="G1473" s="11" t="s">
        <v>135</v>
      </c>
      <c r="H1473" s="11" t="s">
        <v>4238</v>
      </c>
      <c r="I1473" s="11" t="s">
        <v>175</v>
      </c>
    </row>
    <row r="1474" spans="1:9" x14ac:dyDescent="0.15">
      <c r="A1474" s="10">
        <v>1473</v>
      </c>
      <c r="B1474" s="11" t="s">
        <v>9</v>
      </c>
      <c r="C1474" s="11" t="s">
        <v>179</v>
      </c>
      <c r="D1474" s="11" t="s">
        <v>180</v>
      </c>
      <c r="E1474" s="9" t="str">
        <f>+HYPERLINK("http://trademark.i-assist.jp/data/china/image_1908th/79982768.pdf", "79982768")</f>
        <v>79982768</v>
      </c>
      <c r="F1474" s="11" t="s">
        <v>4239</v>
      </c>
      <c r="G1474" s="11" t="s">
        <v>137</v>
      </c>
      <c r="H1474" s="11" t="s">
        <v>4240</v>
      </c>
      <c r="I1474" s="11" t="s">
        <v>175</v>
      </c>
    </row>
    <row r="1475" spans="1:9" x14ac:dyDescent="0.15">
      <c r="A1475" s="10">
        <v>1474</v>
      </c>
      <c r="B1475" s="11" t="s">
        <v>9</v>
      </c>
      <c r="C1475" s="11" t="s">
        <v>179</v>
      </c>
      <c r="D1475" s="11" t="s">
        <v>180</v>
      </c>
      <c r="E1475" s="9" t="str">
        <f>+HYPERLINK("http://trademark.i-assist.jp/data/china/image_1908th/79983125.pdf", "79983125")</f>
        <v>79983125</v>
      </c>
      <c r="F1475" s="11" t="s">
        <v>4241</v>
      </c>
      <c r="G1475" s="11" t="s">
        <v>4242</v>
      </c>
      <c r="H1475" s="11" t="s">
        <v>4243</v>
      </c>
      <c r="I1475" s="11" t="s">
        <v>175</v>
      </c>
    </row>
    <row r="1476" spans="1:9" x14ac:dyDescent="0.15">
      <c r="A1476" s="10">
        <v>1475</v>
      </c>
      <c r="B1476" s="11" t="s">
        <v>9</v>
      </c>
      <c r="C1476" s="11" t="s">
        <v>179</v>
      </c>
      <c r="D1476" s="11" t="s">
        <v>180</v>
      </c>
      <c r="E1476" s="9" t="str">
        <f>+HYPERLINK("http://trademark.i-assist.jp/data/china/image_1908th/79983453.pdf", "79983453")</f>
        <v>79983453</v>
      </c>
      <c r="F1476" s="11" t="s">
        <v>4244</v>
      </c>
      <c r="G1476" s="11" t="s">
        <v>4245</v>
      </c>
      <c r="H1476" s="11" t="s">
        <v>4246</v>
      </c>
      <c r="I1476" s="11" t="s">
        <v>175</v>
      </c>
    </row>
    <row r="1477" spans="1:9" x14ac:dyDescent="0.15">
      <c r="A1477" s="10">
        <v>1476</v>
      </c>
      <c r="B1477" s="11" t="s">
        <v>9</v>
      </c>
      <c r="C1477" s="11" t="s">
        <v>179</v>
      </c>
      <c r="D1477" s="11" t="s">
        <v>180</v>
      </c>
      <c r="E1477" s="9" t="str">
        <f>+HYPERLINK("http://trademark.i-assist.jp/data/china/image_1908th/79984196.pdf", "79984196")</f>
        <v>79984196</v>
      </c>
      <c r="F1477" s="11" t="s">
        <v>4247</v>
      </c>
      <c r="G1477" s="11" t="s">
        <v>4248</v>
      </c>
      <c r="H1477" s="11" t="s">
        <v>4249</v>
      </c>
      <c r="I1477" s="11" t="s">
        <v>175</v>
      </c>
    </row>
    <row r="1478" spans="1:9" x14ac:dyDescent="0.15">
      <c r="A1478" s="10">
        <v>1477</v>
      </c>
      <c r="B1478" s="11" t="s">
        <v>9</v>
      </c>
      <c r="C1478" s="11" t="s">
        <v>179</v>
      </c>
      <c r="D1478" s="11" t="s">
        <v>180</v>
      </c>
      <c r="E1478" s="9" t="str">
        <f>+HYPERLINK("http://trademark.i-assist.jp/data/china/image_1908th/79984660.pdf", "79984660")</f>
        <v>79984660</v>
      </c>
      <c r="F1478" s="11" t="s">
        <v>4250</v>
      </c>
      <c r="G1478" s="11" t="s">
        <v>4251</v>
      </c>
      <c r="H1478" s="11" t="s">
        <v>4252</v>
      </c>
      <c r="I1478" s="11" t="s">
        <v>175</v>
      </c>
    </row>
    <row r="1479" spans="1:9" x14ac:dyDescent="0.15">
      <c r="A1479" s="10">
        <v>1478</v>
      </c>
      <c r="B1479" s="11" t="s">
        <v>9</v>
      </c>
      <c r="C1479" s="11" t="s">
        <v>179</v>
      </c>
      <c r="D1479" s="11" t="s">
        <v>180</v>
      </c>
      <c r="E1479" s="9" t="str">
        <f>+HYPERLINK("http://trademark.i-assist.jp/data/china/image_1908th/79984974.pdf", "79984974")</f>
        <v>79984974</v>
      </c>
      <c r="F1479" s="11" t="s">
        <v>4096</v>
      </c>
      <c r="G1479" s="11" t="s">
        <v>4097</v>
      </c>
      <c r="H1479" s="11" t="s">
        <v>4253</v>
      </c>
      <c r="I1479" s="11" t="s">
        <v>175</v>
      </c>
    </row>
    <row r="1480" spans="1:9" x14ac:dyDescent="0.15">
      <c r="A1480" s="10">
        <v>1479</v>
      </c>
      <c r="B1480" s="11" t="s">
        <v>9</v>
      </c>
      <c r="C1480" s="11" t="s">
        <v>179</v>
      </c>
      <c r="D1480" s="11" t="s">
        <v>180</v>
      </c>
      <c r="E1480" s="9" t="str">
        <f>+HYPERLINK("http://trademark.i-assist.jp/data/china/image_1908th/79984987.pdf", "79984987")</f>
        <v>79984987</v>
      </c>
      <c r="F1480" s="11" t="s">
        <v>4254</v>
      </c>
      <c r="G1480" s="11" t="s">
        <v>4100</v>
      </c>
      <c r="H1480" s="11" t="s">
        <v>4255</v>
      </c>
      <c r="I1480" s="11" t="s">
        <v>175</v>
      </c>
    </row>
    <row r="1481" spans="1:9" x14ac:dyDescent="0.15">
      <c r="A1481" s="10">
        <v>1480</v>
      </c>
      <c r="B1481" s="11" t="s">
        <v>9</v>
      </c>
      <c r="C1481" s="11" t="s">
        <v>179</v>
      </c>
      <c r="D1481" s="11" t="s">
        <v>180</v>
      </c>
      <c r="E1481" s="9" t="str">
        <f>+HYPERLINK("http://trademark.i-assist.jp/data/china/image_1908th/79985945.pdf", "79985945")</f>
        <v>79985945</v>
      </c>
      <c r="F1481" s="11" t="s">
        <v>4256</v>
      </c>
      <c r="G1481" s="11" t="s">
        <v>4257</v>
      </c>
      <c r="H1481" s="11" t="s">
        <v>4258</v>
      </c>
      <c r="I1481" s="11" t="s">
        <v>175</v>
      </c>
    </row>
    <row r="1482" spans="1:9" x14ac:dyDescent="0.15">
      <c r="A1482" s="10">
        <v>1481</v>
      </c>
      <c r="B1482" s="11" t="s">
        <v>9</v>
      </c>
      <c r="C1482" s="11" t="s">
        <v>179</v>
      </c>
      <c r="D1482" s="11" t="s">
        <v>180</v>
      </c>
      <c r="E1482" s="9" t="str">
        <f>+HYPERLINK("http://trademark.i-assist.jp/data/china/image_1908th/79986010.pdf", "79986010")</f>
        <v>79986010</v>
      </c>
      <c r="F1482" s="11" t="s">
        <v>4259</v>
      </c>
      <c r="G1482" s="11" t="s">
        <v>173</v>
      </c>
      <c r="H1482" s="11" t="s">
        <v>4260</v>
      </c>
      <c r="I1482" s="11" t="s">
        <v>175</v>
      </c>
    </row>
    <row r="1483" spans="1:9" x14ac:dyDescent="0.15">
      <c r="A1483" s="10">
        <v>1482</v>
      </c>
      <c r="B1483" s="11" t="s">
        <v>9</v>
      </c>
      <c r="C1483" s="11" t="s">
        <v>179</v>
      </c>
      <c r="D1483" s="11" t="s">
        <v>180</v>
      </c>
      <c r="E1483" s="9" t="str">
        <f>+HYPERLINK("http://trademark.i-assist.jp/data/china/image_1908th/79986569.pdf", "79986569")</f>
        <v>79986569</v>
      </c>
      <c r="F1483" s="11" t="s">
        <v>4261</v>
      </c>
      <c r="G1483" s="11" t="s">
        <v>4262</v>
      </c>
      <c r="H1483" s="11" t="s">
        <v>4263</v>
      </c>
      <c r="I1483" s="11" t="s">
        <v>176</v>
      </c>
    </row>
    <row r="1484" spans="1:9" x14ac:dyDescent="0.15">
      <c r="A1484" s="10">
        <v>1483</v>
      </c>
      <c r="B1484" s="11" t="s">
        <v>9</v>
      </c>
      <c r="C1484" s="11" t="s">
        <v>179</v>
      </c>
      <c r="D1484" s="11" t="s">
        <v>180</v>
      </c>
      <c r="E1484" s="9" t="str">
        <f>+HYPERLINK("http://trademark.i-assist.jp/data/china/image_1908th/79986594.pdf", "79986594")</f>
        <v>79986594</v>
      </c>
      <c r="F1484" s="11" t="s">
        <v>4264</v>
      </c>
      <c r="G1484" s="11" t="s">
        <v>4265</v>
      </c>
      <c r="H1484" s="11" t="s">
        <v>4266</v>
      </c>
      <c r="I1484" s="11" t="s">
        <v>176</v>
      </c>
    </row>
    <row r="1485" spans="1:9" x14ac:dyDescent="0.15">
      <c r="A1485" s="10">
        <v>1484</v>
      </c>
      <c r="B1485" s="11" t="s">
        <v>9</v>
      </c>
      <c r="C1485" s="11" t="s">
        <v>179</v>
      </c>
      <c r="D1485" s="11" t="s">
        <v>180</v>
      </c>
      <c r="E1485" s="9" t="str">
        <f>+HYPERLINK("http://trademark.i-assist.jp/data/china/image_1908th/79986801.pdf", "79986801")</f>
        <v>79986801</v>
      </c>
      <c r="F1485" s="11" t="s">
        <v>4267</v>
      </c>
      <c r="G1485" s="11" t="s">
        <v>4268</v>
      </c>
      <c r="H1485" s="11" t="s">
        <v>4269</v>
      </c>
      <c r="I1485" s="11" t="s">
        <v>176</v>
      </c>
    </row>
    <row r="1486" spans="1:9" x14ac:dyDescent="0.15">
      <c r="A1486" s="10">
        <v>1485</v>
      </c>
      <c r="B1486" s="11" t="s">
        <v>9</v>
      </c>
      <c r="C1486" s="11" t="s">
        <v>179</v>
      </c>
      <c r="D1486" s="11" t="s">
        <v>180</v>
      </c>
      <c r="E1486" s="9" t="str">
        <f>+HYPERLINK("http://trademark.i-assist.jp/data/china/image_1908th/79986927.pdf", "79986927")</f>
        <v>79986927</v>
      </c>
      <c r="F1486" s="11" t="s">
        <v>4270</v>
      </c>
      <c r="G1486" s="11" t="s">
        <v>4271</v>
      </c>
      <c r="H1486" s="11" t="s">
        <v>4272</v>
      </c>
      <c r="I1486" s="11" t="s">
        <v>176</v>
      </c>
    </row>
    <row r="1487" spans="1:9" x14ac:dyDescent="0.15">
      <c r="A1487" s="10">
        <v>1486</v>
      </c>
      <c r="B1487" s="11" t="s">
        <v>9</v>
      </c>
      <c r="C1487" s="11" t="s">
        <v>179</v>
      </c>
      <c r="D1487" s="11" t="s">
        <v>180</v>
      </c>
      <c r="E1487" s="9" t="str">
        <f>+HYPERLINK("http://trademark.i-assist.jp/data/china/image_1908th/79987040.pdf", "79987040")</f>
        <v>79987040</v>
      </c>
      <c r="F1487" s="11" t="s">
        <v>4273</v>
      </c>
      <c r="G1487" s="11" t="s">
        <v>4274</v>
      </c>
      <c r="H1487" s="11" t="s">
        <v>4275</v>
      </c>
      <c r="I1487" s="11" t="s">
        <v>176</v>
      </c>
    </row>
    <row r="1488" spans="1:9" x14ac:dyDescent="0.15">
      <c r="A1488" s="10">
        <v>1487</v>
      </c>
      <c r="B1488" s="11" t="s">
        <v>9</v>
      </c>
      <c r="C1488" s="11" t="s">
        <v>179</v>
      </c>
      <c r="D1488" s="11" t="s">
        <v>180</v>
      </c>
      <c r="E1488" s="9" t="str">
        <f>+HYPERLINK("http://trademark.i-assist.jp/data/china/image_1908th/79987143.pdf", "79987143")</f>
        <v>79987143</v>
      </c>
      <c r="F1488" s="11" t="s">
        <v>4276</v>
      </c>
      <c r="G1488" s="11" t="s">
        <v>4277</v>
      </c>
      <c r="H1488" s="11" t="s">
        <v>4278</v>
      </c>
      <c r="I1488" s="11" t="s">
        <v>176</v>
      </c>
    </row>
    <row r="1489" spans="1:9" x14ac:dyDescent="0.15">
      <c r="A1489" s="10">
        <v>1488</v>
      </c>
      <c r="B1489" s="11" t="s">
        <v>9</v>
      </c>
      <c r="C1489" s="11" t="s">
        <v>179</v>
      </c>
      <c r="D1489" s="11" t="s">
        <v>180</v>
      </c>
      <c r="E1489" s="9" t="str">
        <f>+HYPERLINK("http://trademark.i-assist.jp/data/china/image_1908th/79987194.pdf", "79987194")</f>
        <v>79987194</v>
      </c>
      <c r="F1489" s="11" t="s">
        <v>4279</v>
      </c>
      <c r="G1489" s="11" t="s">
        <v>4280</v>
      </c>
      <c r="H1489" s="11" t="s">
        <v>4281</v>
      </c>
      <c r="I1489" s="11" t="s">
        <v>176</v>
      </c>
    </row>
    <row r="1490" spans="1:9" x14ac:dyDescent="0.15">
      <c r="A1490" s="10">
        <v>1489</v>
      </c>
      <c r="B1490" s="11" t="s">
        <v>9</v>
      </c>
      <c r="C1490" s="11" t="s">
        <v>179</v>
      </c>
      <c r="D1490" s="11" t="s">
        <v>180</v>
      </c>
      <c r="E1490" s="9" t="str">
        <f>+HYPERLINK("http://trademark.i-assist.jp/data/china/image_1908th/79987495.pdf", "79987495")</f>
        <v>79987495</v>
      </c>
      <c r="F1490" s="11" t="s">
        <v>4282</v>
      </c>
      <c r="G1490" s="11" t="s">
        <v>4283</v>
      </c>
      <c r="H1490" s="11" t="s">
        <v>4284</v>
      </c>
      <c r="I1490" s="11" t="s">
        <v>176</v>
      </c>
    </row>
    <row r="1491" spans="1:9" x14ac:dyDescent="0.15">
      <c r="A1491" s="10">
        <v>1490</v>
      </c>
      <c r="B1491" s="11" t="s">
        <v>9</v>
      </c>
      <c r="C1491" s="11" t="s">
        <v>179</v>
      </c>
      <c r="D1491" s="11" t="s">
        <v>180</v>
      </c>
      <c r="E1491" s="9" t="str">
        <f>+HYPERLINK("http://trademark.i-assist.jp/data/china/image_1908th/79987754.pdf", "79987754")</f>
        <v>79987754</v>
      </c>
      <c r="F1491" s="11" t="s">
        <v>4285</v>
      </c>
      <c r="G1491" s="11" t="s">
        <v>4286</v>
      </c>
      <c r="H1491" s="11" t="s">
        <v>4287</v>
      </c>
      <c r="I1491" s="11" t="s">
        <v>176</v>
      </c>
    </row>
    <row r="1492" spans="1:9" x14ac:dyDescent="0.15">
      <c r="A1492" s="10">
        <v>1491</v>
      </c>
      <c r="B1492" s="11" t="s">
        <v>9</v>
      </c>
      <c r="C1492" s="11" t="s">
        <v>179</v>
      </c>
      <c r="D1492" s="11" t="s">
        <v>180</v>
      </c>
      <c r="E1492" s="9" t="str">
        <f>+HYPERLINK("http://trademark.i-assist.jp/data/china/image_1908th/79987884.pdf", "79987884")</f>
        <v>79987884</v>
      </c>
      <c r="F1492" s="11" t="s">
        <v>4288</v>
      </c>
      <c r="G1492" s="11" t="s">
        <v>4289</v>
      </c>
      <c r="H1492" s="11" t="s">
        <v>4290</v>
      </c>
      <c r="I1492" s="11" t="s">
        <v>176</v>
      </c>
    </row>
    <row r="1493" spans="1:9" x14ac:dyDescent="0.15">
      <c r="A1493" s="10">
        <v>1492</v>
      </c>
      <c r="B1493" s="11" t="s">
        <v>9</v>
      </c>
      <c r="C1493" s="11" t="s">
        <v>179</v>
      </c>
      <c r="D1493" s="11" t="s">
        <v>180</v>
      </c>
      <c r="E1493" s="9" t="str">
        <f>+HYPERLINK("http://trademark.i-assist.jp/data/china/image_1908th/79987909.pdf", "79987909")</f>
        <v>79987909</v>
      </c>
      <c r="F1493" s="11" t="s">
        <v>4291</v>
      </c>
      <c r="G1493" s="11" t="s">
        <v>4292</v>
      </c>
      <c r="H1493" s="11" t="s">
        <v>4293</v>
      </c>
      <c r="I1493" s="11" t="s">
        <v>176</v>
      </c>
    </row>
    <row r="1494" spans="1:9" x14ac:dyDescent="0.15">
      <c r="A1494" s="10">
        <v>1493</v>
      </c>
      <c r="B1494" s="11" t="s">
        <v>9</v>
      </c>
      <c r="C1494" s="11" t="s">
        <v>179</v>
      </c>
      <c r="D1494" s="11" t="s">
        <v>180</v>
      </c>
      <c r="E1494" s="9" t="str">
        <f>+HYPERLINK("http://trademark.i-assist.jp/data/china/image_1908th/79987972.pdf", "79987972")</f>
        <v>79987972</v>
      </c>
      <c r="F1494" s="11" t="s">
        <v>4294</v>
      </c>
      <c r="G1494" s="11" t="s">
        <v>4295</v>
      </c>
      <c r="H1494" s="11" t="s">
        <v>4296</v>
      </c>
      <c r="I1494" s="11" t="s">
        <v>176</v>
      </c>
    </row>
    <row r="1495" spans="1:9" x14ac:dyDescent="0.15">
      <c r="A1495" s="10">
        <v>1494</v>
      </c>
      <c r="B1495" s="11" t="s">
        <v>9</v>
      </c>
      <c r="C1495" s="11" t="s">
        <v>179</v>
      </c>
      <c r="D1495" s="11" t="s">
        <v>180</v>
      </c>
      <c r="E1495" s="9" t="str">
        <f>+HYPERLINK("http://trademark.i-assist.jp/data/china/image_1908th/79988021.pdf", "79988021")</f>
        <v>79988021</v>
      </c>
      <c r="F1495" s="11" t="s">
        <v>4297</v>
      </c>
      <c r="G1495" s="11" t="s">
        <v>4298</v>
      </c>
      <c r="H1495" s="11" t="s">
        <v>4299</v>
      </c>
      <c r="I1495" s="11" t="s">
        <v>176</v>
      </c>
    </row>
    <row r="1496" spans="1:9" x14ac:dyDescent="0.15">
      <c r="A1496" s="10">
        <v>1495</v>
      </c>
      <c r="B1496" s="11" t="s">
        <v>9</v>
      </c>
      <c r="C1496" s="11" t="s">
        <v>179</v>
      </c>
      <c r="D1496" s="11" t="s">
        <v>180</v>
      </c>
      <c r="E1496" s="9" t="str">
        <f>+HYPERLINK("http://trademark.i-assist.jp/data/china/image_1908th/79988543.pdf", "79988543")</f>
        <v>79988543</v>
      </c>
      <c r="F1496" s="11" t="s">
        <v>4300</v>
      </c>
      <c r="G1496" s="11" t="s">
        <v>4301</v>
      </c>
      <c r="H1496" s="11" t="s">
        <v>4302</v>
      </c>
      <c r="I1496" s="11" t="s">
        <v>176</v>
      </c>
    </row>
    <row r="1497" spans="1:9" x14ac:dyDescent="0.15">
      <c r="A1497" s="10">
        <v>1496</v>
      </c>
      <c r="B1497" s="11" t="s">
        <v>9</v>
      </c>
      <c r="C1497" s="11" t="s">
        <v>179</v>
      </c>
      <c r="D1497" s="11" t="s">
        <v>180</v>
      </c>
      <c r="E1497" s="9" t="str">
        <f>+HYPERLINK("http://trademark.i-assist.jp/data/china/image_1908th/79988625.pdf", "79988625")</f>
        <v>79988625</v>
      </c>
      <c r="F1497" s="11" t="s">
        <v>4303</v>
      </c>
      <c r="G1497" s="11" t="s">
        <v>4268</v>
      </c>
      <c r="H1497" s="11" t="s">
        <v>4304</v>
      </c>
      <c r="I1497" s="11" t="s">
        <v>176</v>
      </c>
    </row>
    <row r="1498" spans="1:9" x14ac:dyDescent="0.15">
      <c r="A1498" s="10">
        <v>1497</v>
      </c>
      <c r="B1498" s="11" t="s">
        <v>9</v>
      </c>
      <c r="C1498" s="11" t="s">
        <v>179</v>
      </c>
      <c r="D1498" s="11" t="s">
        <v>180</v>
      </c>
      <c r="E1498" s="9" t="str">
        <f>+HYPERLINK("http://trademark.i-assist.jp/data/china/image_1908th/79989616.pdf", "79989616")</f>
        <v>79989616</v>
      </c>
      <c r="F1498" s="11" t="s">
        <v>4305</v>
      </c>
      <c r="G1498" s="11" t="s">
        <v>4306</v>
      </c>
      <c r="H1498" s="11" t="s">
        <v>4307</v>
      </c>
      <c r="I1498" s="11" t="s">
        <v>176</v>
      </c>
    </row>
    <row r="1499" spans="1:9" x14ac:dyDescent="0.15">
      <c r="A1499" s="10">
        <v>1498</v>
      </c>
      <c r="B1499" s="11" t="s">
        <v>9</v>
      </c>
      <c r="C1499" s="11" t="s">
        <v>179</v>
      </c>
      <c r="D1499" s="11" t="s">
        <v>180</v>
      </c>
      <c r="E1499" s="9" t="str">
        <f>+HYPERLINK("http://trademark.i-assist.jp/data/china/image_1908th/79989719.pdf", "79989719")</f>
        <v>79989719</v>
      </c>
      <c r="F1499" s="11" t="s">
        <v>4308</v>
      </c>
      <c r="G1499" s="11" t="s">
        <v>4309</v>
      </c>
      <c r="H1499" s="11" t="s">
        <v>4310</v>
      </c>
      <c r="I1499" s="11" t="s">
        <v>176</v>
      </c>
    </row>
    <row r="1500" spans="1:9" x14ac:dyDescent="0.15">
      <c r="A1500" s="10">
        <v>1499</v>
      </c>
      <c r="B1500" s="11" t="s">
        <v>9</v>
      </c>
      <c r="C1500" s="11" t="s">
        <v>179</v>
      </c>
      <c r="D1500" s="11" t="s">
        <v>180</v>
      </c>
      <c r="E1500" s="9" t="str">
        <f>+HYPERLINK("http://trademark.i-assist.jp/data/china/image_1908th/79990118.pdf", "79990118")</f>
        <v>79990118</v>
      </c>
      <c r="F1500" s="11" t="s">
        <v>4311</v>
      </c>
      <c r="G1500" s="11" t="s">
        <v>4312</v>
      </c>
      <c r="H1500" s="11" t="s">
        <v>4313</v>
      </c>
      <c r="I1500" s="11" t="s">
        <v>176</v>
      </c>
    </row>
    <row r="1501" spans="1:9" x14ac:dyDescent="0.15">
      <c r="A1501" s="10">
        <v>1500</v>
      </c>
      <c r="B1501" s="11" t="s">
        <v>9</v>
      </c>
      <c r="C1501" s="11" t="s">
        <v>179</v>
      </c>
      <c r="D1501" s="11" t="s">
        <v>180</v>
      </c>
      <c r="E1501" s="9" t="str">
        <f>+HYPERLINK("http://trademark.i-assist.jp/data/china/image_1908th/79990164.pdf", "79990164")</f>
        <v>79990164</v>
      </c>
      <c r="F1501" s="11" t="s">
        <v>4314</v>
      </c>
      <c r="G1501" s="11" t="s">
        <v>4315</v>
      </c>
      <c r="H1501" s="11" t="s">
        <v>4316</v>
      </c>
      <c r="I1501" s="11" t="s">
        <v>176</v>
      </c>
    </row>
    <row r="1502" spans="1:9" x14ac:dyDescent="0.15">
      <c r="A1502" s="10">
        <v>1501</v>
      </c>
      <c r="B1502" s="11" t="s">
        <v>9</v>
      </c>
      <c r="C1502" s="11" t="s">
        <v>179</v>
      </c>
      <c r="D1502" s="11" t="s">
        <v>180</v>
      </c>
      <c r="E1502" s="9" t="str">
        <f>+HYPERLINK("http://trademark.i-assist.jp/data/china/image_1908th/79990178.pdf", "79990178")</f>
        <v>79990178</v>
      </c>
      <c r="F1502" s="11" t="s">
        <v>4317</v>
      </c>
      <c r="G1502" s="11" t="s">
        <v>4318</v>
      </c>
      <c r="H1502" s="11" t="s">
        <v>4319</v>
      </c>
      <c r="I1502" s="11" t="s">
        <v>176</v>
      </c>
    </row>
    <row r="1503" spans="1:9" x14ac:dyDescent="0.15">
      <c r="A1503" s="10">
        <v>1502</v>
      </c>
      <c r="B1503" s="11" t="s">
        <v>9</v>
      </c>
      <c r="C1503" s="11" t="s">
        <v>179</v>
      </c>
      <c r="D1503" s="11" t="s">
        <v>180</v>
      </c>
      <c r="E1503" s="9" t="str">
        <f>+HYPERLINK("http://trademark.i-assist.jp/data/china/image_1908th/79990346.pdf", "79990346")</f>
        <v>79990346</v>
      </c>
      <c r="F1503" s="11" t="s">
        <v>4320</v>
      </c>
      <c r="G1503" s="11" t="s">
        <v>4321</v>
      </c>
      <c r="H1503" s="11" t="s">
        <v>4322</v>
      </c>
      <c r="I1503" s="11" t="s">
        <v>176</v>
      </c>
    </row>
    <row r="1504" spans="1:9" x14ac:dyDescent="0.15">
      <c r="A1504" s="10">
        <v>1503</v>
      </c>
      <c r="B1504" s="11" t="s">
        <v>9</v>
      </c>
      <c r="C1504" s="11" t="s">
        <v>179</v>
      </c>
      <c r="D1504" s="11" t="s">
        <v>180</v>
      </c>
      <c r="E1504" s="9" t="str">
        <f>+HYPERLINK("http://trademark.i-assist.jp/data/china/image_1908th/79990621.pdf", "79990621")</f>
        <v>79990621</v>
      </c>
      <c r="F1504" s="11" t="s">
        <v>4323</v>
      </c>
      <c r="G1504" s="11" t="s">
        <v>4324</v>
      </c>
      <c r="H1504" s="11" t="s">
        <v>4325</v>
      </c>
      <c r="I1504" s="11" t="s">
        <v>176</v>
      </c>
    </row>
    <row r="1505" spans="1:9" x14ac:dyDescent="0.15">
      <c r="A1505" s="10">
        <v>1504</v>
      </c>
      <c r="B1505" s="11" t="s">
        <v>9</v>
      </c>
      <c r="C1505" s="11" t="s">
        <v>179</v>
      </c>
      <c r="D1505" s="11" t="s">
        <v>180</v>
      </c>
      <c r="E1505" s="9" t="str">
        <f>+HYPERLINK("http://trademark.i-assist.jp/data/china/image_1908th/79990821.pdf", "79990821")</f>
        <v>79990821</v>
      </c>
      <c r="F1505" s="11" t="s">
        <v>4326</v>
      </c>
      <c r="G1505" s="11" t="s">
        <v>4327</v>
      </c>
      <c r="H1505" s="11" t="s">
        <v>4328</v>
      </c>
      <c r="I1505" s="11" t="s">
        <v>176</v>
      </c>
    </row>
    <row r="1506" spans="1:9" x14ac:dyDescent="0.15">
      <c r="A1506" s="10">
        <v>1505</v>
      </c>
      <c r="B1506" s="11" t="s">
        <v>9</v>
      </c>
      <c r="C1506" s="11" t="s">
        <v>179</v>
      </c>
      <c r="D1506" s="11" t="s">
        <v>180</v>
      </c>
      <c r="E1506" s="9" t="str">
        <f>+HYPERLINK("http://trademark.i-assist.jp/data/china/image_1908th/79990973.pdf", "79990973")</f>
        <v>79990973</v>
      </c>
      <c r="F1506" s="11" t="s">
        <v>10</v>
      </c>
      <c r="G1506" s="11" t="s">
        <v>4329</v>
      </c>
      <c r="H1506" s="11" t="s">
        <v>4330</v>
      </c>
      <c r="I1506" s="11" t="s">
        <v>176</v>
      </c>
    </row>
    <row r="1507" spans="1:9" x14ac:dyDescent="0.15">
      <c r="A1507" s="10">
        <v>1506</v>
      </c>
      <c r="B1507" s="11" t="s">
        <v>9</v>
      </c>
      <c r="C1507" s="11" t="s">
        <v>179</v>
      </c>
      <c r="D1507" s="11" t="s">
        <v>180</v>
      </c>
      <c r="E1507" s="9" t="str">
        <f>+HYPERLINK("http://trademark.i-assist.jp/data/china/image_1908th/79991169.pdf", "79991169")</f>
        <v>79991169</v>
      </c>
      <c r="F1507" s="11" t="s">
        <v>4331</v>
      </c>
      <c r="G1507" s="11" t="s">
        <v>4332</v>
      </c>
      <c r="H1507" s="11" t="s">
        <v>4333</v>
      </c>
      <c r="I1507" s="11" t="s">
        <v>176</v>
      </c>
    </row>
    <row r="1508" spans="1:9" x14ac:dyDescent="0.15">
      <c r="A1508" s="10">
        <v>1507</v>
      </c>
      <c r="B1508" s="11" t="s">
        <v>9</v>
      </c>
      <c r="C1508" s="11" t="s">
        <v>179</v>
      </c>
      <c r="D1508" s="11" t="s">
        <v>180</v>
      </c>
      <c r="E1508" s="9" t="str">
        <f>+HYPERLINK("http://trademark.i-assist.jp/data/china/image_1908th/79991625.pdf", "79991625")</f>
        <v>79991625</v>
      </c>
      <c r="F1508" s="11" t="s">
        <v>4334</v>
      </c>
      <c r="G1508" s="11" t="s">
        <v>3904</v>
      </c>
      <c r="H1508" s="11" t="s">
        <v>4335</v>
      </c>
      <c r="I1508" s="11" t="s">
        <v>176</v>
      </c>
    </row>
    <row r="1509" spans="1:9" x14ac:dyDescent="0.15">
      <c r="A1509" s="10">
        <v>1508</v>
      </c>
      <c r="B1509" s="11" t="s">
        <v>9</v>
      </c>
      <c r="C1509" s="11" t="s">
        <v>179</v>
      </c>
      <c r="D1509" s="11" t="s">
        <v>180</v>
      </c>
      <c r="E1509" s="9" t="str">
        <f>+HYPERLINK("http://trademark.i-assist.jp/data/china/image_1908th/79991696.pdf", "79991696")</f>
        <v>79991696</v>
      </c>
      <c r="F1509" s="11" t="s">
        <v>4336</v>
      </c>
      <c r="G1509" s="11" t="s">
        <v>2142</v>
      </c>
      <c r="H1509" s="11" t="s">
        <v>4337</v>
      </c>
      <c r="I1509" s="11" t="s">
        <v>176</v>
      </c>
    </row>
    <row r="1510" spans="1:9" x14ac:dyDescent="0.15">
      <c r="A1510" s="10">
        <v>1509</v>
      </c>
      <c r="B1510" s="11" t="s">
        <v>9</v>
      </c>
      <c r="C1510" s="11" t="s">
        <v>179</v>
      </c>
      <c r="D1510" s="11" t="s">
        <v>180</v>
      </c>
      <c r="E1510" s="9" t="str">
        <f>+HYPERLINK("http://trademark.i-assist.jp/data/china/image_1908th/79991703.pdf", "79991703")</f>
        <v>79991703</v>
      </c>
      <c r="F1510" s="11" t="s">
        <v>4338</v>
      </c>
      <c r="G1510" s="11" t="s">
        <v>4327</v>
      </c>
      <c r="H1510" s="11" t="s">
        <v>4339</v>
      </c>
      <c r="I1510" s="11" t="s">
        <v>176</v>
      </c>
    </row>
    <row r="1511" spans="1:9" x14ac:dyDescent="0.15">
      <c r="A1511" s="10">
        <v>1510</v>
      </c>
      <c r="B1511" s="11" t="s">
        <v>9</v>
      </c>
      <c r="C1511" s="11" t="s">
        <v>179</v>
      </c>
      <c r="D1511" s="11" t="s">
        <v>180</v>
      </c>
      <c r="E1511" s="9" t="str">
        <f>+HYPERLINK("http://trademark.i-assist.jp/data/china/image_1908th/79991989.pdf", "79991989")</f>
        <v>79991989</v>
      </c>
      <c r="F1511" s="11" t="s">
        <v>10</v>
      </c>
      <c r="G1511" s="11" t="s">
        <v>4340</v>
      </c>
      <c r="H1511" s="11" t="s">
        <v>4341</v>
      </c>
      <c r="I1511" s="11" t="s">
        <v>176</v>
      </c>
    </row>
    <row r="1512" spans="1:9" x14ac:dyDescent="0.15">
      <c r="A1512" s="10">
        <v>1511</v>
      </c>
      <c r="B1512" s="11" t="s">
        <v>9</v>
      </c>
      <c r="C1512" s="11" t="s">
        <v>179</v>
      </c>
      <c r="D1512" s="11" t="s">
        <v>180</v>
      </c>
      <c r="E1512" s="9" t="str">
        <f>+HYPERLINK("http://trademark.i-assist.jp/data/china/image_1908th/79992280.pdf", "79992280")</f>
        <v>79992280</v>
      </c>
      <c r="F1512" s="11" t="s">
        <v>4342</v>
      </c>
      <c r="G1512" s="11" t="s">
        <v>4343</v>
      </c>
      <c r="H1512" s="11" t="s">
        <v>4344</v>
      </c>
      <c r="I1512" s="11" t="s">
        <v>176</v>
      </c>
    </row>
    <row r="1513" spans="1:9" x14ac:dyDescent="0.15">
      <c r="A1513" s="10">
        <v>1512</v>
      </c>
      <c r="B1513" s="11" t="s">
        <v>9</v>
      </c>
      <c r="C1513" s="11" t="s">
        <v>179</v>
      </c>
      <c r="D1513" s="11" t="s">
        <v>180</v>
      </c>
      <c r="E1513" s="9" t="str">
        <f>+HYPERLINK("http://trademark.i-assist.jp/data/china/image_1908th/79992906.pdf", "79992906")</f>
        <v>79992906</v>
      </c>
      <c r="F1513" s="11" t="s">
        <v>4345</v>
      </c>
      <c r="G1513" s="11" t="s">
        <v>1022</v>
      </c>
      <c r="H1513" s="11" t="s">
        <v>4346</v>
      </c>
      <c r="I1513" s="11" t="s">
        <v>176</v>
      </c>
    </row>
    <row r="1514" spans="1:9" x14ac:dyDescent="0.15">
      <c r="A1514" s="10">
        <v>1513</v>
      </c>
      <c r="B1514" s="11" t="s">
        <v>9</v>
      </c>
      <c r="C1514" s="11" t="s">
        <v>179</v>
      </c>
      <c r="D1514" s="11" t="s">
        <v>180</v>
      </c>
      <c r="E1514" s="9" t="str">
        <f>+HYPERLINK("http://trademark.i-assist.jp/data/china/image_1908th/79993002.pdf", "79993002")</f>
        <v>79993002</v>
      </c>
      <c r="F1514" s="11" t="s">
        <v>4347</v>
      </c>
      <c r="G1514" s="11" t="s">
        <v>4348</v>
      </c>
      <c r="H1514" s="11" t="s">
        <v>4349</v>
      </c>
      <c r="I1514" s="11" t="s">
        <v>176</v>
      </c>
    </row>
    <row r="1515" spans="1:9" x14ac:dyDescent="0.15">
      <c r="A1515" s="10">
        <v>1514</v>
      </c>
      <c r="B1515" s="11" t="s">
        <v>9</v>
      </c>
      <c r="C1515" s="11" t="s">
        <v>179</v>
      </c>
      <c r="D1515" s="11" t="s">
        <v>180</v>
      </c>
      <c r="E1515" s="9" t="str">
        <f>+HYPERLINK("http://trademark.i-assist.jp/data/china/image_1908th/79993221.pdf", "79993221")</f>
        <v>79993221</v>
      </c>
      <c r="F1515" s="11" t="s">
        <v>4350</v>
      </c>
      <c r="G1515" s="11" t="s">
        <v>4351</v>
      </c>
      <c r="H1515" s="11" t="s">
        <v>4352</v>
      </c>
      <c r="I1515" s="11" t="s">
        <v>176</v>
      </c>
    </row>
    <row r="1516" spans="1:9" x14ac:dyDescent="0.15">
      <c r="A1516" s="10">
        <v>1515</v>
      </c>
      <c r="B1516" s="11" t="s">
        <v>9</v>
      </c>
      <c r="C1516" s="11" t="s">
        <v>179</v>
      </c>
      <c r="D1516" s="11" t="s">
        <v>180</v>
      </c>
      <c r="E1516" s="9" t="str">
        <f>+HYPERLINK("http://trademark.i-assist.jp/data/china/image_1908th/79993254.pdf", "79993254")</f>
        <v>79993254</v>
      </c>
      <c r="F1516" s="11" t="s">
        <v>4353</v>
      </c>
      <c r="G1516" s="11" t="s">
        <v>4354</v>
      </c>
      <c r="H1516" s="11" t="s">
        <v>4355</v>
      </c>
      <c r="I1516" s="11" t="s">
        <v>176</v>
      </c>
    </row>
    <row r="1517" spans="1:9" x14ac:dyDescent="0.15">
      <c r="A1517" s="10">
        <v>1516</v>
      </c>
      <c r="B1517" s="11" t="s">
        <v>9</v>
      </c>
      <c r="C1517" s="11" t="s">
        <v>179</v>
      </c>
      <c r="D1517" s="11" t="s">
        <v>180</v>
      </c>
      <c r="E1517" s="9" t="str">
        <f>+HYPERLINK("http://trademark.i-assist.jp/data/china/image_1908th/79993276.pdf", "79993276")</f>
        <v>79993276</v>
      </c>
      <c r="F1517" s="11" t="s">
        <v>4356</v>
      </c>
      <c r="G1517" s="11" t="s">
        <v>4354</v>
      </c>
      <c r="H1517" s="11" t="s">
        <v>4357</v>
      </c>
      <c r="I1517" s="11" t="s">
        <v>176</v>
      </c>
    </row>
    <row r="1518" spans="1:9" x14ac:dyDescent="0.15">
      <c r="A1518" s="10">
        <v>1517</v>
      </c>
      <c r="B1518" s="11" t="s">
        <v>9</v>
      </c>
      <c r="C1518" s="11" t="s">
        <v>179</v>
      </c>
      <c r="D1518" s="11" t="s">
        <v>180</v>
      </c>
      <c r="E1518" s="9" t="str">
        <f>+HYPERLINK("http://trademark.i-assist.jp/data/china/image_1908th/79993299.pdf", "79993299")</f>
        <v>79993299</v>
      </c>
      <c r="F1518" s="11" t="s">
        <v>4358</v>
      </c>
      <c r="G1518" s="11" t="s">
        <v>4359</v>
      </c>
      <c r="H1518" s="11" t="s">
        <v>4360</v>
      </c>
      <c r="I1518" s="11" t="s">
        <v>176</v>
      </c>
    </row>
    <row r="1519" spans="1:9" x14ac:dyDescent="0.15">
      <c r="A1519" s="10">
        <v>1518</v>
      </c>
      <c r="B1519" s="11" t="s">
        <v>9</v>
      </c>
      <c r="C1519" s="11" t="s">
        <v>179</v>
      </c>
      <c r="D1519" s="11" t="s">
        <v>180</v>
      </c>
      <c r="E1519" s="9" t="str">
        <f>+HYPERLINK("http://trademark.i-assist.jp/data/china/image_1908th/79993337.pdf", "79993337")</f>
        <v>79993337</v>
      </c>
      <c r="F1519" s="11" t="s">
        <v>4361</v>
      </c>
      <c r="G1519" s="11" t="s">
        <v>4292</v>
      </c>
      <c r="H1519" s="11" t="s">
        <v>4362</v>
      </c>
      <c r="I1519" s="11" t="s">
        <v>176</v>
      </c>
    </row>
    <row r="1520" spans="1:9" x14ac:dyDescent="0.15">
      <c r="A1520" s="10">
        <v>1519</v>
      </c>
      <c r="B1520" s="11" t="s">
        <v>9</v>
      </c>
      <c r="C1520" s="11" t="s">
        <v>179</v>
      </c>
      <c r="D1520" s="11" t="s">
        <v>180</v>
      </c>
      <c r="E1520" s="9" t="str">
        <f>+HYPERLINK("http://trademark.i-assist.jp/data/china/image_1908th/79993352.pdf", "79993352")</f>
        <v>79993352</v>
      </c>
      <c r="F1520" s="11" t="s">
        <v>4363</v>
      </c>
      <c r="G1520" s="11" t="s">
        <v>4283</v>
      </c>
      <c r="H1520" s="11" t="s">
        <v>4364</v>
      </c>
      <c r="I1520" s="11" t="s">
        <v>176</v>
      </c>
    </row>
    <row r="1521" spans="1:9" x14ac:dyDescent="0.15">
      <c r="A1521" s="10">
        <v>1520</v>
      </c>
      <c r="B1521" s="11" t="s">
        <v>9</v>
      </c>
      <c r="C1521" s="11" t="s">
        <v>179</v>
      </c>
      <c r="D1521" s="11" t="s">
        <v>180</v>
      </c>
      <c r="E1521" s="9" t="str">
        <f>+HYPERLINK("http://trademark.i-assist.jp/data/china/image_1908th/79993610.pdf", "79993610")</f>
        <v>79993610</v>
      </c>
      <c r="F1521" s="11" t="s">
        <v>4365</v>
      </c>
      <c r="G1521" s="11" t="s">
        <v>4366</v>
      </c>
      <c r="H1521" s="11" t="s">
        <v>4367</v>
      </c>
      <c r="I1521" s="11" t="s">
        <v>176</v>
      </c>
    </row>
    <row r="1522" spans="1:9" x14ac:dyDescent="0.15">
      <c r="A1522" s="10">
        <v>1521</v>
      </c>
      <c r="B1522" s="11" t="s">
        <v>9</v>
      </c>
      <c r="C1522" s="11" t="s">
        <v>179</v>
      </c>
      <c r="D1522" s="11" t="s">
        <v>180</v>
      </c>
      <c r="E1522" s="9" t="str">
        <f>+HYPERLINK("http://trademark.i-assist.jp/data/china/image_1908th/79993811.pdf", "79993811")</f>
        <v>79993811</v>
      </c>
      <c r="F1522" s="11" t="s">
        <v>4368</v>
      </c>
      <c r="G1522" s="11" t="s">
        <v>4369</v>
      </c>
      <c r="H1522" s="11" t="s">
        <v>4370</v>
      </c>
      <c r="I1522" s="11" t="s">
        <v>176</v>
      </c>
    </row>
    <row r="1523" spans="1:9" x14ac:dyDescent="0.15">
      <c r="A1523" s="10">
        <v>1522</v>
      </c>
      <c r="B1523" s="11" t="s">
        <v>9</v>
      </c>
      <c r="C1523" s="11" t="s">
        <v>179</v>
      </c>
      <c r="D1523" s="11" t="s">
        <v>180</v>
      </c>
      <c r="E1523" s="9" t="str">
        <f>+HYPERLINK("http://trademark.i-assist.jp/data/china/image_1908th/79994096.pdf", "79994096")</f>
        <v>79994096</v>
      </c>
      <c r="F1523" s="11" t="s">
        <v>4371</v>
      </c>
      <c r="G1523" s="11" t="s">
        <v>4372</v>
      </c>
      <c r="H1523" s="11" t="s">
        <v>4373</v>
      </c>
      <c r="I1523" s="11" t="s">
        <v>176</v>
      </c>
    </row>
    <row r="1524" spans="1:9" x14ac:dyDescent="0.15">
      <c r="A1524" s="10">
        <v>1523</v>
      </c>
      <c r="B1524" s="11" t="s">
        <v>9</v>
      </c>
      <c r="C1524" s="11" t="s">
        <v>179</v>
      </c>
      <c r="D1524" s="11" t="s">
        <v>180</v>
      </c>
      <c r="E1524" s="9" t="str">
        <f>+HYPERLINK("http://trademark.i-assist.jp/data/china/image_1908th/79994504.pdf", "79994504")</f>
        <v>79994504</v>
      </c>
      <c r="F1524" s="11" t="s">
        <v>4374</v>
      </c>
      <c r="G1524" s="11" t="s">
        <v>4375</v>
      </c>
      <c r="H1524" s="11" t="s">
        <v>4376</v>
      </c>
      <c r="I1524" s="11" t="s">
        <v>176</v>
      </c>
    </row>
    <row r="1525" spans="1:9" x14ac:dyDescent="0.15">
      <c r="A1525" s="10">
        <v>1524</v>
      </c>
      <c r="B1525" s="11" t="s">
        <v>9</v>
      </c>
      <c r="C1525" s="11" t="s">
        <v>179</v>
      </c>
      <c r="D1525" s="11" t="s">
        <v>180</v>
      </c>
      <c r="E1525" s="9" t="str">
        <f>+HYPERLINK("http://trademark.i-assist.jp/data/china/image_1908th/79994841.pdf", "79994841")</f>
        <v>79994841</v>
      </c>
      <c r="F1525" s="11" t="s">
        <v>4377</v>
      </c>
      <c r="G1525" s="11" t="s">
        <v>4378</v>
      </c>
      <c r="H1525" s="11" t="s">
        <v>4379</v>
      </c>
      <c r="I1525" s="11" t="s">
        <v>176</v>
      </c>
    </row>
    <row r="1526" spans="1:9" x14ac:dyDescent="0.15">
      <c r="A1526" s="10">
        <v>1525</v>
      </c>
      <c r="B1526" s="11" t="s">
        <v>9</v>
      </c>
      <c r="C1526" s="11" t="s">
        <v>179</v>
      </c>
      <c r="D1526" s="11" t="s">
        <v>180</v>
      </c>
      <c r="E1526" s="9" t="str">
        <f>+HYPERLINK("http://trademark.i-assist.jp/data/china/image_1908th/79994879.pdf", "79994879")</f>
        <v>79994879</v>
      </c>
      <c r="F1526" s="11" t="s">
        <v>4380</v>
      </c>
      <c r="G1526" s="11" t="s">
        <v>4381</v>
      </c>
      <c r="H1526" s="11" t="s">
        <v>4382</v>
      </c>
      <c r="I1526" s="11" t="s">
        <v>176</v>
      </c>
    </row>
    <row r="1527" spans="1:9" x14ac:dyDescent="0.15">
      <c r="A1527" s="10">
        <v>1526</v>
      </c>
      <c r="B1527" s="11" t="s">
        <v>9</v>
      </c>
      <c r="C1527" s="11" t="s">
        <v>179</v>
      </c>
      <c r="D1527" s="11" t="s">
        <v>180</v>
      </c>
      <c r="E1527" s="9" t="str">
        <f>+HYPERLINK("http://trademark.i-assist.jp/data/china/image_1908th/79995188.pdf", "79995188")</f>
        <v>79995188</v>
      </c>
      <c r="F1527" s="11" t="s">
        <v>4383</v>
      </c>
      <c r="G1527" s="11" t="s">
        <v>4384</v>
      </c>
      <c r="H1527" s="11" t="s">
        <v>4385</v>
      </c>
      <c r="I1527" s="11" t="s">
        <v>176</v>
      </c>
    </row>
    <row r="1528" spans="1:9" x14ac:dyDescent="0.15">
      <c r="A1528" s="10">
        <v>1527</v>
      </c>
      <c r="B1528" s="11" t="s">
        <v>9</v>
      </c>
      <c r="C1528" s="11" t="s">
        <v>179</v>
      </c>
      <c r="D1528" s="11" t="s">
        <v>180</v>
      </c>
      <c r="E1528" s="9" t="str">
        <f>+HYPERLINK("http://trademark.i-assist.jp/data/china/image_1908th/79995204.pdf", "79995204")</f>
        <v>79995204</v>
      </c>
      <c r="F1528" s="11" t="s">
        <v>4386</v>
      </c>
      <c r="G1528" s="11" t="s">
        <v>4387</v>
      </c>
      <c r="H1528" s="11" t="s">
        <v>4388</v>
      </c>
      <c r="I1528" s="11" t="s">
        <v>176</v>
      </c>
    </row>
    <row r="1529" spans="1:9" x14ac:dyDescent="0.15">
      <c r="A1529" s="10">
        <v>1528</v>
      </c>
      <c r="B1529" s="11" t="s">
        <v>9</v>
      </c>
      <c r="C1529" s="11" t="s">
        <v>179</v>
      </c>
      <c r="D1529" s="11" t="s">
        <v>180</v>
      </c>
      <c r="E1529" s="9" t="str">
        <f>+HYPERLINK("http://trademark.i-assist.jp/data/china/image_1908th/79995223.pdf", "79995223")</f>
        <v>79995223</v>
      </c>
      <c r="F1529" s="11" t="s">
        <v>4389</v>
      </c>
      <c r="G1529" s="11" t="s">
        <v>4390</v>
      </c>
      <c r="H1529" s="11" t="s">
        <v>4391</v>
      </c>
      <c r="I1529" s="11" t="s">
        <v>176</v>
      </c>
    </row>
    <row r="1530" spans="1:9" x14ac:dyDescent="0.15">
      <c r="A1530" s="10">
        <v>1529</v>
      </c>
      <c r="B1530" s="11" t="s">
        <v>9</v>
      </c>
      <c r="C1530" s="11" t="s">
        <v>179</v>
      </c>
      <c r="D1530" s="11" t="s">
        <v>180</v>
      </c>
      <c r="E1530" s="9" t="str">
        <f>+HYPERLINK("http://trademark.i-assist.jp/data/china/image_1908th/79995270.pdf", "79995270")</f>
        <v>79995270</v>
      </c>
      <c r="F1530" s="11" t="s">
        <v>4392</v>
      </c>
      <c r="G1530" s="11" t="s">
        <v>162</v>
      </c>
      <c r="H1530" s="11" t="s">
        <v>4393</v>
      </c>
      <c r="I1530" s="11" t="s">
        <v>176</v>
      </c>
    </row>
    <row r="1531" spans="1:9" x14ac:dyDescent="0.15">
      <c r="A1531" s="10">
        <v>1530</v>
      </c>
      <c r="B1531" s="11" t="s">
        <v>9</v>
      </c>
      <c r="C1531" s="11" t="s">
        <v>179</v>
      </c>
      <c r="D1531" s="11" t="s">
        <v>180</v>
      </c>
      <c r="E1531" s="9" t="str">
        <f>+HYPERLINK("http://trademark.i-assist.jp/data/china/image_1908th/79995881.pdf", "79995881")</f>
        <v>79995881</v>
      </c>
      <c r="F1531" s="11" t="s">
        <v>4394</v>
      </c>
      <c r="G1531" s="11" t="s">
        <v>4395</v>
      </c>
      <c r="H1531" s="11" t="s">
        <v>4396</v>
      </c>
      <c r="I1531" s="11" t="s">
        <v>176</v>
      </c>
    </row>
    <row r="1532" spans="1:9" x14ac:dyDescent="0.15">
      <c r="A1532" s="10">
        <v>1531</v>
      </c>
      <c r="B1532" s="11" t="s">
        <v>9</v>
      </c>
      <c r="C1532" s="11" t="s">
        <v>179</v>
      </c>
      <c r="D1532" s="11" t="s">
        <v>180</v>
      </c>
      <c r="E1532" s="9" t="str">
        <f>+HYPERLINK("http://trademark.i-assist.jp/data/china/image_1908th/79996088.pdf", "79996088")</f>
        <v>79996088</v>
      </c>
      <c r="F1532" s="11" t="s">
        <v>4397</v>
      </c>
      <c r="G1532" s="11" t="s">
        <v>4398</v>
      </c>
      <c r="H1532" s="11" t="s">
        <v>4399</v>
      </c>
      <c r="I1532" s="11" t="s">
        <v>176</v>
      </c>
    </row>
    <row r="1533" spans="1:9" x14ac:dyDescent="0.15">
      <c r="A1533" s="10">
        <v>1532</v>
      </c>
      <c r="B1533" s="11" t="s">
        <v>9</v>
      </c>
      <c r="C1533" s="11" t="s">
        <v>179</v>
      </c>
      <c r="D1533" s="11" t="s">
        <v>180</v>
      </c>
      <c r="E1533" s="9" t="str">
        <f>+HYPERLINK("http://trademark.i-assist.jp/data/china/image_1908th/79996151.pdf", "79996151")</f>
        <v>79996151</v>
      </c>
      <c r="F1533" s="11" t="s">
        <v>4400</v>
      </c>
      <c r="G1533" s="11" t="s">
        <v>1948</v>
      </c>
      <c r="H1533" s="11" t="s">
        <v>4401</v>
      </c>
      <c r="I1533" s="11" t="s">
        <v>176</v>
      </c>
    </row>
    <row r="1534" spans="1:9" x14ac:dyDescent="0.15">
      <c r="A1534" s="10">
        <v>1533</v>
      </c>
      <c r="B1534" s="11" t="s">
        <v>9</v>
      </c>
      <c r="C1534" s="11" t="s">
        <v>179</v>
      </c>
      <c r="D1534" s="11" t="s">
        <v>180</v>
      </c>
      <c r="E1534" s="9" t="str">
        <f>+HYPERLINK("http://trademark.i-assist.jp/data/china/image_1908th/79996247.pdf", "79996247")</f>
        <v>79996247</v>
      </c>
      <c r="F1534" s="11" t="s">
        <v>4402</v>
      </c>
      <c r="G1534" s="11" t="s">
        <v>4403</v>
      </c>
      <c r="H1534" s="11" t="s">
        <v>4404</v>
      </c>
      <c r="I1534" s="11" t="s">
        <v>176</v>
      </c>
    </row>
    <row r="1535" spans="1:9" x14ac:dyDescent="0.15">
      <c r="A1535" s="10">
        <v>1534</v>
      </c>
      <c r="B1535" s="11" t="s">
        <v>9</v>
      </c>
      <c r="C1535" s="11" t="s">
        <v>179</v>
      </c>
      <c r="D1535" s="11" t="s">
        <v>180</v>
      </c>
      <c r="E1535" s="9" t="str">
        <f>+HYPERLINK("http://trademark.i-assist.jp/data/china/image_1908th/79996275.pdf", "79996275")</f>
        <v>79996275</v>
      </c>
      <c r="F1535" s="11" t="s">
        <v>4405</v>
      </c>
      <c r="G1535" s="11" t="s">
        <v>4340</v>
      </c>
      <c r="H1535" s="11" t="s">
        <v>4406</v>
      </c>
      <c r="I1535" s="11" t="s">
        <v>176</v>
      </c>
    </row>
    <row r="1536" spans="1:9" x14ac:dyDescent="0.15">
      <c r="A1536" s="10">
        <v>1535</v>
      </c>
      <c r="B1536" s="11" t="s">
        <v>9</v>
      </c>
      <c r="C1536" s="11" t="s">
        <v>179</v>
      </c>
      <c r="D1536" s="11" t="s">
        <v>180</v>
      </c>
      <c r="E1536" s="9" t="str">
        <f>+HYPERLINK("http://trademark.i-assist.jp/data/china/image_1908th/79996451.pdf", "79996451")</f>
        <v>79996451</v>
      </c>
      <c r="F1536" s="11" t="s">
        <v>10</v>
      </c>
      <c r="G1536" s="11" t="s">
        <v>4407</v>
      </c>
      <c r="H1536" s="11" t="s">
        <v>4408</v>
      </c>
      <c r="I1536" s="11" t="s">
        <v>176</v>
      </c>
    </row>
    <row r="1537" spans="1:9" x14ac:dyDescent="0.15">
      <c r="A1537" s="10">
        <v>1536</v>
      </c>
      <c r="B1537" s="11" t="s">
        <v>9</v>
      </c>
      <c r="C1537" s="11" t="s">
        <v>179</v>
      </c>
      <c r="D1537" s="11" t="s">
        <v>180</v>
      </c>
      <c r="E1537" s="9" t="str">
        <f>+HYPERLINK("http://trademark.i-assist.jp/data/china/image_1908th/79996706.pdf", "79996706")</f>
        <v>79996706</v>
      </c>
      <c r="F1537" s="11" t="s">
        <v>4409</v>
      </c>
      <c r="G1537" s="11" t="s">
        <v>4410</v>
      </c>
      <c r="H1537" s="11" t="s">
        <v>4411</v>
      </c>
      <c r="I1537" s="11" t="s">
        <v>176</v>
      </c>
    </row>
    <row r="1538" spans="1:9" x14ac:dyDescent="0.15">
      <c r="A1538" s="10">
        <v>1537</v>
      </c>
      <c r="B1538" s="11" t="s">
        <v>9</v>
      </c>
      <c r="C1538" s="11" t="s">
        <v>179</v>
      </c>
      <c r="D1538" s="11" t="s">
        <v>180</v>
      </c>
      <c r="E1538" s="9" t="str">
        <f>+HYPERLINK("http://trademark.i-assist.jp/data/china/image_1908th/79996735.pdf", "79996735")</f>
        <v>79996735</v>
      </c>
      <c r="F1538" s="11" t="s">
        <v>4412</v>
      </c>
      <c r="G1538" s="11" t="s">
        <v>1690</v>
      </c>
      <c r="H1538" s="11" t="s">
        <v>4413</v>
      </c>
      <c r="I1538" s="11" t="s">
        <v>176</v>
      </c>
    </row>
    <row r="1539" spans="1:9" x14ac:dyDescent="0.15">
      <c r="A1539" s="10">
        <v>1538</v>
      </c>
      <c r="B1539" s="11" t="s">
        <v>9</v>
      </c>
      <c r="C1539" s="11" t="s">
        <v>179</v>
      </c>
      <c r="D1539" s="11" t="s">
        <v>180</v>
      </c>
      <c r="E1539" s="9" t="str">
        <f>+HYPERLINK("http://trademark.i-assist.jp/data/china/image_1908th/79997149.pdf", "79997149")</f>
        <v>79997149</v>
      </c>
      <c r="F1539" s="11" t="s">
        <v>4414</v>
      </c>
      <c r="G1539" s="11" t="s">
        <v>4415</v>
      </c>
      <c r="H1539" s="11" t="s">
        <v>4416</v>
      </c>
      <c r="I1539" s="11" t="s">
        <v>176</v>
      </c>
    </row>
    <row r="1540" spans="1:9" x14ac:dyDescent="0.15">
      <c r="A1540" s="10">
        <v>1539</v>
      </c>
      <c r="B1540" s="11" t="s">
        <v>9</v>
      </c>
      <c r="C1540" s="11" t="s">
        <v>179</v>
      </c>
      <c r="D1540" s="11" t="s">
        <v>180</v>
      </c>
      <c r="E1540" s="9" t="str">
        <f>+HYPERLINK("http://trademark.i-assist.jp/data/china/image_1908th/79997278.pdf", "79997278")</f>
        <v>79997278</v>
      </c>
      <c r="F1540" s="11" t="s">
        <v>4417</v>
      </c>
      <c r="G1540" s="11" t="s">
        <v>4418</v>
      </c>
      <c r="H1540" s="11" t="s">
        <v>4419</v>
      </c>
      <c r="I1540" s="11" t="s">
        <v>176</v>
      </c>
    </row>
    <row r="1541" spans="1:9" x14ac:dyDescent="0.15">
      <c r="A1541" s="10">
        <v>1540</v>
      </c>
      <c r="B1541" s="11" t="s">
        <v>9</v>
      </c>
      <c r="C1541" s="11" t="s">
        <v>179</v>
      </c>
      <c r="D1541" s="11" t="s">
        <v>180</v>
      </c>
      <c r="E1541" s="9" t="str">
        <f>+HYPERLINK("http://trademark.i-assist.jp/data/china/image_1908th/79997524.pdf", "79997524")</f>
        <v>79997524</v>
      </c>
      <c r="F1541" s="11" t="s">
        <v>4420</v>
      </c>
      <c r="G1541" s="11" t="s">
        <v>4277</v>
      </c>
      <c r="H1541" s="11" t="s">
        <v>4421</v>
      </c>
      <c r="I1541" s="11" t="s">
        <v>176</v>
      </c>
    </row>
    <row r="1542" spans="1:9" x14ac:dyDescent="0.15">
      <c r="A1542" s="10">
        <v>1541</v>
      </c>
      <c r="B1542" s="11" t="s">
        <v>9</v>
      </c>
      <c r="C1542" s="11" t="s">
        <v>179</v>
      </c>
      <c r="D1542" s="11" t="s">
        <v>180</v>
      </c>
      <c r="E1542" s="9" t="str">
        <f>+HYPERLINK("http://trademark.i-assist.jp/data/china/image_1908th/79997531.pdf", "79997531")</f>
        <v>79997531</v>
      </c>
      <c r="F1542" s="11" t="s">
        <v>4422</v>
      </c>
      <c r="G1542" s="11" t="s">
        <v>4277</v>
      </c>
      <c r="H1542" s="11" t="s">
        <v>4423</v>
      </c>
      <c r="I1542" s="11" t="s">
        <v>176</v>
      </c>
    </row>
    <row r="1543" spans="1:9" x14ac:dyDescent="0.15">
      <c r="A1543" s="10">
        <v>1542</v>
      </c>
      <c r="B1543" s="11" t="s">
        <v>9</v>
      </c>
      <c r="C1543" s="11" t="s">
        <v>179</v>
      </c>
      <c r="D1543" s="11" t="s">
        <v>180</v>
      </c>
      <c r="E1543" s="9" t="str">
        <f>+HYPERLINK("http://trademark.i-assist.jp/data/china/image_1908th/79997553.pdf", "79997553")</f>
        <v>79997553</v>
      </c>
      <c r="F1543" s="11" t="s">
        <v>4424</v>
      </c>
      <c r="G1543" s="11" t="s">
        <v>4425</v>
      </c>
      <c r="H1543" s="11" t="s">
        <v>4426</v>
      </c>
      <c r="I1543" s="11" t="s">
        <v>176</v>
      </c>
    </row>
    <row r="1544" spans="1:9" x14ac:dyDescent="0.15">
      <c r="A1544" s="10">
        <v>1543</v>
      </c>
      <c r="B1544" s="11" t="s">
        <v>9</v>
      </c>
      <c r="C1544" s="11" t="s">
        <v>179</v>
      </c>
      <c r="D1544" s="11" t="s">
        <v>180</v>
      </c>
      <c r="E1544" s="9" t="str">
        <f>+HYPERLINK("http://trademark.i-assist.jp/data/china/image_1908th/79997865.pdf", "79997865")</f>
        <v>79997865</v>
      </c>
      <c r="F1544" s="11" t="s">
        <v>4427</v>
      </c>
      <c r="G1544" s="11" t="s">
        <v>4428</v>
      </c>
      <c r="H1544" s="11" t="s">
        <v>4429</v>
      </c>
      <c r="I1544" s="11" t="s">
        <v>176</v>
      </c>
    </row>
    <row r="1545" spans="1:9" x14ac:dyDescent="0.15">
      <c r="A1545" s="10">
        <v>1544</v>
      </c>
      <c r="B1545" s="11" t="s">
        <v>9</v>
      </c>
      <c r="C1545" s="11" t="s">
        <v>179</v>
      </c>
      <c r="D1545" s="11" t="s">
        <v>180</v>
      </c>
      <c r="E1545" s="9" t="str">
        <f>+HYPERLINK("http://trademark.i-assist.jp/data/china/image_1908th/79998254.pdf", "79998254")</f>
        <v>79998254</v>
      </c>
      <c r="F1545" s="11" t="s">
        <v>4430</v>
      </c>
      <c r="G1545" s="11" t="s">
        <v>4327</v>
      </c>
      <c r="H1545" s="11" t="s">
        <v>4431</v>
      </c>
      <c r="I1545" s="11" t="s">
        <v>176</v>
      </c>
    </row>
    <row r="1546" spans="1:9" x14ac:dyDescent="0.15">
      <c r="A1546" s="10">
        <v>1545</v>
      </c>
      <c r="B1546" s="11" t="s">
        <v>9</v>
      </c>
      <c r="C1546" s="11" t="s">
        <v>179</v>
      </c>
      <c r="D1546" s="11" t="s">
        <v>180</v>
      </c>
      <c r="E1546" s="9" t="str">
        <f>+HYPERLINK("http://trademark.i-assist.jp/data/china/image_1908th/79998275.pdf", "79998275")</f>
        <v>79998275</v>
      </c>
      <c r="F1546" s="11" t="s">
        <v>10</v>
      </c>
      <c r="G1546" s="11" t="s">
        <v>4432</v>
      </c>
      <c r="H1546" s="11" t="s">
        <v>4433</v>
      </c>
      <c r="I1546" s="11" t="s">
        <v>176</v>
      </c>
    </row>
    <row r="1547" spans="1:9" x14ac:dyDescent="0.15">
      <c r="A1547" s="10">
        <v>1546</v>
      </c>
      <c r="B1547" s="11" t="s">
        <v>9</v>
      </c>
      <c r="C1547" s="11" t="s">
        <v>179</v>
      </c>
      <c r="D1547" s="11" t="s">
        <v>180</v>
      </c>
      <c r="E1547" s="9" t="str">
        <f>+HYPERLINK("http://trademark.i-assist.jp/data/china/image_1908th/79998565.pdf", "79998565")</f>
        <v>79998565</v>
      </c>
      <c r="F1547" s="11" t="s">
        <v>4434</v>
      </c>
      <c r="G1547" s="11" t="s">
        <v>4435</v>
      </c>
      <c r="H1547" s="11" t="s">
        <v>4436</v>
      </c>
      <c r="I1547" s="11" t="s">
        <v>176</v>
      </c>
    </row>
    <row r="1548" spans="1:9" x14ac:dyDescent="0.15">
      <c r="A1548" s="10">
        <v>1547</v>
      </c>
      <c r="B1548" s="11" t="s">
        <v>9</v>
      </c>
      <c r="C1548" s="11" t="s">
        <v>179</v>
      </c>
      <c r="D1548" s="11" t="s">
        <v>180</v>
      </c>
      <c r="E1548" s="9" t="str">
        <f>+HYPERLINK("http://trademark.i-assist.jp/data/china/image_1908th/79998734.pdf", "79998734")</f>
        <v>79998734</v>
      </c>
      <c r="F1548" s="11" t="s">
        <v>4437</v>
      </c>
      <c r="G1548" s="11" t="s">
        <v>158</v>
      </c>
      <c r="H1548" s="11" t="s">
        <v>4438</v>
      </c>
      <c r="I1548" s="11" t="s">
        <v>176</v>
      </c>
    </row>
    <row r="1549" spans="1:9" x14ac:dyDescent="0.15">
      <c r="A1549" s="10">
        <v>1548</v>
      </c>
      <c r="B1549" s="11" t="s">
        <v>9</v>
      </c>
      <c r="C1549" s="11" t="s">
        <v>179</v>
      </c>
      <c r="D1549" s="11" t="s">
        <v>180</v>
      </c>
      <c r="E1549" s="9" t="str">
        <f>+HYPERLINK("http://trademark.i-assist.jp/data/china/image_1908th/79998757.pdf", "79998757")</f>
        <v>79998757</v>
      </c>
      <c r="F1549" s="11" t="s">
        <v>4439</v>
      </c>
      <c r="G1549" s="11" t="s">
        <v>4440</v>
      </c>
      <c r="H1549" s="11" t="s">
        <v>4441</v>
      </c>
      <c r="I1549" s="11" t="s">
        <v>176</v>
      </c>
    </row>
    <row r="1550" spans="1:9" x14ac:dyDescent="0.15">
      <c r="A1550" s="10">
        <v>1549</v>
      </c>
      <c r="B1550" s="11" t="s">
        <v>9</v>
      </c>
      <c r="C1550" s="11" t="s">
        <v>179</v>
      </c>
      <c r="D1550" s="11" t="s">
        <v>180</v>
      </c>
      <c r="E1550" s="9" t="str">
        <f>+HYPERLINK("http://trademark.i-assist.jp/data/china/image_1908th/79998781.pdf", "79998781")</f>
        <v>79998781</v>
      </c>
      <c r="F1550" s="11" t="s">
        <v>4442</v>
      </c>
      <c r="G1550" s="11" t="s">
        <v>4443</v>
      </c>
      <c r="H1550" s="11" t="s">
        <v>4444</v>
      </c>
      <c r="I1550" s="11" t="s">
        <v>176</v>
      </c>
    </row>
    <row r="1551" spans="1:9" x14ac:dyDescent="0.15">
      <c r="A1551" s="10">
        <v>1550</v>
      </c>
      <c r="B1551" s="11" t="s">
        <v>9</v>
      </c>
      <c r="C1551" s="11" t="s">
        <v>179</v>
      </c>
      <c r="D1551" s="11" t="s">
        <v>180</v>
      </c>
      <c r="E1551" s="9" t="str">
        <f>+HYPERLINK("http://trademark.i-assist.jp/data/china/image_1908th/79998912.pdf", "79998912")</f>
        <v>79998912</v>
      </c>
      <c r="F1551" s="11" t="s">
        <v>4445</v>
      </c>
      <c r="G1551" s="11" t="s">
        <v>4446</v>
      </c>
      <c r="H1551" s="11" t="s">
        <v>4447</v>
      </c>
      <c r="I1551" s="11" t="s">
        <v>176</v>
      </c>
    </row>
    <row r="1552" spans="1:9" x14ac:dyDescent="0.15">
      <c r="A1552" s="10">
        <v>1551</v>
      </c>
      <c r="B1552" s="11" t="s">
        <v>9</v>
      </c>
      <c r="C1552" s="11" t="s">
        <v>179</v>
      </c>
      <c r="D1552" s="11" t="s">
        <v>180</v>
      </c>
      <c r="E1552" s="9" t="str">
        <f>+HYPERLINK("http://trademark.i-assist.jp/data/china/image_1908th/79999341.pdf", "79999341")</f>
        <v>79999341</v>
      </c>
      <c r="F1552" s="11" t="s">
        <v>4448</v>
      </c>
      <c r="G1552" s="11" t="s">
        <v>4449</v>
      </c>
      <c r="H1552" s="11" t="s">
        <v>4450</v>
      </c>
      <c r="I1552" s="11" t="s">
        <v>176</v>
      </c>
    </row>
    <row r="1553" spans="1:9" x14ac:dyDescent="0.15">
      <c r="A1553" s="10">
        <v>1552</v>
      </c>
      <c r="B1553" s="11" t="s">
        <v>9</v>
      </c>
      <c r="C1553" s="11" t="s">
        <v>179</v>
      </c>
      <c r="D1553" s="11" t="s">
        <v>180</v>
      </c>
      <c r="E1553" s="9" t="str">
        <f>+HYPERLINK("http://trademark.i-assist.jp/data/china/image_1908th/79999521.pdf", "79999521")</f>
        <v>79999521</v>
      </c>
      <c r="F1553" s="11" t="s">
        <v>4451</v>
      </c>
      <c r="G1553" s="11" t="s">
        <v>4452</v>
      </c>
      <c r="H1553" s="11" t="s">
        <v>4453</v>
      </c>
      <c r="I1553" s="11" t="s">
        <v>176</v>
      </c>
    </row>
    <row r="1554" spans="1:9" x14ac:dyDescent="0.15">
      <c r="A1554" s="10">
        <v>1553</v>
      </c>
      <c r="B1554" s="11" t="s">
        <v>9</v>
      </c>
      <c r="C1554" s="11" t="s">
        <v>179</v>
      </c>
      <c r="D1554" s="11" t="s">
        <v>180</v>
      </c>
      <c r="E1554" s="9" t="str">
        <f>+HYPERLINK("http://trademark.i-assist.jp/data/china/image_1908th/79999659.pdf", "79999659")</f>
        <v>79999659</v>
      </c>
      <c r="F1554" s="11" t="s">
        <v>4454</v>
      </c>
      <c r="G1554" s="11" t="s">
        <v>4455</v>
      </c>
      <c r="H1554" s="11" t="s">
        <v>4456</v>
      </c>
      <c r="I1554" s="11" t="s">
        <v>176</v>
      </c>
    </row>
    <row r="1555" spans="1:9" x14ac:dyDescent="0.15">
      <c r="A1555" s="10">
        <v>1554</v>
      </c>
      <c r="B1555" s="11" t="s">
        <v>9</v>
      </c>
      <c r="C1555" s="11" t="s">
        <v>179</v>
      </c>
      <c r="D1555" s="11" t="s">
        <v>180</v>
      </c>
      <c r="E1555" s="9" t="str">
        <f>+HYPERLINK("http://trademark.i-assist.jp/data/china/image_1908th/79999792.pdf", "79999792")</f>
        <v>79999792</v>
      </c>
      <c r="F1555" s="11" t="s">
        <v>4457</v>
      </c>
      <c r="G1555" s="11" t="s">
        <v>4458</v>
      </c>
      <c r="H1555" s="11" t="s">
        <v>4459</v>
      </c>
      <c r="I1555" s="11" t="s">
        <v>176</v>
      </c>
    </row>
    <row r="1556" spans="1:9" x14ac:dyDescent="0.15">
      <c r="A1556" s="10">
        <v>1555</v>
      </c>
      <c r="B1556" s="11" t="s">
        <v>9</v>
      </c>
      <c r="C1556" s="11" t="s">
        <v>179</v>
      </c>
      <c r="D1556" s="11" t="s">
        <v>180</v>
      </c>
      <c r="E1556" s="9" t="str">
        <f>+HYPERLINK("http://trademark.i-assist.jp/data/china/image_1908th/79999969.pdf", "79999969")</f>
        <v>79999969</v>
      </c>
      <c r="F1556" s="11" t="s">
        <v>4460</v>
      </c>
      <c r="G1556" s="11" t="s">
        <v>4461</v>
      </c>
      <c r="H1556" s="11" t="s">
        <v>4462</v>
      </c>
      <c r="I1556" s="11" t="s">
        <v>176</v>
      </c>
    </row>
    <row r="1557" spans="1:9" x14ac:dyDescent="0.15">
      <c r="A1557" s="10">
        <v>1556</v>
      </c>
      <c r="B1557" s="11" t="s">
        <v>9</v>
      </c>
      <c r="C1557" s="11" t="s">
        <v>179</v>
      </c>
      <c r="D1557" s="11" t="s">
        <v>180</v>
      </c>
      <c r="E1557" s="9" t="str">
        <f>+HYPERLINK("http://trademark.i-assist.jp/data/china/image_1908th/80000297.pdf", "80000297")</f>
        <v>80000297</v>
      </c>
      <c r="F1557" s="11" t="s">
        <v>4463</v>
      </c>
      <c r="G1557" s="11" t="s">
        <v>4464</v>
      </c>
      <c r="H1557" s="11" t="s">
        <v>4465</v>
      </c>
      <c r="I1557" s="11" t="s">
        <v>176</v>
      </c>
    </row>
    <row r="1558" spans="1:9" x14ac:dyDescent="0.15">
      <c r="A1558" s="10">
        <v>1557</v>
      </c>
      <c r="B1558" s="11" t="s">
        <v>9</v>
      </c>
      <c r="C1558" s="11" t="s">
        <v>179</v>
      </c>
      <c r="D1558" s="11" t="s">
        <v>180</v>
      </c>
      <c r="E1558" s="9" t="str">
        <f>+HYPERLINK("http://trademark.i-assist.jp/data/china/image_1908th/80000391.pdf", "80000391")</f>
        <v>80000391</v>
      </c>
      <c r="F1558" s="11" t="s">
        <v>4466</v>
      </c>
      <c r="G1558" s="11" t="s">
        <v>4467</v>
      </c>
      <c r="H1558" s="11" t="s">
        <v>4468</v>
      </c>
      <c r="I1558" s="11" t="s">
        <v>176</v>
      </c>
    </row>
    <row r="1559" spans="1:9" x14ac:dyDescent="0.15">
      <c r="A1559" s="10">
        <v>1558</v>
      </c>
      <c r="B1559" s="11" t="s">
        <v>9</v>
      </c>
      <c r="C1559" s="11" t="s">
        <v>179</v>
      </c>
      <c r="D1559" s="11" t="s">
        <v>180</v>
      </c>
      <c r="E1559" s="9" t="str">
        <f>+HYPERLINK("http://trademark.i-assist.jp/data/china/image_1908th/80000532.pdf", "80000532")</f>
        <v>80000532</v>
      </c>
      <c r="F1559" s="11" t="s">
        <v>4469</v>
      </c>
      <c r="G1559" s="11" t="s">
        <v>4470</v>
      </c>
      <c r="H1559" s="11" t="s">
        <v>4471</v>
      </c>
      <c r="I1559" s="11" t="s">
        <v>176</v>
      </c>
    </row>
    <row r="1560" spans="1:9" x14ac:dyDescent="0.15">
      <c r="A1560" s="10">
        <v>1559</v>
      </c>
      <c r="B1560" s="11" t="s">
        <v>9</v>
      </c>
      <c r="C1560" s="11" t="s">
        <v>179</v>
      </c>
      <c r="D1560" s="11" t="s">
        <v>180</v>
      </c>
      <c r="E1560" s="9" t="str">
        <f>+HYPERLINK("http://trademark.i-assist.jp/data/china/image_1908th/80001099.pdf", "80001099")</f>
        <v>80001099</v>
      </c>
      <c r="F1560" s="11" t="s">
        <v>4472</v>
      </c>
      <c r="G1560" s="11" t="s">
        <v>4415</v>
      </c>
      <c r="H1560" s="11" t="s">
        <v>4473</v>
      </c>
      <c r="I1560" s="11" t="s">
        <v>176</v>
      </c>
    </row>
    <row r="1561" spans="1:9" x14ac:dyDescent="0.15">
      <c r="A1561" s="10">
        <v>1560</v>
      </c>
      <c r="B1561" s="11" t="s">
        <v>9</v>
      </c>
      <c r="C1561" s="11" t="s">
        <v>179</v>
      </c>
      <c r="D1561" s="11" t="s">
        <v>180</v>
      </c>
      <c r="E1561" s="9" t="str">
        <f>+HYPERLINK("http://trademark.i-assist.jp/data/china/image_1908th/80001206.pdf", "80001206")</f>
        <v>80001206</v>
      </c>
      <c r="F1561" s="11" t="s">
        <v>4474</v>
      </c>
      <c r="G1561" s="11" t="s">
        <v>4475</v>
      </c>
      <c r="H1561" s="11" t="s">
        <v>4476</v>
      </c>
      <c r="I1561" s="11" t="s">
        <v>176</v>
      </c>
    </row>
    <row r="1562" spans="1:9" x14ac:dyDescent="0.15">
      <c r="A1562" s="10">
        <v>1561</v>
      </c>
      <c r="B1562" s="11" t="s">
        <v>9</v>
      </c>
      <c r="C1562" s="11" t="s">
        <v>179</v>
      </c>
      <c r="D1562" s="11" t="s">
        <v>180</v>
      </c>
      <c r="E1562" s="9" t="str">
        <f>+HYPERLINK("http://trademark.i-assist.jp/data/china/image_1908th/80001279.pdf", "80001279")</f>
        <v>80001279</v>
      </c>
      <c r="F1562" s="11" t="s">
        <v>4477</v>
      </c>
      <c r="G1562" s="11" t="s">
        <v>56</v>
      </c>
      <c r="H1562" s="11" t="s">
        <v>4478</v>
      </c>
      <c r="I1562" s="11" t="s">
        <v>176</v>
      </c>
    </row>
    <row r="1563" spans="1:9" x14ac:dyDescent="0.15">
      <c r="A1563" s="10">
        <v>1562</v>
      </c>
      <c r="B1563" s="11" t="s">
        <v>9</v>
      </c>
      <c r="C1563" s="11" t="s">
        <v>179</v>
      </c>
      <c r="D1563" s="11" t="s">
        <v>180</v>
      </c>
      <c r="E1563" s="9" t="str">
        <f>+HYPERLINK("http://trademark.i-assist.jp/data/china/image_1908th/80001370.pdf", "80001370")</f>
        <v>80001370</v>
      </c>
      <c r="F1563" s="11" t="s">
        <v>4479</v>
      </c>
      <c r="G1563" s="11" t="s">
        <v>4480</v>
      </c>
      <c r="H1563" s="11" t="s">
        <v>4481</v>
      </c>
      <c r="I1563" s="11" t="s">
        <v>176</v>
      </c>
    </row>
    <row r="1564" spans="1:9" x14ac:dyDescent="0.15">
      <c r="A1564" s="10">
        <v>1563</v>
      </c>
      <c r="B1564" s="11" t="s">
        <v>9</v>
      </c>
      <c r="C1564" s="11" t="s">
        <v>179</v>
      </c>
      <c r="D1564" s="11" t="s">
        <v>180</v>
      </c>
      <c r="E1564" s="9" t="str">
        <f>+HYPERLINK("http://trademark.i-assist.jp/data/china/image_1908th/80001489.pdf", "80001489")</f>
        <v>80001489</v>
      </c>
      <c r="F1564" s="11" t="s">
        <v>4482</v>
      </c>
      <c r="G1564" s="11" t="s">
        <v>4483</v>
      </c>
      <c r="H1564" s="11" t="s">
        <v>4484</v>
      </c>
      <c r="I1564" s="11" t="s">
        <v>176</v>
      </c>
    </row>
    <row r="1565" spans="1:9" x14ac:dyDescent="0.15">
      <c r="A1565" s="10">
        <v>1564</v>
      </c>
      <c r="B1565" s="11" t="s">
        <v>9</v>
      </c>
      <c r="C1565" s="11" t="s">
        <v>179</v>
      </c>
      <c r="D1565" s="11" t="s">
        <v>180</v>
      </c>
      <c r="E1565" s="9" t="str">
        <f>+HYPERLINK("http://trademark.i-assist.jp/data/china/image_1908th/80002048.pdf", "80002048")</f>
        <v>80002048</v>
      </c>
      <c r="F1565" s="11" t="s">
        <v>4485</v>
      </c>
      <c r="G1565" s="11" t="s">
        <v>4486</v>
      </c>
      <c r="H1565" s="11" t="s">
        <v>4487</v>
      </c>
      <c r="I1565" s="11" t="s">
        <v>176</v>
      </c>
    </row>
    <row r="1566" spans="1:9" x14ac:dyDescent="0.15">
      <c r="A1566" s="10">
        <v>1565</v>
      </c>
      <c r="B1566" s="11" t="s">
        <v>9</v>
      </c>
      <c r="C1566" s="11" t="s">
        <v>179</v>
      </c>
      <c r="D1566" s="11" t="s">
        <v>180</v>
      </c>
      <c r="E1566" s="9" t="str">
        <f>+HYPERLINK("http://trademark.i-assist.jp/data/china/image_1908th/80002088.pdf", "80002088")</f>
        <v>80002088</v>
      </c>
      <c r="F1566" s="11" t="s">
        <v>4488</v>
      </c>
      <c r="G1566" s="11" t="s">
        <v>4489</v>
      </c>
      <c r="H1566" s="11" t="s">
        <v>4490</v>
      </c>
      <c r="I1566" s="11" t="s">
        <v>176</v>
      </c>
    </row>
    <row r="1567" spans="1:9" x14ac:dyDescent="0.15">
      <c r="A1567" s="10">
        <v>1566</v>
      </c>
      <c r="B1567" s="11" t="s">
        <v>9</v>
      </c>
      <c r="C1567" s="11" t="s">
        <v>179</v>
      </c>
      <c r="D1567" s="11" t="s">
        <v>180</v>
      </c>
      <c r="E1567" s="9" t="str">
        <f>+HYPERLINK("http://trademark.i-assist.jp/data/china/image_1908th/80002117.pdf", "80002117")</f>
        <v>80002117</v>
      </c>
      <c r="F1567" s="11" t="s">
        <v>4491</v>
      </c>
      <c r="G1567" s="11" t="s">
        <v>4492</v>
      </c>
      <c r="H1567" s="11" t="s">
        <v>4493</v>
      </c>
      <c r="I1567" s="11" t="s">
        <v>176</v>
      </c>
    </row>
    <row r="1568" spans="1:9" x14ac:dyDescent="0.15">
      <c r="A1568" s="10">
        <v>1567</v>
      </c>
      <c r="B1568" s="11" t="s">
        <v>9</v>
      </c>
      <c r="C1568" s="11" t="s">
        <v>179</v>
      </c>
      <c r="D1568" s="11" t="s">
        <v>180</v>
      </c>
      <c r="E1568" s="9" t="str">
        <f>+HYPERLINK("http://trademark.i-assist.jp/data/china/image_1908th/80002446.pdf", "80002446")</f>
        <v>80002446</v>
      </c>
      <c r="F1568" s="11" t="s">
        <v>4494</v>
      </c>
      <c r="G1568" s="11" t="s">
        <v>4277</v>
      </c>
      <c r="H1568" s="11" t="s">
        <v>4495</v>
      </c>
      <c r="I1568" s="11" t="s">
        <v>176</v>
      </c>
    </row>
    <row r="1569" spans="1:9" x14ac:dyDescent="0.15">
      <c r="A1569" s="10">
        <v>1568</v>
      </c>
      <c r="B1569" s="11" t="s">
        <v>9</v>
      </c>
      <c r="C1569" s="11" t="s">
        <v>179</v>
      </c>
      <c r="D1569" s="11" t="s">
        <v>180</v>
      </c>
      <c r="E1569" s="9" t="str">
        <f>+HYPERLINK("http://trademark.i-assist.jp/data/china/image_1908th/80002586.pdf", "80002586")</f>
        <v>80002586</v>
      </c>
      <c r="F1569" s="11" t="s">
        <v>4496</v>
      </c>
      <c r="G1569" s="11" t="s">
        <v>4497</v>
      </c>
      <c r="H1569" s="11" t="s">
        <v>4498</v>
      </c>
      <c r="I1569" s="11" t="s">
        <v>176</v>
      </c>
    </row>
    <row r="1570" spans="1:9" x14ac:dyDescent="0.15">
      <c r="A1570" s="10">
        <v>1569</v>
      </c>
      <c r="B1570" s="11" t="s">
        <v>9</v>
      </c>
      <c r="C1570" s="11" t="s">
        <v>179</v>
      </c>
      <c r="D1570" s="11" t="s">
        <v>180</v>
      </c>
      <c r="E1570" s="9" t="str">
        <f>+HYPERLINK("http://trademark.i-assist.jp/data/china/image_1908th/80002670.pdf", "80002670")</f>
        <v>80002670</v>
      </c>
      <c r="F1570" s="11" t="s">
        <v>4363</v>
      </c>
      <c r="G1570" s="11" t="s">
        <v>4283</v>
      </c>
      <c r="H1570" s="11" t="s">
        <v>4499</v>
      </c>
      <c r="I1570" s="11" t="s">
        <v>176</v>
      </c>
    </row>
    <row r="1571" spans="1:9" x14ac:dyDescent="0.15">
      <c r="A1571" s="10">
        <v>1570</v>
      </c>
      <c r="B1571" s="11" t="s">
        <v>9</v>
      </c>
      <c r="C1571" s="11" t="s">
        <v>179</v>
      </c>
      <c r="D1571" s="11" t="s">
        <v>180</v>
      </c>
      <c r="E1571" s="9" t="str">
        <f>+HYPERLINK("http://trademark.i-assist.jp/data/china/image_1908th/80002878.pdf", "80002878")</f>
        <v>80002878</v>
      </c>
      <c r="F1571" s="11" t="s">
        <v>4500</v>
      </c>
      <c r="G1571" s="11" t="s">
        <v>127</v>
      </c>
      <c r="H1571" s="11" t="s">
        <v>4501</v>
      </c>
      <c r="I1571" s="11" t="s">
        <v>176</v>
      </c>
    </row>
    <row r="1572" spans="1:9" x14ac:dyDescent="0.15">
      <c r="A1572" s="10">
        <v>1571</v>
      </c>
      <c r="B1572" s="11" t="s">
        <v>9</v>
      </c>
      <c r="C1572" s="11" t="s">
        <v>179</v>
      </c>
      <c r="D1572" s="11" t="s">
        <v>180</v>
      </c>
      <c r="E1572" s="9" t="str">
        <f>+HYPERLINK("http://trademark.i-assist.jp/data/china/image_1908th/80003599.pdf", "80003599")</f>
        <v>80003599</v>
      </c>
      <c r="F1572" s="11" t="s">
        <v>4502</v>
      </c>
      <c r="G1572" s="11" t="s">
        <v>4503</v>
      </c>
      <c r="H1572" s="11" t="s">
        <v>4504</v>
      </c>
      <c r="I1572" s="11" t="s">
        <v>176</v>
      </c>
    </row>
    <row r="1573" spans="1:9" x14ac:dyDescent="0.15">
      <c r="A1573" s="10">
        <v>1572</v>
      </c>
      <c r="B1573" s="11" t="s">
        <v>9</v>
      </c>
      <c r="C1573" s="11" t="s">
        <v>179</v>
      </c>
      <c r="D1573" s="11" t="s">
        <v>180</v>
      </c>
      <c r="E1573" s="9" t="str">
        <f>+HYPERLINK("http://trademark.i-assist.jp/data/china/image_1908th/80003723.pdf", "80003723")</f>
        <v>80003723</v>
      </c>
      <c r="F1573" s="11" t="s">
        <v>4505</v>
      </c>
      <c r="G1573" s="11" t="s">
        <v>4506</v>
      </c>
      <c r="H1573" s="11" t="s">
        <v>4507</v>
      </c>
      <c r="I1573" s="11" t="s">
        <v>176</v>
      </c>
    </row>
    <row r="1574" spans="1:9" x14ac:dyDescent="0.15">
      <c r="A1574" s="10">
        <v>1573</v>
      </c>
      <c r="B1574" s="11" t="s">
        <v>9</v>
      </c>
      <c r="C1574" s="11" t="s">
        <v>179</v>
      </c>
      <c r="D1574" s="11" t="s">
        <v>180</v>
      </c>
      <c r="E1574" s="9" t="str">
        <f>+HYPERLINK("http://trademark.i-assist.jp/data/china/image_1908th/80003879.pdf", "80003879")</f>
        <v>80003879</v>
      </c>
      <c r="F1574" s="11" t="s">
        <v>4508</v>
      </c>
      <c r="G1574" s="11" t="s">
        <v>4509</v>
      </c>
      <c r="H1574" s="11" t="s">
        <v>4510</v>
      </c>
      <c r="I1574" s="11" t="s">
        <v>176</v>
      </c>
    </row>
    <row r="1575" spans="1:9" x14ac:dyDescent="0.15">
      <c r="A1575" s="10">
        <v>1574</v>
      </c>
      <c r="B1575" s="11" t="s">
        <v>9</v>
      </c>
      <c r="C1575" s="11" t="s">
        <v>179</v>
      </c>
      <c r="D1575" s="11" t="s">
        <v>180</v>
      </c>
      <c r="E1575" s="9" t="str">
        <f>+HYPERLINK("http://trademark.i-assist.jp/data/china/image_1908th/80004038.pdf", "80004038")</f>
        <v>80004038</v>
      </c>
      <c r="F1575" s="11" t="s">
        <v>4511</v>
      </c>
      <c r="G1575" s="11" t="s">
        <v>4512</v>
      </c>
      <c r="H1575" s="11" t="s">
        <v>4513</v>
      </c>
      <c r="I1575" s="11" t="s">
        <v>176</v>
      </c>
    </row>
    <row r="1576" spans="1:9" x14ac:dyDescent="0.15">
      <c r="A1576" s="10">
        <v>1575</v>
      </c>
      <c r="B1576" s="11" t="s">
        <v>9</v>
      </c>
      <c r="C1576" s="11" t="s">
        <v>179</v>
      </c>
      <c r="D1576" s="11" t="s">
        <v>180</v>
      </c>
      <c r="E1576" s="9" t="str">
        <f>+HYPERLINK("http://trademark.i-assist.jp/data/china/image_1908th/80004448.pdf", "80004448")</f>
        <v>80004448</v>
      </c>
      <c r="F1576" s="11" t="s">
        <v>4514</v>
      </c>
      <c r="G1576" s="11" t="s">
        <v>4515</v>
      </c>
      <c r="H1576" s="11" t="s">
        <v>4516</v>
      </c>
      <c r="I1576" s="11" t="s">
        <v>176</v>
      </c>
    </row>
    <row r="1577" spans="1:9" x14ac:dyDescent="0.15">
      <c r="A1577" s="10">
        <v>1576</v>
      </c>
      <c r="B1577" s="11" t="s">
        <v>9</v>
      </c>
      <c r="C1577" s="11" t="s">
        <v>179</v>
      </c>
      <c r="D1577" s="11" t="s">
        <v>180</v>
      </c>
      <c r="E1577" s="9" t="str">
        <f>+HYPERLINK("http://trademark.i-assist.jp/data/china/image_1908th/80004639.pdf", "80004639")</f>
        <v>80004639</v>
      </c>
      <c r="F1577" s="11" t="s">
        <v>4517</v>
      </c>
      <c r="G1577" s="11" t="s">
        <v>4518</v>
      </c>
      <c r="H1577" s="11" t="s">
        <v>4519</v>
      </c>
      <c r="I1577" s="11" t="s">
        <v>176</v>
      </c>
    </row>
    <row r="1578" spans="1:9" x14ac:dyDescent="0.15">
      <c r="A1578" s="10">
        <v>1577</v>
      </c>
      <c r="B1578" s="11" t="s">
        <v>9</v>
      </c>
      <c r="C1578" s="11" t="s">
        <v>179</v>
      </c>
      <c r="D1578" s="11" t="s">
        <v>180</v>
      </c>
      <c r="E1578" s="9" t="str">
        <f>+HYPERLINK("http://trademark.i-assist.jp/data/china/image_1908th/80004737.pdf", "80004737")</f>
        <v>80004737</v>
      </c>
      <c r="F1578" s="11" t="s">
        <v>4520</v>
      </c>
      <c r="G1578" s="11" t="s">
        <v>4521</v>
      </c>
      <c r="H1578" s="11" t="s">
        <v>4522</v>
      </c>
      <c r="I1578" s="11" t="s">
        <v>176</v>
      </c>
    </row>
    <row r="1579" spans="1:9" x14ac:dyDescent="0.15">
      <c r="A1579" s="10">
        <v>1578</v>
      </c>
      <c r="B1579" s="11" t="s">
        <v>9</v>
      </c>
      <c r="C1579" s="11" t="s">
        <v>179</v>
      </c>
      <c r="D1579" s="11" t="s">
        <v>180</v>
      </c>
      <c r="E1579" s="9" t="str">
        <f>+HYPERLINK("http://trademark.i-assist.jp/data/china/image_1908th/80004771.pdf", "80004771")</f>
        <v>80004771</v>
      </c>
      <c r="F1579" s="11" t="s">
        <v>4523</v>
      </c>
      <c r="G1579" s="11" t="s">
        <v>4327</v>
      </c>
      <c r="H1579" s="11" t="s">
        <v>4524</v>
      </c>
      <c r="I1579" s="11" t="s">
        <v>176</v>
      </c>
    </row>
    <row r="1580" spans="1:9" x14ac:dyDescent="0.15">
      <c r="A1580" s="10">
        <v>1579</v>
      </c>
      <c r="B1580" s="11" t="s">
        <v>9</v>
      </c>
      <c r="C1580" s="11" t="s">
        <v>179</v>
      </c>
      <c r="D1580" s="11" t="s">
        <v>180</v>
      </c>
      <c r="E1580" s="9" t="str">
        <f>+HYPERLINK("http://trademark.i-assist.jp/data/china/image_1908th/80004774.pdf", "80004774")</f>
        <v>80004774</v>
      </c>
      <c r="F1580" s="11" t="s">
        <v>4525</v>
      </c>
      <c r="G1580" s="11" t="s">
        <v>4327</v>
      </c>
      <c r="H1580" s="11" t="s">
        <v>4526</v>
      </c>
      <c r="I1580" s="11" t="s">
        <v>176</v>
      </c>
    </row>
    <row r="1581" spans="1:9" x14ac:dyDescent="0.15">
      <c r="A1581" s="10">
        <v>1580</v>
      </c>
      <c r="B1581" s="11" t="s">
        <v>9</v>
      </c>
      <c r="C1581" s="11" t="s">
        <v>179</v>
      </c>
      <c r="D1581" s="11" t="s">
        <v>180</v>
      </c>
      <c r="E1581" s="9" t="str">
        <f>+HYPERLINK("http://trademark.i-assist.jp/data/china/image_1908th/80004881.pdf", "80004881")</f>
        <v>80004881</v>
      </c>
      <c r="F1581" s="11" t="s">
        <v>4527</v>
      </c>
      <c r="G1581" s="11" t="s">
        <v>4528</v>
      </c>
      <c r="H1581" s="11" t="s">
        <v>4529</v>
      </c>
      <c r="I1581" s="11" t="s">
        <v>176</v>
      </c>
    </row>
    <row r="1582" spans="1:9" x14ac:dyDescent="0.15">
      <c r="A1582" s="10">
        <v>1581</v>
      </c>
      <c r="B1582" s="11" t="s">
        <v>9</v>
      </c>
      <c r="C1582" s="11" t="s">
        <v>179</v>
      </c>
      <c r="D1582" s="11" t="s">
        <v>180</v>
      </c>
      <c r="E1582" s="9" t="str">
        <f>+HYPERLINK("http://trademark.i-assist.jp/data/china/image_1908th/80004891.pdf", "80004891")</f>
        <v>80004891</v>
      </c>
      <c r="F1582" s="11" t="s">
        <v>4530</v>
      </c>
      <c r="G1582" s="11" t="s">
        <v>3921</v>
      </c>
      <c r="H1582" s="11" t="s">
        <v>4531</v>
      </c>
      <c r="I1582" s="11" t="s">
        <v>176</v>
      </c>
    </row>
    <row r="1583" spans="1:9" x14ac:dyDescent="0.15">
      <c r="A1583" s="10">
        <v>1582</v>
      </c>
      <c r="B1583" s="11" t="s">
        <v>9</v>
      </c>
      <c r="C1583" s="11" t="s">
        <v>179</v>
      </c>
      <c r="D1583" s="11" t="s">
        <v>180</v>
      </c>
      <c r="E1583" s="9" t="str">
        <f>+HYPERLINK("http://trademark.i-assist.jp/data/china/image_1908th/80004897.pdf", "80004897")</f>
        <v>80004897</v>
      </c>
      <c r="F1583" s="11" t="s">
        <v>4532</v>
      </c>
      <c r="G1583" s="11" t="s">
        <v>1535</v>
      </c>
      <c r="H1583" s="11" t="s">
        <v>4533</v>
      </c>
      <c r="I1583" s="11" t="s">
        <v>176</v>
      </c>
    </row>
    <row r="1584" spans="1:9" x14ac:dyDescent="0.15">
      <c r="A1584" s="10">
        <v>1583</v>
      </c>
      <c r="B1584" s="11" t="s">
        <v>9</v>
      </c>
      <c r="C1584" s="11" t="s">
        <v>179</v>
      </c>
      <c r="D1584" s="11" t="s">
        <v>180</v>
      </c>
      <c r="E1584" s="9" t="str">
        <f>+HYPERLINK("http://trademark.i-assist.jp/data/china/image_1908th/80005054.pdf", "80005054")</f>
        <v>80005054</v>
      </c>
      <c r="F1584" s="11" t="s">
        <v>4534</v>
      </c>
      <c r="G1584" s="11" t="s">
        <v>117</v>
      </c>
      <c r="H1584" s="11" t="s">
        <v>4535</v>
      </c>
      <c r="I1584" s="11" t="s">
        <v>176</v>
      </c>
    </row>
    <row r="1585" spans="1:9" x14ac:dyDescent="0.15">
      <c r="A1585" s="10">
        <v>1584</v>
      </c>
      <c r="B1585" s="11" t="s">
        <v>9</v>
      </c>
      <c r="C1585" s="11" t="s">
        <v>179</v>
      </c>
      <c r="D1585" s="11" t="s">
        <v>180</v>
      </c>
      <c r="E1585" s="9" t="str">
        <f>+HYPERLINK("http://trademark.i-assist.jp/data/china/image_1908th/80005084.pdf", "80005084")</f>
        <v>80005084</v>
      </c>
      <c r="F1585" s="11" t="s">
        <v>4536</v>
      </c>
      <c r="G1585" s="11" t="s">
        <v>4537</v>
      </c>
      <c r="H1585" s="11" t="s">
        <v>4538</v>
      </c>
      <c r="I1585" s="11" t="s">
        <v>176</v>
      </c>
    </row>
    <row r="1586" spans="1:9" x14ac:dyDescent="0.15">
      <c r="A1586" s="10">
        <v>1585</v>
      </c>
      <c r="B1586" s="11" t="s">
        <v>9</v>
      </c>
      <c r="C1586" s="11" t="s">
        <v>179</v>
      </c>
      <c r="D1586" s="11" t="s">
        <v>180</v>
      </c>
      <c r="E1586" s="9" t="str">
        <f>+HYPERLINK("http://trademark.i-assist.jp/data/china/image_1908th/80005125.pdf", "80005125")</f>
        <v>80005125</v>
      </c>
      <c r="F1586" s="11" t="s">
        <v>4539</v>
      </c>
      <c r="G1586" s="11" t="s">
        <v>4268</v>
      </c>
      <c r="H1586" s="11" t="s">
        <v>4540</v>
      </c>
      <c r="I1586" s="11" t="s">
        <v>176</v>
      </c>
    </row>
    <row r="1587" spans="1:9" x14ac:dyDescent="0.15">
      <c r="A1587" s="10">
        <v>1586</v>
      </c>
      <c r="B1587" s="11" t="s">
        <v>9</v>
      </c>
      <c r="C1587" s="11" t="s">
        <v>179</v>
      </c>
      <c r="D1587" s="11" t="s">
        <v>180</v>
      </c>
      <c r="E1587" s="9" t="str">
        <f>+HYPERLINK("http://trademark.i-assist.jp/data/china/image_1908th/80005204.pdf", "80005204")</f>
        <v>80005204</v>
      </c>
      <c r="F1587" s="11" t="s">
        <v>4541</v>
      </c>
      <c r="G1587" s="11" t="s">
        <v>4542</v>
      </c>
      <c r="H1587" s="11" t="s">
        <v>4543</v>
      </c>
      <c r="I1587" s="11" t="s">
        <v>176</v>
      </c>
    </row>
    <row r="1588" spans="1:9" x14ac:dyDescent="0.15">
      <c r="A1588" s="10">
        <v>1587</v>
      </c>
      <c r="B1588" s="11" t="s">
        <v>9</v>
      </c>
      <c r="C1588" s="11" t="s">
        <v>179</v>
      </c>
      <c r="D1588" s="11" t="s">
        <v>180</v>
      </c>
      <c r="E1588" s="9" t="str">
        <f>+HYPERLINK("http://trademark.i-assist.jp/data/china/image_1908th/80005670.pdf", "80005670")</f>
        <v>80005670</v>
      </c>
      <c r="F1588" s="11" t="s">
        <v>4544</v>
      </c>
      <c r="G1588" s="11" t="s">
        <v>4545</v>
      </c>
      <c r="H1588" s="11" t="s">
        <v>4546</v>
      </c>
      <c r="I1588" s="11" t="s">
        <v>176</v>
      </c>
    </row>
    <row r="1589" spans="1:9" x14ac:dyDescent="0.15">
      <c r="A1589" s="10">
        <v>1588</v>
      </c>
      <c r="B1589" s="11" t="s">
        <v>9</v>
      </c>
      <c r="C1589" s="11" t="s">
        <v>179</v>
      </c>
      <c r="D1589" s="11" t="s">
        <v>180</v>
      </c>
      <c r="E1589" s="9" t="str">
        <f>+HYPERLINK("http://trademark.i-assist.jp/data/china/image_1908th/80006555.pdf", "80006555")</f>
        <v>80006555</v>
      </c>
      <c r="F1589" s="11" t="s">
        <v>4547</v>
      </c>
      <c r="G1589" s="11" t="s">
        <v>4548</v>
      </c>
      <c r="H1589" s="11" t="s">
        <v>4549</v>
      </c>
      <c r="I1589" s="11" t="s">
        <v>176</v>
      </c>
    </row>
    <row r="1590" spans="1:9" x14ac:dyDescent="0.15">
      <c r="A1590" s="10">
        <v>1589</v>
      </c>
      <c r="B1590" s="11" t="s">
        <v>9</v>
      </c>
      <c r="C1590" s="11" t="s">
        <v>179</v>
      </c>
      <c r="D1590" s="11" t="s">
        <v>180</v>
      </c>
      <c r="E1590" s="9" t="str">
        <f>+HYPERLINK("http://trademark.i-assist.jp/data/china/image_1908th/80006625.pdf", "80006625")</f>
        <v>80006625</v>
      </c>
      <c r="F1590" s="11" t="s">
        <v>4550</v>
      </c>
      <c r="G1590" s="11" t="s">
        <v>4551</v>
      </c>
      <c r="H1590" s="11" t="s">
        <v>4552</v>
      </c>
      <c r="I1590" s="11" t="s">
        <v>176</v>
      </c>
    </row>
    <row r="1591" spans="1:9" x14ac:dyDescent="0.15">
      <c r="A1591" s="10">
        <v>1590</v>
      </c>
      <c r="B1591" s="11" t="s">
        <v>9</v>
      </c>
      <c r="C1591" s="11" t="s">
        <v>179</v>
      </c>
      <c r="D1591" s="11" t="s">
        <v>180</v>
      </c>
      <c r="E1591" s="9" t="str">
        <f>+HYPERLINK("http://trademark.i-assist.jp/data/china/image_1908th/80006900.pdf", "80006900")</f>
        <v>80006900</v>
      </c>
      <c r="F1591" s="11" t="s">
        <v>4553</v>
      </c>
      <c r="G1591" s="11" t="s">
        <v>1535</v>
      </c>
      <c r="H1591" s="11" t="s">
        <v>4554</v>
      </c>
      <c r="I1591" s="11" t="s">
        <v>176</v>
      </c>
    </row>
    <row r="1592" spans="1:9" x14ac:dyDescent="0.15">
      <c r="A1592" s="10">
        <v>1591</v>
      </c>
      <c r="B1592" s="11" t="s">
        <v>9</v>
      </c>
      <c r="C1592" s="11" t="s">
        <v>179</v>
      </c>
      <c r="D1592" s="11" t="s">
        <v>180</v>
      </c>
      <c r="E1592" s="9" t="str">
        <f>+HYPERLINK("http://trademark.i-assist.jp/data/china/image_1908th/80007086.pdf", "80007086")</f>
        <v>80007086</v>
      </c>
      <c r="F1592" s="11" t="s">
        <v>4555</v>
      </c>
      <c r="G1592" s="11" t="s">
        <v>4556</v>
      </c>
      <c r="H1592" s="11" t="s">
        <v>4557</v>
      </c>
      <c r="I1592" s="11" t="s">
        <v>176</v>
      </c>
    </row>
    <row r="1593" spans="1:9" x14ac:dyDescent="0.15">
      <c r="A1593" s="10">
        <v>1592</v>
      </c>
      <c r="B1593" s="11" t="s">
        <v>9</v>
      </c>
      <c r="C1593" s="11" t="s">
        <v>179</v>
      </c>
      <c r="D1593" s="11" t="s">
        <v>180</v>
      </c>
      <c r="E1593" s="9" t="str">
        <f>+HYPERLINK("http://trademark.i-assist.jp/data/china/image_1908th/80007204.pdf", "80007204")</f>
        <v>80007204</v>
      </c>
      <c r="F1593" s="11" t="s">
        <v>4558</v>
      </c>
      <c r="G1593" s="11" t="s">
        <v>4559</v>
      </c>
      <c r="H1593" s="11" t="s">
        <v>4560</v>
      </c>
      <c r="I1593" s="11" t="s">
        <v>176</v>
      </c>
    </row>
    <row r="1594" spans="1:9" x14ac:dyDescent="0.15">
      <c r="A1594" s="10">
        <v>1593</v>
      </c>
      <c r="B1594" s="11" t="s">
        <v>9</v>
      </c>
      <c r="C1594" s="11" t="s">
        <v>179</v>
      </c>
      <c r="D1594" s="11" t="s">
        <v>180</v>
      </c>
      <c r="E1594" s="9" t="str">
        <f>+HYPERLINK("http://trademark.i-assist.jp/data/china/image_1908th/80007417.pdf", "80007417")</f>
        <v>80007417</v>
      </c>
      <c r="F1594" s="11" t="s">
        <v>4445</v>
      </c>
      <c r="G1594" s="11" t="s">
        <v>4446</v>
      </c>
      <c r="H1594" s="11" t="s">
        <v>4561</v>
      </c>
      <c r="I1594" s="11" t="s">
        <v>176</v>
      </c>
    </row>
    <row r="1595" spans="1:9" x14ac:dyDescent="0.15">
      <c r="A1595" s="10">
        <v>1594</v>
      </c>
      <c r="B1595" s="11" t="s">
        <v>9</v>
      </c>
      <c r="C1595" s="11" t="s">
        <v>179</v>
      </c>
      <c r="D1595" s="11" t="s">
        <v>180</v>
      </c>
      <c r="E1595" s="9" t="str">
        <f>+HYPERLINK("http://trademark.i-assist.jp/data/china/image_1908th/80007568.pdf", "80007568")</f>
        <v>80007568</v>
      </c>
      <c r="F1595" s="11" t="s">
        <v>4562</v>
      </c>
      <c r="G1595" s="11" t="s">
        <v>111</v>
      </c>
      <c r="H1595" s="11" t="s">
        <v>4563</v>
      </c>
      <c r="I1595" s="11" t="s">
        <v>176</v>
      </c>
    </row>
    <row r="1596" spans="1:9" x14ac:dyDescent="0.15">
      <c r="A1596" s="10">
        <v>1595</v>
      </c>
      <c r="B1596" s="11" t="s">
        <v>9</v>
      </c>
      <c r="C1596" s="11" t="s">
        <v>179</v>
      </c>
      <c r="D1596" s="11" t="s">
        <v>180</v>
      </c>
      <c r="E1596" s="9" t="str">
        <f>+HYPERLINK("http://trademark.i-assist.jp/data/china/image_1908th/80007928.pdf", "80007928")</f>
        <v>80007928</v>
      </c>
      <c r="F1596" s="11" t="s">
        <v>4564</v>
      </c>
      <c r="G1596" s="11" t="s">
        <v>4506</v>
      </c>
      <c r="H1596" s="11" t="s">
        <v>4565</v>
      </c>
      <c r="I1596" s="11" t="s">
        <v>176</v>
      </c>
    </row>
    <row r="1597" spans="1:9" x14ac:dyDescent="0.15">
      <c r="A1597" s="10">
        <v>1596</v>
      </c>
      <c r="B1597" s="11" t="s">
        <v>9</v>
      </c>
      <c r="C1597" s="11" t="s">
        <v>179</v>
      </c>
      <c r="D1597" s="11" t="s">
        <v>180</v>
      </c>
      <c r="E1597" s="9" t="str">
        <f>+HYPERLINK("http://trademark.i-assist.jp/data/china/image_1908th/80008130.pdf", "80008130")</f>
        <v>80008130</v>
      </c>
      <c r="F1597" s="11" t="s">
        <v>4566</v>
      </c>
      <c r="G1597" s="11" t="s">
        <v>4567</v>
      </c>
      <c r="H1597" s="11" t="s">
        <v>4568</v>
      </c>
      <c r="I1597" s="11" t="s">
        <v>176</v>
      </c>
    </row>
    <row r="1598" spans="1:9" x14ac:dyDescent="0.15">
      <c r="A1598" s="10">
        <v>1597</v>
      </c>
      <c r="B1598" s="11" t="s">
        <v>9</v>
      </c>
      <c r="C1598" s="11" t="s">
        <v>179</v>
      </c>
      <c r="D1598" s="11" t="s">
        <v>180</v>
      </c>
      <c r="E1598" s="9" t="str">
        <f>+HYPERLINK("http://trademark.i-assist.jp/data/china/image_1908th/80008236.pdf", "80008236")</f>
        <v>80008236</v>
      </c>
      <c r="F1598" s="11" t="s">
        <v>4569</v>
      </c>
      <c r="G1598" s="11" t="s">
        <v>1770</v>
      </c>
      <c r="H1598" s="11" t="s">
        <v>4570</v>
      </c>
      <c r="I1598" s="11" t="s">
        <v>176</v>
      </c>
    </row>
    <row r="1599" spans="1:9" x14ac:dyDescent="0.15">
      <c r="A1599" s="10">
        <v>1598</v>
      </c>
      <c r="B1599" s="11" t="s">
        <v>9</v>
      </c>
      <c r="C1599" s="11" t="s">
        <v>179</v>
      </c>
      <c r="D1599" s="11" t="s">
        <v>180</v>
      </c>
      <c r="E1599" s="9" t="str">
        <f>+HYPERLINK("http://trademark.i-assist.jp/data/china/image_1908th/80008310.pdf", "80008310")</f>
        <v>80008310</v>
      </c>
      <c r="F1599" s="11" t="s">
        <v>4571</v>
      </c>
      <c r="G1599" s="11" t="s">
        <v>4572</v>
      </c>
      <c r="H1599" s="11" t="s">
        <v>4573</v>
      </c>
      <c r="I1599" s="11" t="s">
        <v>176</v>
      </c>
    </row>
    <row r="1600" spans="1:9" x14ac:dyDescent="0.15">
      <c r="A1600" s="10">
        <v>1599</v>
      </c>
      <c r="B1600" s="11" t="s">
        <v>9</v>
      </c>
      <c r="C1600" s="11" t="s">
        <v>179</v>
      </c>
      <c r="D1600" s="11" t="s">
        <v>180</v>
      </c>
      <c r="E1600" s="9" t="str">
        <f>+HYPERLINK("http://trademark.i-assist.jp/data/china/image_1908th/80008400.pdf", "80008400")</f>
        <v>80008400</v>
      </c>
      <c r="F1600" s="11" t="s">
        <v>4574</v>
      </c>
      <c r="G1600" s="11" t="s">
        <v>4575</v>
      </c>
      <c r="H1600" s="11" t="s">
        <v>4576</v>
      </c>
      <c r="I1600" s="11" t="s">
        <v>176</v>
      </c>
    </row>
    <row r="1601" spans="1:9" x14ac:dyDescent="0.15">
      <c r="A1601" s="10">
        <v>1600</v>
      </c>
      <c r="B1601" s="11" t="s">
        <v>9</v>
      </c>
      <c r="C1601" s="11" t="s">
        <v>179</v>
      </c>
      <c r="D1601" s="11" t="s">
        <v>180</v>
      </c>
      <c r="E1601" s="9" t="str">
        <f>+HYPERLINK("http://trademark.i-assist.jp/data/china/image_1908th/80008849.pdf", "80008849")</f>
        <v>80008849</v>
      </c>
      <c r="F1601" s="11" t="s">
        <v>4577</v>
      </c>
      <c r="G1601" s="11" t="s">
        <v>4578</v>
      </c>
      <c r="H1601" s="11" t="s">
        <v>4579</v>
      </c>
      <c r="I1601" s="11" t="s">
        <v>176</v>
      </c>
    </row>
    <row r="1602" spans="1:9" x14ac:dyDescent="0.15">
      <c r="A1602" s="10">
        <v>1601</v>
      </c>
      <c r="B1602" s="11" t="s">
        <v>9</v>
      </c>
      <c r="C1602" s="11" t="s">
        <v>179</v>
      </c>
      <c r="D1602" s="11" t="s">
        <v>180</v>
      </c>
      <c r="E1602" s="9" t="str">
        <f>+HYPERLINK("http://trademark.i-assist.jp/data/china/image_1908th/80008860.pdf", "80008860")</f>
        <v>80008860</v>
      </c>
      <c r="F1602" s="11" t="s">
        <v>4282</v>
      </c>
      <c r="G1602" s="11" t="s">
        <v>4283</v>
      </c>
      <c r="H1602" s="11" t="s">
        <v>4580</v>
      </c>
      <c r="I1602" s="11" t="s">
        <v>176</v>
      </c>
    </row>
    <row r="1603" spans="1:9" x14ac:dyDescent="0.15">
      <c r="A1603" s="10">
        <v>1602</v>
      </c>
      <c r="B1603" s="11" t="s">
        <v>9</v>
      </c>
      <c r="C1603" s="11" t="s">
        <v>179</v>
      </c>
      <c r="D1603" s="11" t="s">
        <v>180</v>
      </c>
      <c r="E1603" s="9" t="str">
        <f>+HYPERLINK("http://trademark.i-assist.jp/data/china/image_1908th/80008917.pdf", "80008917")</f>
        <v>80008917</v>
      </c>
      <c r="F1603" s="11" t="s">
        <v>4282</v>
      </c>
      <c r="G1603" s="11" t="s">
        <v>4283</v>
      </c>
      <c r="H1603" s="11" t="s">
        <v>4581</v>
      </c>
      <c r="I1603" s="11" t="s">
        <v>176</v>
      </c>
    </row>
    <row r="1604" spans="1:9" x14ac:dyDescent="0.15">
      <c r="A1604" s="10">
        <v>1603</v>
      </c>
      <c r="B1604" s="11" t="s">
        <v>9</v>
      </c>
      <c r="C1604" s="11" t="s">
        <v>179</v>
      </c>
      <c r="D1604" s="11" t="s">
        <v>180</v>
      </c>
      <c r="E1604" s="9" t="str">
        <f>+HYPERLINK("http://trademark.i-assist.jp/data/china/image_1908th/80009070.pdf", "80009070")</f>
        <v>80009070</v>
      </c>
      <c r="F1604" s="11" t="s">
        <v>4582</v>
      </c>
      <c r="G1604" s="11" t="s">
        <v>4583</v>
      </c>
      <c r="H1604" s="11" t="s">
        <v>4584</v>
      </c>
      <c r="I1604" s="11" t="s">
        <v>176</v>
      </c>
    </row>
    <row r="1605" spans="1:9" x14ac:dyDescent="0.15">
      <c r="A1605" s="10">
        <v>1604</v>
      </c>
      <c r="B1605" s="11" t="s">
        <v>9</v>
      </c>
      <c r="C1605" s="11" t="s">
        <v>179</v>
      </c>
      <c r="D1605" s="11" t="s">
        <v>180</v>
      </c>
      <c r="E1605" s="9" t="str">
        <f>+HYPERLINK("http://trademark.i-assist.jp/data/china/image_1908th/80009281.pdf", "80009281")</f>
        <v>80009281</v>
      </c>
      <c r="F1605" s="11" t="s">
        <v>4585</v>
      </c>
      <c r="G1605" s="11" t="s">
        <v>4586</v>
      </c>
      <c r="H1605" s="11" t="s">
        <v>4587</v>
      </c>
      <c r="I1605" s="11" t="s">
        <v>176</v>
      </c>
    </row>
    <row r="1606" spans="1:9" x14ac:dyDescent="0.15">
      <c r="A1606" s="10">
        <v>1605</v>
      </c>
      <c r="B1606" s="11" t="s">
        <v>9</v>
      </c>
      <c r="C1606" s="11" t="s">
        <v>179</v>
      </c>
      <c r="D1606" s="11" t="s">
        <v>180</v>
      </c>
      <c r="E1606" s="9" t="str">
        <f>+HYPERLINK("http://trademark.i-assist.jp/data/china/image_1908th/80009332.pdf", "80009332")</f>
        <v>80009332</v>
      </c>
      <c r="F1606" s="11" t="s">
        <v>4588</v>
      </c>
      <c r="G1606" s="11" t="s">
        <v>4418</v>
      </c>
      <c r="H1606" s="11" t="s">
        <v>4589</v>
      </c>
      <c r="I1606" s="11" t="s">
        <v>176</v>
      </c>
    </row>
    <row r="1607" spans="1:9" x14ac:dyDescent="0.15">
      <c r="A1607" s="10">
        <v>1606</v>
      </c>
      <c r="B1607" s="11" t="s">
        <v>9</v>
      </c>
      <c r="C1607" s="11" t="s">
        <v>179</v>
      </c>
      <c r="D1607" s="11" t="s">
        <v>180</v>
      </c>
      <c r="E1607" s="9" t="str">
        <f>+HYPERLINK("http://trademark.i-assist.jp/data/china/image_1908th/80009501.pdf", "80009501")</f>
        <v>80009501</v>
      </c>
      <c r="F1607" s="11" t="s">
        <v>4590</v>
      </c>
      <c r="G1607" s="11" t="s">
        <v>4452</v>
      </c>
      <c r="H1607" s="11" t="s">
        <v>4591</v>
      </c>
      <c r="I1607" s="11" t="s">
        <v>176</v>
      </c>
    </row>
    <row r="1608" spans="1:9" x14ac:dyDescent="0.15">
      <c r="A1608" s="10">
        <v>1607</v>
      </c>
      <c r="B1608" s="11" t="s">
        <v>9</v>
      </c>
      <c r="C1608" s="11" t="s">
        <v>179</v>
      </c>
      <c r="D1608" s="11" t="s">
        <v>180</v>
      </c>
      <c r="E1608" s="9" t="str">
        <f>+HYPERLINK("http://trademark.i-assist.jp/data/china/image_1908th/80009574.pdf", "80009574")</f>
        <v>80009574</v>
      </c>
      <c r="F1608" s="11" t="s">
        <v>4592</v>
      </c>
      <c r="G1608" s="11" t="s">
        <v>4593</v>
      </c>
      <c r="H1608" s="11" t="s">
        <v>4594</v>
      </c>
      <c r="I1608" s="11" t="s">
        <v>176</v>
      </c>
    </row>
    <row r="1609" spans="1:9" x14ac:dyDescent="0.15">
      <c r="A1609" s="10">
        <v>1608</v>
      </c>
      <c r="B1609" s="11" t="s">
        <v>9</v>
      </c>
      <c r="C1609" s="11" t="s">
        <v>179</v>
      </c>
      <c r="D1609" s="11" t="s">
        <v>180</v>
      </c>
      <c r="E1609" s="9" t="str">
        <f>+HYPERLINK("http://trademark.i-assist.jp/data/china/image_1908th/80010355.pdf", "80010355")</f>
        <v>80010355</v>
      </c>
      <c r="F1609" s="11" t="s">
        <v>4595</v>
      </c>
      <c r="G1609" s="11" t="s">
        <v>4596</v>
      </c>
      <c r="H1609" s="11" t="s">
        <v>4597</v>
      </c>
      <c r="I1609" s="11" t="s">
        <v>4598</v>
      </c>
    </row>
    <row r="1610" spans="1:9" x14ac:dyDescent="0.15">
      <c r="A1610" s="10">
        <v>1609</v>
      </c>
      <c r="B1610" s="11" t="s">
        <v>9</v>
      </c>
      <c r="C1610" s="11" t="s">
        <v>179</v>
      </c>
      <c r="D1610" s="11" t="s">
        <v>180</v>
      </c>
      <c r="E1610" s="9" t="str">
        <f>+HYPERLINK("http://trademark.i-assist.jp/data/china/image_1908th/80010524.pdf", "80010524")</f>
        <v>80010524</v>
      </c>
      <c r="F1610" s="11" t="s">
        <v>4599</v>
      </c>
      <c r="G1610" s="11" t="s">
        <v>4600</v>
      </c>
      <c r="H1610" s="11" t="s">
        <v>4601</v>
      </c>
      <c r="I1610" s="11" t="s">
        <v>4598</v>
      </c>
    </row>
    <row r="1611" spans="1:9" x14ac:dyDescent="0.15">
      <c r="A1611" s="10">
        <v>1610</v>
      </c>
      <c r="B1611" s="11" t="s">
        <v>9</v>
      </c>
      <c r="C1611" s="11" t="s">
        <v>179</v>
      </c>
      <c r="D1611" s="11" t="s">
        <v>180</v>
      </c>
      <c r="E1611" s="9" t="str">
        <f>+HYPERLINK("http://trademark.i-assist.jp/data/china/image_1908th/80010616.pdf", "80010616")</f>
        <v>80010616</v>
      </c>
      <c r="F1611" s="11" t="s">
        <v>4602</v>
      </c>
      <c r="G1611" s="11" t="s">
        <v>4603</v>
      </c>
      <c r="H1611" s="11" t="s">
        <v>4604</v>
      </c>
      <c r="I1611" s="11" t="s">
        <v>4598</v>
      </c>
    </row>
    <row r="1612" spans="1:9" x14ac:dyDescent="0.15">
      <c r="A1612" s="10">
        <v>1611</v>
      </c>
      <c r="B1612" s="11" t="s">
        <v>9</v>
      </c>
      <c r="C1612" s="11" t="s">
        <v>179</v>
      </c>
      <c r="D1612" s="11" t="s">
        <v>180</v>
      </c>
      <c r="E1612" s="9" t="str">
        <f>+HYPERLINK("http://trademark.i-assist.jp/data/china/image_1908th/80010757.pdf", "80010757")</f>
        <v>80010757</v>
      </c>
      <c r="F1612" s="11" t="s">
        <v>4605</v>
      </c>
      <c r="G1612" s="11" t="s">
        <v>4606</v>
      </c>
      <c r="H1612" s="11" t="s">
        <v>4607</v>
      </c>
      <c r="I1612" s="11" t="s">
        <v>4598</v>
      </c>
    </row>
    <row r="1613" spans="1:9" x14ac:dyDescent="0.15">
      <c r="A1613" s="10">
        <v>1612</v>
      </c>
      <c r="B1613" s="11" t="s">
        <v>9</v>
      </c>
      <c r="C1613" s="11" t="s">
        <v>179</v>
      </c>
      <c r="D1613" s="11" t="s">
        <v>180</v>
      </c>
      <c r="E1613" s="9" t="str">
        <f>+HYPERLINK("http://trademark.i-assist.jp/data/china/image_1908th/80010903.pdf", "80010903")</f>
        <v>80010903</v>
      </c>
      <c r="F1613" s="11" t="s">
        <v>4608</v>
      </c>
      <c r="G1613" s="11" t="s">
        <v>105</v>
      </c>
      <c r="H1613" s="11" t="s">
        <v>4609</v>
      </c>
      <c r="I1613" s="11" t="s">
        <v>4598</v>
      </c>
    </row>
    <row r="1614" spans="1:9" x14ac:dyDescent="0.15">
      <c r="A1614" s="10">
        <v>1613</v>
      </c>
      <c r="B1614" s="11" t="s">
        <v>9</v>
      </c>
      <c r="C1614" s="11" t="s">
        <v>179</v>
      </c>
      <c r="D1614" s="11" t="s">
        <v>180</v>
      </c>
      <c r="E1614" s="9" t="str">
        <f>+HYPERLINK("http://trademark.i-assist.jp/data/china/image_1908th/80011004.pdf", "80011004")</f>
        <v>80011004</v>
      </c>
      <c r="F1614" s="11" t="s">
        <v>4610</v>
      </c>
      <c r="G1614" s="11" t="s">
        <v>4611</v>
      </c>
      <c r="H1614" s="11" t="s">
        <v>4612</v>
      </c>
      <c r="I1614" s="11" t="s">
        <v>4598</v>
      </c>
    </row>
    <row r="1615" spans="1:9" x14ac:dyDescent="0.15">
      <c r="A1615" s="10">
        <v>1614</v>
      </c>
      <c r="B1615" s="11" t="s">
        <v>9</v>
      </c>
      <c r="C1615" s="11" t="s">
        <v>179</v>
      </c>
      <c r="D1615" s="11" t="s">
        <v>180</v>
      </c>
      <c r="E1615" s="9" t="str">
        <f>+HYPERLINK("http://trademark.i-assist.jp/data/china/image_1908th/80011136.pdf", "80011136")</f>
        <v>80011136</v>
      </c>
      <c r="F1615" s="11" t="s">
        <v>4613</v>
      </c>
      <c r="G1615" s="11" t="s">
        <v>4614</v>
      </c>
      <c r="H1615" s="11" t="s">
        <v>4615</v>
      </c>
      <c r="I1615" s="11" t="s">
        <v>4598</v>
      </c>
    </row>
    <row r="1616" spans="1:9" x14ac:dyDescent="0.15">
      <c r="A1616" s="10">
        <v>1615</v>
      </c>
      <c r="B1616" s="11" t="s">
        <v>9</v>
      </c>
      <c r="C1616" s="11" t="s">
        <v>179</v>
      </c>
      <c r="D1616" s="11" t="s">
        <v>180</v>
      </c>
      <c r="E1616" s="9" t="str">
        <f>+HYPERLINK("http://trademark.i-assist.jp/data/china/image_1908th/80011146.pdf", "80011146")</f>
        <v>80011146</v>
      </c>
      <c r="F1616" s="11" t="s">
        <v>4616</v>
      </c>
      <c r="G1616" s="11" t="s">
        <v>155</v>
      </c>
      <c r="H1616" s="11" t="s">
        <v>4617</v>
      </c>
      <c r="I1616" s="11" t="s">
        <v>4598</v>
      </c>
    </row>
    <row r="1617" spans="1:9" x14ac:dyDescent="0.15">
      <c r="A1617" s="10">
        <v>1616</v>
      </c>
      <c r="B1617" s="11" t="s">
        <v>9</v>
      </c>
      <c r="C1617" s="11" t="s">
        <v>179</v>
      </c>
      <c r="D1617" s="11" t="s">
        <v>180</v>
      </c>
      <c r="E1617" s="9" t="str">
        <f>+HYPERLINK("http://trademark.i-assist.jp/data/china/image_1908th/80011262.pdf", "80011262")</f>
        <v>80011262</v>
      </c>
      <c r="F1617" s="11" t="s">
        <v>4618</v>
      </c>
      <c r="G1617" s="11" t="s">
        <v>4619</v>
      </c>
      <c r="H1617" s="11" t="s">
        <v>4620</v>
      </c>
      <c r="I1617" s="11" t="s">
        <v>4598</v>
      </c>
    </row>
    <row r="1618" spans="1:9" x14ac:dyDescent="0.15">
      <c r="A1618" s="10">
        <v>1617</v>
      </c>
      <c r="B1618" s="11" t="s">
        <v>9</v>
      </c>
      <c r="C1618" s="11" t="s">
        <v>179</v>
      </c>
      <c r="D1618" s="11" t="s">
        <v>180</v>
      </c>
      <c r="E1618" s="9" t="str">
        <f>+HYPERLINK("http://trademark.i-assist.jp/data/china/image_1908th/80011477.pdf", "80011477")</f>
        <v>80011477</v>
      </c>
      <c r="F1618" s="11" t="s">
        <v>4621</v>
      </c>
      <c r="G1618" s="11" t="s">
        <v>4622</v>
      </c>
      <c r="H1618" s="11" t="s">
        <v>4623</v>
      </c>
      <c r="I1618" s="11" t="s">
        <v>4598</v>
      </c>
    </row>
    <row r="1619" spans="1:9" x14ac:dyDescent="0.15">
      <c r="A1619" s="10">
        <v>1618</v>
      </c>
      <c r="B1619" s="11" t="s">
        <v>9</v>
      </c>
      <c r="C1619" s="11" t="s">
        <v>179</v>
      </c>
      <c r="D1619" s="11" t="s">
        <v>180</v>
      </c>
      <c r="E1619" s="9" t="str">
        <f>+HYPERLINK("http://trademark.i-assist.jp/data/china/image_1908th/80011644.pdf", "80011644")</f>
        <v>80011644</v>
      </c>
      <c r="F1619" s="11" t="s">
        <v>4624</v>
      </c>
      <c r="G1619" s="11" t="s">
        <v>4625</v>
      </c>
      <c r="H1619" s="11" t="s">
        <v>4626</v>
      </c>
      <c r="I1619" s="11" t="s">
        <v>4598</v>
      </c>
    </row>
    <row r="1620" spans="1:9" x14ac:dyDescent="0.15">
      <c r="A1620" s="10">
        <v>1619</v>
      </c>
      <c r="B1620" s="11" t="s">
        <v>9</v>
      </c>
      <c r="C1620" s="11" t="s">
        <v>179</v>
      </c>
      <c r="D1620" s="11" t="s">
        <v>180</v>
      </c>
      <c r="E1620" s="9" t="str">
        <f>+HYPERLINK("http://trademark.i-assist.jp/data/china/image_1908th/80011700.pdf", "80011700")</f>
        <v>80011700</v>
      </c>
      <c r="F1620" s="11" t="s">
        <v>4627</v>
      </c>
      <c r="G1620" s="11" t="s">
        <v>4628</v>
      </c>
      <c r="H1620" s="11" t="s">
        <v>4629</v>
      </c>
      <c r="I1620" s="11" t="s">
        <v>4598</v>
      </c>
    </row>
    <row r="1621" spans="1:9" x14ac:dyDescent="0.15">
      <c r="A1621" s="10">
        <v>1620</v>
      </c>
      <c r="B1621" s="11" t="s">
        <v>9</v>
      </c>
      <c r="C1621" s="11" t="s">
        <v>179</v>
      </c>
      <c r="D1621" s="11" t="s">
        <v>180</v>
      </c>
      <c r="E1621" s="9" t="str">
        <f>+HYPERLINK("http://trademark.i-assist.jp/data/china/image_1908th/80011932.pdf", "80011932")</f>
        <v>80011932</v>
      </c>
      <c r="F1621" s="11" t="s">
        <v>4630</v>
      </c>
      <c r="G1621" s="11" t="s">
        <v>4631</v>
      </c>
      <c r="H1621" s="11" t="s">
        <v>4632</v>
      </c>
      <c r="I1621" s="11" t="s">
        <v>4598</v>
      </c>
    </row>
    <row r="1622" spans="1:9" x14ac:dyDescent="0.15">
      <c r="A1622" s="10">
        <v>1621</v>
      </c>
      <c r="B1622" s="11" t="s">
        <v>9</v>
      </c>
      <c r="C1622" s="11" t="s">
        <v>179</v>
      </c>
      <c r="D1622" s="11" t="s">
        <v>180</v>
      </c>
      <c r="E1622" s="9" t="str">
        <f>+HYPERLINK("http://trademark.i-assist.jp/data/china/image_1908th/80011940.pdf", "80011940")</f>
        <v>80011940</v>
      </c>
      <c r="F1622" s="11" t="s">
        <v>4633</v>
      </c>
      <c r="G1622" s="11" t="s">
        <v>4634</v>
      </c>
      <c r="H1622" s="11" t="s">
        <v>4635</v>
      </c>
      <c r="I1622" s="11" t="s">
        <v>4598</v>
      </c>
    </row>
    <row r="1623" spans="1:9" x14ac:dyDescent="0.15">
      <c r="A1623" s="10">
        <v>1622</v>
      </c>
      <c r="B1623" s="11" t="s">
        <v>9</v>
      </c>
      <c r="C1623" s="11" t="s">
        <v>179</v>
      </c>
      <c r="D1623" s="11" t="s">
        <v>180</v>
      </c>
      <c r="E1623" s="9" t="str">
        <f>+HYPERLINK("http://trademark.i-assist.jp/data/china/image_1908th/80011973.pdf", "80011973")</f>
        <v>80011973</v>
      </c>
      <c r="F1623" s="11" t="s">
        <v>4636</v>
      </c>
      <c r="G1623" s="11" t="s">
        <v>4637</v>
      </c>
      <c r="H1623" s="11" t="s">
        <v>4638</v>
      </c>
      <c r="I1623" s="11" t="s">
        <v>4598</v>
      </c>
    </row>
    <row r="1624" spans="1:9" x14ac:dyDescent="0.15">
      <c r="A1624" s="10">
        <v>1623</v>
      </c>
      <c r="B1624" s="11" t="s">
        <v>9</v>
      </c>
      <c r="C1624" s="11" t="s">
        <v>179</v>
      </c>
      <c r="D1624" s="11" t="s">
        <v>180</v>
      </c>
      <c r="E1624" s="9" t="str">
        <f>+HYPERLINK("http://trademark.i-assist.jp/data/china/image_1908th/80012206.pdf", "80012206")</f>
        <v>80012206</v>
      </c>
      <c r="F1624" s="11" t="s">
        <v>4639</v>
      </c>
      <c r="G1624" s="11" t="s">
        <v>4640</v>
      </c>
      <c r="H1624" s="11" t="s">
        <v>4641</v>
      </c>
      <c r="I1624" s="11" t="s">
        <v>4598</v>
      </c>
    </row>
    <row r="1625" spans="1:9" x14ac:dyDescent="0.15">
      <c r="A1625" s="10">
        <v>1624</v>
      </c>
      <c r="B1625" s="11" t="s">
        <v>9</v>
      </c>
      <c r="C1625" s="11" t="s">
        <v>179</v>
      </c>
      <c r="D1625" s="11" t="s">
        <v>180</v>
      </c>
      <c r="E1625" s="9" t="str">
        <f>+HYPERLINK("http://trademark.i-assist.jp/data/china/image_1908th/80012249.pdf", "80012249")</f>
        <v>80012249</v>
      </c>
      <c r="F1625" s="11" t="s">
        <v>4642</v>
      </c>
      <c r="G1625" s="11" t="s">
        <v>4643</v>
      </c>
      <c r="H1625" s="11" t="s">
        <v>4644</v>
      </c>
      <c r="I1625" s="11" t="s">
        <v>4598</v>
      </c>
    </row>
    <row r="1626" spans="1:9" x14ac:dyDescent="0.15">
      <c r="A1626" s="10">
        <v>1625</v>
      </c>
      <c r="B1626" s="11" t="s">
        <v>9</v>
      </c>
      <c r="C1626" s="11" t="s">
        <v>179</v>
      </c>
      <c r="D1626" s="11" t="s">
        <v>180</v>
      </c>
      <c r="E1626" s="9" t="str">
        <f>+HYPERLINK("http://trademark.i-assist.jp/data/china/image_1908th/80012982.pdf", "80012982")</f>
        <v>80012982</v>
      </c>
      <c r="F1626" s="11" t="s">
        <v>4645</v>
      </c>
      <c r="G1626" s="11" t="s">
        <v>4646</v>
      </c>
      <c r="H1626" s="11" t="s">
        <v>4647</v>
      </c>
      <c r="I1626" s="11" t="s">
        <v>4598</v>
      </c>
    </row>
    <row r="1627" spans="1:9" x14ac:dyDescent="0.15">
      <c r="A1627" s="10">
        <v>1626</v>
      </c>
      <c r="B1627" s="11" t="s">
        <v>9</v>
      </c>
      <c r="C1627" s="11" t="s">
        <v>179</v>
      </c>
      <c r="D1627" s="11" t="s">
        <v>180</v>
      </c>
      <c r="E1627" s="9" t="str">
        <f>+HYPERLINK("http://trademark.i-assist.jp/data/china/image_1908th/80013243.pdf", "80013243")</f>
        <v>80013243</v>
      </c>
      <c r="F1627" s="11" t="s">
        <v>4648</v>
      </c>
      <c r="G1627" s="11" t="s">
        <v>4640</v>
      </c>
      <c r="H1627" s="11" t="s">
        <v>4649</v>
      </c>
      <c r="I1627" s="11" t="s">
        <v>4598</v>
      </c>
    </row>
    <row r="1628" spans="1:9" x14ac:dyDescent="0.15">
      <c r="A1628" s="10">
        <v>1627</v>
      </c>
      <c r="B1628" s="11" t="s">
        <v>9</v>
      </c>
      <c r="C1628" s="11" t="s">
        <v>179</v>
      </c>
      <c r="D1628" s="11" t="s">
        <v>180</v>
      </c>
      <c r="E1628" s="9" t="str">
        <f>+HYPERLINK("http://trademark.i-assist.jp/data/china/image_1908th/80013442.pdf", "80013442")</f>
        <v>80013442</v>
      </c>
      <c r="F1628" s="11" t="s">
        <v>4650</v>
      </c>
      <c r="G1628" s="11" t="s">
        <v>4651</v>
      </c>
      <c r="H1628" s="11" t="s">
        <v>4652</v>
      </c>
      <c r="I1628" s="11" t="s">
        <v>4598</v>
      </c>
    </row>
    <row r="1629" spans="1:9" x14ac:dyDescent="0.15">
      <c r="A1629" s="10">
        <v>1628</v>
      </c>
      <c r="B1629" s="11" t="s">
        <v>9</v>
      </c>
      <c r="C1629" s="11" t="s">
        <v>179</v>
      </c>
      <c r="D1629" s="11" t="s">
        <v>180</v>
      </c>
      <c r="E1629" s="9" t="str">
        <f>+HYPERLINK("http://trademark.i-assist.jp/data/china/image_1908th/80013573.pdf", "80013573")</f>
        <v>80013573</v>
      </c>
      <c r="F1629" s="11" t="s">
        <v>4653</v>
      </c>
      <c r="G1629" s="11" t="s">
        <v>919</v>
      </c>
      <c r="H1629" s="11" t="s">
        <v>4654</v>
      </c>
      <c r="I1629" s="11" t="s">
        <v>4598</v>
      </c>
    </row>
    <row r="1630" spans="1:9" x14ac:dyDescent="0.15">
      <c r="A1630" s="10">
        <v>1629</v>
      </c>
      <c r="B1630" s="11" t="s">
        <v>9</v>
      </c>
      <c r="C1630" s="11" t="s">
        <v>179</v>
      </c>
      <c r="D1630" s="11" t="s">
        <v>180</v>
      </c>
      <c r="E1630" s="9" t="str">
        <f>+HYPERLINK("http://trademark.i-assist.jp/data/china/image_1908th/80013719.pdf", "80013719")</f>
        <v>80013719</v>
      </c>
      <c r="F1630" s="11" t="s">
        <v>4655</v>
      </c>
      <c r="G1630" s="11" t="s">
        <v>4656</v>
      </c>
      <c r="H1630" s="11" t="s">
        <v>4657</v>
      </c>
      <c r="I1630" s="11" t="s">
        <v>4598</v>
      </c>
    </row>
    <row r="1631" spans="1:9" x14ac:dyDescent="0.15">
      <c r="A1631" s="10">
        <v>1630</v>
      </c>
      <c r="B1631" s="11" t="s">
        <v>9</v>
      </c>
      <c r="C1631" s="11" t="s">
        <v>179</v>
      </c>
      <c r="D1631" s="11" t="s">
        <v>180</v>
      </c>
      <c r="E1631" s="9" t="str">
        <f>+HYPERLINK("http://trademark.i-assist.jp/data/china/image_1908th/80013818.pdf", "80013818")</f>
        <v>80013818</v>
      </c>
      <c r="F1631" s="11" t="s">
        <v>4658</v>
      </c>
      <c r="G1631" s="11" t="s">
        <v>4659</v>
      </c>
      <c r="H1631" s="11" t="s">
        <v>4660</v>
      </c>
      <c r="I1631" s="11" t="s">
        <v>4598</v>
      </c>
    </row>
    <row r="1632" spans="1:9" x14ac:dyDescent="0.15">
      <c r="A1632" s="10">
        <v>1631</v>
      </c>
      <c r="B1632" s="11" t="s">
        <v>9</v>
      </c>
      <c r="C1632" s="11" t="s">
        <v>179</v>
      </c>
      <c r="D1632" s="11" t="s">
        <v>180</v>
      </c>
      <c r="E1632" s="9" t="str">
        <f>+HYPERLINK("http://trademark.i-assist.jp/data/china/image_1908th/80013903.pdf", "80013903")</f>
        <v>80013903</v>
      </c>
      <c r="F1632" s="11" t="s">
        <v>4661</v>
      </c>
      <c r="G1632" s="11" t="s">
        <v>4662</v>
      </c>
      <c r="H1632" s="11" t="s">
        <v>4663</v>
      </c>
      <c r="I1632" s="11" t="s">
        <v>4598</v>
      </c>
    </row>
    <row r="1633" spans="1:9" x14ac:dyDescent="0.15">
      <c r="A1633" s="10">
        <v>1632</v>
      </c>
      <c r="B1633" s="11" t="s">
        <v>9</v>
      </c>
      <c r="C1633" s="11" t="s">
        <v>179</v>
      </c>
      <c r="D1633" s="11" t="s">
        <v>180</v>
      </c>
      <c r="E1633" s="9" t="str">
        <f>+HYPERLINK("http://trademark.i-assist.jp/data/china/image_1908th/80013908.pdf", "80013908")</f>
        <v>80013908</v>
      </c>
      <c r="F1633" s="11" t="s">
        <v>4664</v>
      </c>
      <c r="G1633" s="11" t="s">
        <v>4665</v>
      </c>
      <c r="H1633" s="11" t="s">
        <v>4666</v>
      </c>
      <c r="I1633" s="11" t="s">
        <v>4598</v>
      </c>
    </row>
    <row r="1634" spans="1:9" x14ac:dyDescent="0.15">
      <c r="A1634" s="10">
        <v>1633</v>
      </c>
      <c r="B1634" s="11" t="s">
        <v>9</v>
      </c>
      <c r="C1634" s="11" t="s">
        <v>179</v>
      </c>
      <c r="D1634" s="11" t="s">
        <v>180</v>
      </c>
      <c r="E1634" s="9" t="str">
        <f>+HYPERLINK("http://trademark.i-assist.jp/data/china/image_1908th/80013970.pdf", "80013970")</f>
        <v>80013970</v>
      </c>
      <c r="F1634" s="11" t="s">
        <v>10</v>
      </c>
      <c r="G1634" s="11" t="s">
        <v>4667</v>
      </c>
      <c r="H1634" s="11" t="s">
        <v>4668</v>
      </c>
      <c r="I1634" s="11" t="s">
        <v>4598</v>
      </c>
    </row>
    <row r="1635" spans="1:9" x14ac:dyDescent="0.15">
      <c r="A1635" s="10">
        <v>1634</v>
      </c>
      <c r="B1635" s="11" t="s">
        <v>9</v>
      </c>
      <c r="C1635" s="11" t="s">
        <v>179</v>
      </c>
      <c r="D1635" s="11" t="s">
        <v>180</v>
      </c>
      <c r="E1635" s="9" t="str">
        <f>+HYPERLINK("http://trademark.i-assist.jp/data/china/image_1908th/80013993.pdf", "80013993")</f>
        <v>80013993</v>
      </c>
      <c r="F1635" s="11" t="s">
        <v>4669</v>
      </c>
      <c r="G1635" s="11" t="s">
        <v>4670</v>
      </c>
      <c r="H1635" s="11" t="s">
        <v>4671</v>
      </c>
      <c r="I1635" s="11" t="s">
        <v>4598</v>
      </c>
    </row>
    <row r="1636" spans="1:9" x14ac:dyDescent="0.15">
      <c r="A1636" s="10">
        <v>1635</v>
      </c>
      <c r="B1636" s="11" t="s">
        <v>9</v>
      </c>
      <c r="C1636" s="11" t="s">
        <v>179</v>
      </c>
      <c r="D1636" s="11" t="s">
        <v>180</v>
      </c>
      <c r="E1636" s="9" t="str">
        <f>+HYPERLINK("http://trademark.i-assist.jp/data/china/image_1908th/80014192.pdf", "80014192")</f>
        <v>80014192</v>
      </c>
      <c r="F1636" s="11" t="s">
        <v>4672</v>
      </c>
      <c r="G1636" s="11" t="s">
        <v>4673</v>
      </c>
      <c r="H1636" s="11" t="s">
        <v>4674</v>
      </c>
      <c r="I1636" s="11" t="s">
        <v>4598</v>
      </c>
    </row>
    <row r="1637" spans="1:9" x14ac:dyDescent="0.15">
      <c r="A1637" s="10">
        <v>1636</v>
      </c>
      <c r="B1637" s="11" t="s">
        <v>9</v>
      </c>
      <c r="C1637" s="11" t="s">
        <v>179</v>
      </c>
      <c r="D1637" s="11" t="s">
        <v>180</v>
      </c>
      <c r="E1637" s="9" t="str">
        <f>+HYPERLINK("http://trademark.i-assist.jp/data/china/image_1908th/80014216.pdf", "80014216")</f>
        <v>80014216</v>
      </c>
      <c r="F1637" s="11" t="s">
        <v>4675</v>
      </c>
      <c r="G1637" s="11" t="s">
        <v>4676</v>
      </c>
      <c r="H1637" s="11" t="s">
        <v>4677</v>
      </c>
      <c r="I1637" s="11" t="s">
        <v>4598</v>
      </c>
    </row>
    <row r="1638" spans="1:9" x14ac:dyDescent="0.15">
      <c r="A1638" s="10">
        <v>1637</v>
      </c>
      <c r="B1638" s="11" t="s">
        <v>9</v>
      </c>
      <c r="C1638" s="11" t="s">
        <v>179</v>
      </c>
      <c r="D1638" s="11" t="s">
        <v>180</v>
      </c>
      <c r="E1638" s="9" t="str">
        <f>+HYPERLINK("http://trademark.i-assist.jp/data/china/image_1908th/80014344.pdf", "80014344")</f>
        <v>80014344</v>
      </c>
      <c r="F1638" s="11" t="s">
        <v>4678</v>
      </c>
      <c r="G1638" s="11" t="s">
        <v>4679</v>
      </c>
      <c r="H1638" s="11" t="s">
        <v>4680</v>
      </c>
      <c r="I1638" s="11" t="s">
        <v>4598</v>
      </c>
    </row>
    <row r="1639" spans="1:9" x14ac:dyDescent="0.15">
      <c r="A1639" s="10">
        <v>1638</v>
      </c>
      <c r="B1639" s="11" t="s">
        <v>9</v>
      </c>
      <c r="C1639" s="11" t="s">
        <v>179</v>
      </c>
      <c r="D1639" s="11" t="s">
        <v>180</v>
      </c>
      <c r="E1639" s="9" t="str">
        <f>+HYPERLINK("http://trademark.i-assist.jp/data/china/image_1908th/80014484.pdf", "80014484")</f>
        <v>80014484</v>
      </c>
      <c r="F1639" s="11" t="s">
        <v>4681</v>
      </c>
      <c r="G1639" s="11" t="s">
        <v>112</v>
      </c>
      <c r="H1639" s="11" t="s">
        <v>4682</v>
      </c>
      <c r="I1639" s="11" t="s">
        <v>4598</v>
      </c>
    </row>
    <row r="1640" spans="1:9" x14ac:dyDescent="0.15">
      <c r="A1640" s="10">
        <v>1639</v>
      </c>
      <c r="B1640" s="11" t="s">
        <v>9</v>
      </c>
      <c r="C1640" s="11" t="s">
        <v>179</v>
      </c>
      <c r="D1640" s="11" t="s">
        <v>180</v>
      </c>
      <c r="E1640" s="9" t="str">
        <f>+HYPERLINK("http://trademark.i-assist.jp/data/china/image_1908th/80014486.pdf", "80014486")</f>
        <v>80014486</v>
      </c>
      <c r="F1640" s="11" t="s">
        <v>4683</v>
      </c>
      <c r="G1640" s="11" t="s">
        <v>4596</v>
      </c>
      <c r="H1640" s="11" t="s">
        <v>4684</v>
      </c>
      <c r="I1640" s="11" t="s">
        <v>4598</v>
      </c>
    </row>
    <row r="1641" spans="1:9" x14ac:dyDescent="0.15">
      <c r="A1641" s="10">
        <v>1640</v>
      </c>
      <c r="B1641" s="11" t="s">
        <v>9</v>
      </c>
      <c r="C1641" s="11" t="s">
        <v>179</v>
      </c>
      <c r="D1641" s="11" t="s">
        <v>180</v>
      </c>
      <c r="E1641" s="9" t="str">
        <f>+HYPERLINK("http://trademark.i-assist.jp/data/china/image_1908th/80014642.pdf", "80014642")</f>
        <v>80014642</v>
      </c>
      <c r="F1641" s="11" t="s">
        <v>4685</v>
      </c>
      <c r="G1641" s="11" t="s">
        <v>4686</v>
      </c>
      <c r="H1641" s="11" t="s">
        <v>4687</v>
      </c>
      <c r="I1641" s="11" t="s">
        <v>4598</v>
      </c>
    </row>
    <row r="1642" spans="1:9" x14ac:dyDescent="0.15">
      <c r="A1642" s="10">
        <v>1641</v>
      </c>
      <c r="B1642" s="11" t="s">
        <v>9</v>
      </c>
      <c r="C1642" s="11" t="s">
        <v>179</v>
      </c>
      <c r="D1642" s="11" t="s">
        <v>180</v>
      </c>
      <c r="E1642" s="9" t="str">
        <f>+HYPERLINK("http://trademark.i-assist.jp/data/china/image_1908th/80014702.pdf", "80014702")</f>
        <v>80014702</v>
      </c>
      <c r="F1642" s="11" t="s">
        <v>10</v>
      </c>
      <c r="G1642" s="11" t="s">
        <v>4688</v>
      </c>
      <c r="H1642" s="11" t="s">
        <v>11</v>
      </c>
      <c r="I1642" s="11" t="s">
        <v>4598</v>
      </c>
    </row>
    <row r="1643" spans="1:9" x14ac:dyDescent="0.15">
      <c r="A1643" s="10">
        <v>1642</v>
      </c>
      <c r="B1643" s="11" t="s">
        <v>9</v>
      </c>
      <c r="C1643" s="11" t="s">
        <v>179</v>
      </c>
      <c r="D1643" s="11" t="s">
        <v>180</v>
      </c>
      <c r="E1643" s="9" t="str">
        <f>+HYPERLINK("http://trademark.i-assist.jp/data/china/image_1908th/80014845.pdf", "80014845")</f>
        <v>80014845</v>
      </c>
      <c r="F1643" s="11" t="s">
        <v>4689</v>
      </c>
      <c r="G1643" s="11" t="s">
        <v>4690</v>
      </c>
      <c r="H1643" s="11" t="s">
        <v>4691</v>
      </c>
      <c r="I1643" s="11" t="s">
        <v>4598</v>
      </c>
    </row>
    <row r="1644" spans="1:9" x14ac:dyDescent="0.15">
      <c r="A1644" s="10">
        <v>1643</v>
      </c>
      <c r="B1644" s="11" t="s">
        <v>9</v>
      </c>
      <c r="C1644" s="11" t="s">
        <v>179</v>
      </c>
      <c r="D1644" s="11" t="s">
        <v>180</v>
      </c>
      <c r="E1644" s="9" t="str">
        <f>+HYPERLINK("http://trademark.i-assist.jp/data/china/image_1908th/80014918.pdf", "80014918")</f>
        <v>80014918</v>
      </c>
      <c r="F1644" s="11" t="s">
        <v>4692</v>
      </c>
      <c r="G1644" s="11" t="s">
        <v>4693</v>
      </c>
      <c r="H1644" s="11" t="s">
        <v>4694</v>
      </c>
      <c r="I1644" s="11" t="s">
        <v>4598</v>
      </c>
    </row>
    <row r="1645" spans="1:9" x14ac:dyDescent="0.15">
      <c r="A1645" s="10">
        <v>1644</v>
      </c>
      <c r="B1645" s="11" t="s">
        <v>9</v>
      </c>
      <c r="C1645" s="11" t="s">
        <v>179</v>
      </c>
      <c r="D1645" s="11" t="s">
        <v>180</v>
      </c>
      <c r="E1645" s="9" t="str">
        <f>+HYPERLINK("http://trademark.i-assist.jp/data/china/image_1908th/80014987.pdf", "80014987")</f>
        <v>80014987</v>
      </c>
      <c r="F1645" s="11" t="s">
        <v>4695</v>
      </c>
      <c r="G1645" s="11" t="s">
        <v>4696</v>
      </c>
      <c r="H1645" s="11" t="s">
        <v>4697</v>
      </c>
      <c r="I1645" s="11" t="s">
        <v>4598</v>
      </c>
    </row>
    <row r="1646" spans="1:9" x14ac:dyDescent="0.15">
      <c r="A1646" s="10">
        <v>1645</v>
      </c>
      <c r="B1646" s="11" t="s">
        <v>9</v>
      </c>
      <c r="C1646" s="11" t="s">
        <v>179</v>
      </c>
      <c r="D1646" s="11" t="s">
        <v>180</v>
      </c>
      <c r="E1646" s="9" t="str">
        <f>+HYPERLINK("http://trademark.i-assist.jp/data/china/image_1908th/80015217.pdf", "80015217")</f>
        <v>80015217</v>
      </c>
      <c r="F1646" s="11" t="s">
        <v>4698</v>
      </c>
      <c r="G1646" s="11" t="s">
        <v>4699</v>
      </c>
      <c r="H1646" s="11" t="s">
        <v>4700</v>
      </c>
      <c r="I1646" s="11" t="s">
        <v>4598</v>
      </c>
    </row>
    <row r="1647" spans="1:9" x14ac:dyDescent="0.15">
      <c r="A1647" s="10">
        <v>1646</v>
      </c>
      <c r="B1647" s="11" t="s">
        <v>9</v>
      </c>
      <c r="C1647" s="11" t="s">
        <v>179</v>
      </c>
      <c r="D1647" s="11" t="s">
        <v>180</v>
      </c>
      <c r="E1647" s="9" t="str">
        <f>+HYPERLINK("http://trademark.i-assist.jp/data/china/image_1908th/80015238.pdf", "80015238")</f>
        <v>80015238</v>
      </c>
      <c r="F1647" s="11" t="s">
        <v>4701</v>
      </c>
      <c r="G1647" s="11" t="s">
        <v>4702</v>
      </c>
      <c r="H1647" s="11" t="s">
        <v>4703</v>
      </c>
      <c r="I1647" s="11" t="s">
        <v>4598</v>
      </c>
    </row>
    <row r="1648" spans="1:9" x14ac:dyDescent="0.15">
      <c r="A1648" s="10">
        <v>1647</v>
      </c>
      <c r="B1648" s="11" t="s">
        <v>9</v>
      </c>
      <c r="C1648" s="11" t="s">
        <v>179</v>
      </c>
      <c r="D1648" s="11" t="s">
        <v>180</v>
      </c>
      <c r="E1648" s="9" t="str">
        <f>+HYPERLINK("http://trademark.i-assist.jp/data/china/image_1908th/80015261.pdf", "80015261")</f>
        <v>80015261</v>
      </c>
      <c r="F1648" s="11" t="s">
        <v>4704</v>
      </c>
      <c r="G1648" s="11" t="s">
        <v>4705</v>
      </c>
      <c r="H1648" s="11" t="s">
        <v>4706</v>
      </c>
      <c r="I1648" s="11" t="s">
        <v>4598</v>
      </c>
    </row>
    <row r="1649" spans="1:9" x14ac:dyDescent="0.15">
      <c r="A1649" s="10">
        <v>1648</v>
      </c>
      <c r="B1649" s="11" t="s">
        <v>9</v>
      </c>
      <c r="C1649" s="11" t="s">
        <v>179</v>
      </c>
      <c r="D1649" s="11" t="s">
        <v>180</v>
      </c>
      <c r="E1649" s="9" t="str">
        <f>+HYPERLINK("http://trademark.i-assist.jp/data/china/image_1908th/80015378.pdf", "80015378")</f>
        <v>80015378</v>
      </c>
      <c r="F1649" s="11" t="s">
        <v>4707</v>
      </c>
      <c r="G1649" s="11" t="s">
        <v>4708</v>
      </c>
      <c r="H1649" s="11" t="s">
        <v>4709</v>
      </c>
      <c r="I1649" s="11" t="s">
        <v>4598</v>
      </c>
    </row>
    <row r="1650" spans="1:9" x14ac:dyDescent="0.15">
      <c r="A1650" s="10">
        <v>1649</v>
      </c>
      <c r="B1650" s="11" t="s">
        <v>9</v>
      </c>
      <c r="C1650" s="11" t="s">
        <v>179</v>
      </c>
      <c r="D1650" s="11" t="s">
        <v>180</v>
      </c>
      <c r="E1650" s="9" t="str">
        <f>+HYPERLINK("http://trademark.i-assist.jp/data/china/image_1908th/80015565.pdf", "80015565")</f>
        <v>80015565</v>
      </c>
      <c r="F1650" s="11" t="s">
        <v>4710</v>
      </c>
      <c r="G1650" s="11" t="s">
        <v>4665</v>
      </c>
      <c r="H1650" s="11" t="s">
        <v>4711</v>
      </c>
      <c r="I1650" s="11" t="s">
        <v>4598</v>
      </c>
    </row>
    <row r="1651" spans="1:9" x14ac:dyDescent="0.15">
      <c r="A1651" s="10">
        <v>1650</v>
      </c>
      <c r="B1651" s="11" t="s">
        <v>9</v>
      </c>
      <c r="C1651" s="11" t="s">
        <v>179</v>
      </c>
      <c r="D1651" s="11" t="s">
        <v>180</v>
      </c>
      <c r="E1651" s="9" t="str">
        <f>+HYPERLINK("http://trademark.i-assist.jp/data/china/image_1908th/80015588.pdf", "80015588")</f>
        <v>80015588</v>
      </c>
      <c r="F1651" s="11" t="s">
        <v>4712</v>
      </c>
      <c r="G1651" s="11" t="s">
        <v>4713</v>
      </c>
      <c r="H1651" s="11" t="s">
        <v>4714</v>
      </c>
      <c r="I1651" s="11" t="s">
        <v>4598</v>
      </c>
    </row>
    <row r="1652" spans="1:9" x14ac:dyDescent="0.15">
      <c r="A1652" s="10">
        <v>1651</v>
      </c>
      <c r="B1652" s="11" t="s">
        <v>9</v>
      </c>
      <c r="C1652" s="11" t="s">
        <v>179</v>
      </c>
      <c r="D1652" s="11" t="s">
        <v>180</v>
      </c>
      <c r="E1652" s="9" t="str">
        <f>+HYPERLINK("http://trademark.i-assist.jp/data/china/image_1908th/80015781.pdf", "80015781")</f>
        <v>80015781</v>
      </c>
      <c r="F1652" s="11" t="s">
        <v>4715</v>
      </c>
      <c r="G1652" s="11" t="s">
        <v>4716</v>
      </c>
      <c r="H1652" s="11" t="s">
        <v>4717</v>
      </c>
      <c r="I1652" s="11" t="s">
        <v>4598</v>
      </c>
    </row>
    <row r="1653" spans="1:9" x14ac:dyDescent="0.15">
      <c r="A1653" s="10">
        <v>1652</v>
      </c>
      <c r="B1653" s="11" t="s">
        <v>9</v>
      </c>
      <c r="C1653" s="11" t="s">
        <v>179</v>
      </c>
      <c r="D1653" s="11" t="s">
        <v>180</v>
      </c>
      <c r="E1653" s="9" t="str">
        <f>+HYPERLINK("http://trademark.i-assist.jp/data/china/image_1908th/80015916.pdf", "80015916")</f>
        <v>80015916</v>
      </c>
      <c r="F1653" s="11" t="s">
        <v>4718</v>
      </c>
      <c r="G1653" s="11" t="s">
        <v>4719</v>
      </c>
      <c r="H1653" s="11" t="s">
        <v>4720</v>
      </c>
      <c r="I1653" s="11" t="s">
        <v>4598</v>
      </c>
    </row>
    <row r="1654" spans="1:9" x14ac:dyDescent="0.15">
      <c r="A1654" s="10">
        <v>1653</v>
      </c>
      <c r="B1654" s="11" t="s">
        <v>9</v>
      </c>
      <c r="C1654" s="11" t="s">
        <v>179</v>
      </c>
      <c r="D1654" s="11" t="s">
        <v>180</v>
      </c>
      <c r="E1654" s="9" t="str">
        <f>+HYPERLINK("http://trademark.i-assist.jp/data/china/image_1908th/80015949.pdf", "80015949")</f>
        <v>80015949</v>
      </c>
      <c r="F1654" s="11" t="s">
        <v>4721</v>
      </c>
      <c r="G1654" s="11" t="s">
        <v>4722</v>
      </c>
      <c r="H1654" s="11" t="s">
        <v>4723</v>
      </c>
      <c r="I1654" s="11" t="s">
        <v>4598</v>
      </c>
    </row>
    <row r="1655" spans="1:9" x14ac:dyDescent="0.15">
      <c r="A1655" s="10">
        <v>1654</v>
      </c>
      <c r="B1655" s="11" t="s">
        <v>9</v>
      </c>
      <c r="C1655" s="11" t="s">
        <v>179</v>
      </c>
      <c r="D1655" s="11" t="s">
        <v>180</v>
      </c>
      <c r="E1655" s="9" t="str">
        <f>+HYPERLINK("http://trademark.i-assist.jp/data/china/image_1908th/80016155.pdf", "80016155")</f>
        <v>80016155</v>
      </c>
      <c r="F1655" s="11" t="s">
        <v>4724</v>
      </c>
      <c r="G1655" s="11" t="s">
        <v>3831</v>
      </c>
      <c r="H1655" s="11" t="s">
        <v>4725</v>
      </c>
      <c r="I1655" s="11" t="s">
        <v>4598</v>
      </c>
    </row>
    <row r="1656" spans="1:9" x14ac:dyDescent="0.15">
      <c r="A1656" s="10">
        <v>1655</v>
      </c>
      <c r="B1656" s="11" t="s">
        <v>9</v>
      </c>
      <c r="C1656" s="11" t="s">
        <v>179</v>
      </c>
      <c r="D1656" s="11" t="s">
        <v>180</v>
      </c>
      <c r="E1656" s="9" t="str">
        <f>+HYPERLINK("http://trademark.i-assist.jp/data/china/image_1908th/80016288.pdf", "80016288")</f>
        <v>80016288</v>
      </c>
      <c r="F1656" s="11" t="s">
        <v>4726</v>
      </c>
      <c r="G1656" s="11" t="s">
        <v>4727</v>
      </c>
      <c r="H1656" s="11" t="s">
        <v>4728</v>
      </c>
      <c r="I1656" s="11" t="s">
        <v>4598</v>
      </c>
    </row>
    <row r="1657" spans="1:9" x14ac:dyDescent="0.15">
      <c r="A1657" s="10">
        <v>1656</v>
      </c>
      <c r="B1657" s="11" t="s">
        <v>9</v>
      </c>
      <c r="C1657" s="11" t="s">
        <v>179</v>
      </c>
      <c r="D1657" s="11" t="s">
        <v>180</v>
      </c>
      <c r="E1657" s="9" t="str">
        <f>+HYPERLINK("http://trademark.i-assist.jp/data/china/image_1908th/80016755.pdf", "80016755")</f>
        <v>80016755</v>
      </c>
      <c r="F1657" s="11" t="s">
        <v>4729</v>
      </c>
      <c r="G1657" s="11" t="s">
        <v>4730</v>
      </c>
      <c r="H1657" s="11" t="s">
        <v>4731</v>
      </c>
      <c r="I1657" s="11" t="s">
        <v>4598</v>
      </c>
    </row>
    <row r="1658" spans="1:9" x14ac:dyDescent="0.15">
      <c r="A1658" s="10">
        <v>1657</v>
      </c>
      <c r="B1658" s="11" t="s">
        <v>9</v>
      </c>
      <c r="C1658" s="11" t="s">
        <v>179</v>
      </c>
      <c r="D1658" s="11" t="s">
        <v>180</v>
      </c>
      <c r="E1658" s="9" t="str">
        <f>+HYPERLINK("http://trademark.i-assist.jp/data/china/image_1908th/80016844.pdf", "80016844")</f>
        <v>80016844</v>
      </c>
      <c r="F1658" s="11" t="s">
        <v>4732</v>
      </c>
      <c r="G1658" s="11" t="s">
        <v>4733</v>
      </c>
      <c r="H1658" s="11" t="s">
        <v>4734</v>
      </c>
      <c r="I1658" s="11" t="s">
        <v>4598</v>
      </c>
    </row>
    <row r="1659" spans="1:9" x14ac:dyDescent="0.15">
      <c r="A1659" s="10">
        <v>1658</v>
      </c>
      <c r="B1659" s="11" t="s">
        <v>9</v>
      </c>
      <c r="C1659" s="11" t="s">
        <v>179</v>
      </c>
      <c r="D1659" s="11" t="s">
        <v>180</v>
      </c>
      <c r="E1659" s="9" t="str">
        <f>+HYPERLINK("http://trademark.i-assist.jp/data/china/image_1908th/80016860.pdf", "80016860")</f>
        <v>80016860</v>
      </c>
      <c r="F1659" s="11" t="s">
        <v>4735</v>
      </c>
      <c r="G1659" s="11" t="s">
        <v>4736</v>
      </c>
      <c r="H1659" s="11" t="s">
        <v>4737</v>
      </c>
      <c r="I1659" s="11" t="s">
        <v>4598</v>
      </c>
    </row>
    <row r="1660" spans="1:9" x14ac:dyDescent="0.15">
      <c r="A1660" s="10">
        <v>1659</v>
      </c>
      <c r="B1660" s="11" t="s">
        <v>9</v>
      </c>
      <c r="C1660" s="11" t="s">
        <v>179</v>
      </c>
      <c r="D1660" s="11" t="s">
        <v>180</v>
      </c>
      <c r="E1660" s="9" t="str">
        <f>+HYPERLINK("http://trademark.i-assist.jp/data/china/image_1908th/80016986.pdf", "80016986")</f>
        <v>80016986</v>
      </c>
      <c r="F1660" s="11" t="s">
        <v>4738</v>
      </c>
      <c r="G1660" s="11" t="s">
        <v>4600</v>
      </c>
      <c r="H1660" s="11" t="s">
        <v>4739</v>
      </c>
      <c r="I1660" s="11" t="s">
        <v>4598</v>
      </c>
    </row>
    <row r="1661" spans="1:9" x14ac:dyDescent="0.15">
      <c r="A1661" s="10">
        <v>1660</v>
      </c>
      <c r="B1661" s="11" t="s">
        <v>9</v>
      </c>
      <c r="C1661" s="11" t="s">
        <v>179</v>
      </c>
      <c r="D1661" s="11" t="s">
        <v>180</v>
      </c>
      <c r="E1661" s="9" t="str">
        <f>+HYPERLINK("http://trademark.i-assist.jp/data/china/image_1908th/80017000.pdf", "80017000")</f>
        <v>80017000</v>
      </c>
      <c r="F1661" s="11" t="s">
        <v>4740</v>
      </c>
      <c r="G1661" s="11" t="s">
        <v>4741</v>
      </c>
      <c r="H1661" s="11" t="s">
        <v>4742</v>
      </c>
      <c r="I1661" s="11" t="s">
        <v>4598</v>
      </c>
    </row>
    <row r="1662" spans="1:9" x14ac:dyDescent="0.15">
      <c r="A1662" s="10">
        <v>1661</v>
      </c>
      <c r="B1662" s="11" t="s">
        <v>9</v>
      </c>
      <c r="C1662" s="11" t="s">
        <v>179</v>
      </c>
      <c r="D1662" s="11" t="s">
        <v>180</v>
      </c>
      <c r="E1662" s="9" t="str">
        <f>+HYPERLINK("http://trademark.i-assist.jp/data/china/image_1908th/80017018.pdf", "80017018")</f>
        <v>80017018</v>
      </c>
      <c r="F1662" s="11" t="s">
        <v>4743</v>
      </c>
      <c r="G1662" s="11" t="s">
        <v>4744</v>
      </c>
      <c r="H1662" s="11" t="s">
        <v>4745</v>
      </c>
      <c r="I1662" s="11" t="s">
        <v>4598</v>
      </c>
    </row>
    <row r="1663" spans="1:9" x14ac:dyDescent="0.15">
      <c r="A1663" s="10">
        <v>1662</v>
      </c>
      <c r="B1663" s="11" t="s">
        <v>9</v>
      </c>
      <c r="C1663" s="11" t="s">
        <v>179</v>
      </c>
      <c r="D1663" s="11" t="s">
        <v>180</v>
      </c>
      <c r="E1663" s="9" t="str">
        <f>+HYPERLINK("http://trademark.i-assist.jp/data/china/image_1908th/80017052.pdf", "80017052")</f>
        <v>80017052</v>
      </c>
      <c r="F1663" s="11" t="s">
        <v>4746</v>
      </c>
      <c r="G1663" s="11" t="s">
        <v>4747</v>
      </c>
      <c r="H1663" s="11" t="s">
        <v>4748</v>
      </c>
      <c r="I1663" s="11" t="s">
        <v>4598</v>
      </c>
    </row>
    <row r="1664" spans="1:9" x14ac:dyDescent="0.15">
      <c r="A1664" s="10">
        <v>1663</v>
      </c>
      <c r="B1664" s="11" t="s">
        <v>9</v>
      </c>
      <c r="C1664" s="11" t="s">
        <v>179</v>
      </c>
      <c r="D1664" s="11" t="s">
        <v>180</v>
      </c>
      <c r="E1664" s="9" t="str">
        <f>+HYPERLINK("http://trademark.i-assist.jp/data/china/image_1908th/80017132.pdf", "80017132")</f>
        <v>80017132</v>
      </c>
      <c r="F1664" s="11" t="s">
        <v>4749</v>
      </c>
      <c r="G1664" s="11" t="s">
        <v>4750</v>
      </c>
      <c r="H1664" s="11" t="s">
        <v>4751</v>
      </c>
      <c r="I1664" s="11" t="s">
        <v>4598</v>
      </c>
    </row>
    <row r="1665" spans="1:9" x14ac:dyDescent="0.15">
      <c r="A1665" s="10">
        <v>1664</v>
      </c>
      <c r="B1665" s="11" t="s">
        <v>9</v>
      </c>
      <c r="C1665" s="11" t="s">
        <v>179</v>
      </c>
      <c r="D1665" s="11" t="s">
        <v>180</v>
      </c>
      <c r="E1665" s="9" t="str">
        <f>+HYPERLINK("http://trademark.i-assist.jp/data/china/image_1908th/80017196.pdf", "80017196")</f>
        <v>80017196</v>
      </c>
      <c r="F1665" s="11" t="s">
        <v>4752</v>
      </c>
      <c r="G1665" s="11" t="s">
        <v>4753</v>
      </c>
      <c r="H1665" s="11" t="s">
        <v>4754</v>
      </c>
      <c r="I1665" s="11" t="s">
        <v>4598</v>
      </c>
    </row>
    <row r="1666" spans="1:9" x14ac:dyDescent="0.15">
      <c r="A1666" s="10">
        <v>1665</v>
      </c>
      <c r="B1666" s="11" t="s">
        <v>9</v>
      </c>
      <c r="C1666" s="11" t="s">
        <v>179</v>
      </c>
      <c r="D1666" s="11" t="s">
        <v>180</v>
      </c>
      <c r="E1666" s="9" t="str">
        <f>+HYPERLINK("http://trademark.i-assist.jp/data/china/image_1908th/80017316.pdf", "80017316")</f>
        <v>80017316</v>
      </c>
      <c r="F1666" s="11" t="s">
        <v>4755</v>
      </c>
      <c r="G1666" s="11" t="s">
        <v>4756</v>
      </c>
      <c r="H1666" s="11" t="s">
        <v>4757</v>
      </c>
      <c r="I1666" s="11" t="s">
        <v>4598</v>
      </c>
    </row>
    <row r="1667" spans="1:9" x14ac:dyDescent="0.15">
      <c r="A1667" s="10">
        <v>1666</v>
      </c>
      <c r="B1667" s="11" t="s">
        <v>9</v>
      </c>
      <c r="C1667" s="11" t="s">
        <v>179</v>
      </c>
      <c r="D1667" s="11" t="s">
        <v>180</v>
      </c>
      <c r="E1667" s="9" t="str">
        <f>+HYPERLINK("http://trademark.i-assist.jp/data/china/image_1908th/80017391.pdf", "80017391")</f>
        <v>80017391</v>
      </c>
      <c r="F1667" s="11" t="s">
        <v>4758</v>
      </c>
      <c r="G1667" s="11" t="s">
        <v>4606</v>
      </c>
      <c r="H1667" s="11" t="s">
        <v>4759</v>
      </c>
      <c r="I1667" s="11" t="s">
        <v>4598</v>
      </c>
    </row>
    <row r="1668" spans="1:9" x14ac:dyDescent="0.15">
      <c r="A1668" s="10">
        <v>1667</v>
      </c>
      <c r="B1668" s="11" t="s">
        <v>9</v>
      </c>
      <c r="C1668" s="11" t="s">
        <v>179</v>
      </c>
      <c r="D1668" s="11" t="s">
        <v>180</v>
      </c>
      <c r="E1668" s="9" t="str">
        <f>+HYPERLINK("http://trademark.i-assist.jp/data/china/image_1908th/80017467.pdf", "80017467")</f>
        <v>80017467</v>
      </c>
      <c r="F1668" s="11" t="s">
        <v>4760</v>
      </c>
      <c r="G1668" s="11" t="s">
        <v>4761</v>
      </c>
      <c r="H1668" s="11" t="s">
        <v>4762</v>
      </c>
      <c r="I1668" s="11" t="s">
        <v>4598</v>
      </c>
    </row>
    <row r="1669" spans="1:9" x14ac:dyDescent="0.15">
      <c r="A1669" s="10">
        <v>1668</v>
      </c>
      <c r="B1669" s="11" t="s">
        <v>9</v>
      </c>
      <c r="C1669" s="11" t="s">
        <v>179</v>
      </c>
      <c r="D1669" s="11" t="s">
        <v>180</v>
      </c>
      <c r="E1669" s="9" t="str">
        <f>+HYPERLINK("http://trademark.i-assist.jp/data/china/image_1908th/80017563.pdf", "80017563")</f>
        <v>80017563</v>
      </c>
      <c r="F1669" s="11" t="s">
        <v>4763</v>
      </c>
      <c r="G1669" s="11" t="s">
        <v>4764</v>
      </c>
      <c r="H1669" s="11" t="s">
        <v>4765</v>
      </c>
      <c r="I1669" s="11" t="s">
        <v>4598</v>
      </c>
    </row>
    <row r="1670" spans="1:9" x14ac:dyDescent="0.15">
      <c r="A1670" s="10">
        <v>1669</v>
      </c>
      <c r="B1670" s="11" t="s">
        <v>9</v>
      </c>
      <c r="C1670" s="11" t="s">
        <v>179</v>
      </c>
      <c r="D1670" s="11" t="s">
        <v>180</v>
      </c>
      <c r="E1670" s="9" t="str">
        <f>+HYPERLINK("http://trademark.i-assist.jp/data/china/image_1908th/80018065.pdf", "80018065")</f>
        <v>80018065</v>
      </c>
      <c r="F1670" s="11" t="s">
        <v>4766</v>
      </c>
      <c r="G1670" s="11" t="s">
        <v>4767</v>
      </c>
      <c r="H1670" s="11" t="s">
        <v>4768</v>
      </c>
      <c r="I1670" s="11" t="s">
        <v>4598</v>
      </c>
    </row>
    <row r="1671" spans="1:9" x14ac:dyDescent="0.15">
      <c r="A1671" s="10">
        <v>1670</v>
      </c>
      <c r="B1671" s="11" t="s">
        <v>9</v>
      </c>
      <c r="C1671" s="11" t="s">
        <v>179</v>
      </c>
      <c r="D1671" s="11" t="s">
        <v>180</v>
      </c>
      <c r="E1671" s="9" t="str">
        <f>+HYPERLINK("http://trademark.i-assist.jp/data/china/image_1908th/80018091.pdf", "80018091")</f>
        <v>80018091</v>
      </c>
      <c r="F1671" s="11" t="s">
        <v>4769</v>
      </c>
      <c r="G1671" s="11" t="s">
        <v>4770</v>
      </c>
      <c r="H1671" s="11" t="s">
        <v>4771</v>
      </c>
      <c r="I1671" s="11" t="s">
        <v>4598</v>
      </c>
    </row>
    <row r="1672" spans="1:9" x14ac:dyDescent="0.15">
      <c r="A1672" s="10">
        <v>1671</v>
      </c>
      <c r="B1672" s="11" t="s">
        <v>9</v>
      </c>
      <c r="C1672" s="11" t="s">
        <v>179</v>
      </c>
      <c r="D1672" s="11" t="s">
        <v>180</v>
      </c>
      <c r="E1672" s="9" t="str">
        <f>+HYPERLINK("http://trademark.i-assist.jp/data/china/image_1908th/80018300.pdf", "80018300")</f>
        <v>80018300</v>
      </c>
      <c r="F1672" s="11" t="s">
        <v>4772</v>
      </c>
      <c r="G1672" s="11" t="s">
        <v>4773</v>
      </c>
      <c r="H1672" s="11" t="s">
        <v>4774</v>
      </c>
      <c r="I1672" s="11" t="s">
        <v>4598</v>
      </c>
    </row>
    <row r="1673" spans="1:9" x14ac:dyDescent="0.15">
      <c r="A1673" s="10">
        <v>1672</v>
      </c>
      <c r="B1673" s="11" t="s">
        <v>9</v>
      </c>
      <c r="C1673" s="11" t="s">
        <v>179</v>
      </c>
      <c r="D1673" s="11" t="s">
        <v>180</v>
      </c>
      <c r="E1673" s="9" t="str">
        <f>+HYPERLINK("http://trademark.i-assist.jp/data/china/image_1908th/80018394.pdf", "80018394")</f>
        <v>80018394</v>
      </c>
      <c r="F1673" s="11" t="s">
        <v>4775</v>
      </c>
      <c r="G1673" s="11" t="s">
        <v>4776</v>
      </c>
      <c r="H1673" s="11" t="s">
        <v>4777</v>
      </c>
      <c r="I1673" s="11" t="s">
        <v>4598</v>
      </c>
    </row>
    <row r="1674" spans="1:9" x14ac:dyDescent="0.15">
      <c r="A1674" s="10">
        <v>1673</v>
      </c>
      <c r="B1674" s="11" t="s">
        <v>9</v>
      </c>
      <c r="C1674" s="11" t="s">
        <v>179</v>
      </c>
      <c r="D1674" s="11" t="s">
        <v>180</v>
      </c>
      <c r="E1674" s="9" t="str">
        <f>+HYPERLINK("http://trademark.i-assist.jp/data/china/image_1908th/80018461.pdf", "80018461")</f>
        <v>80018461</v>
      </c>
      <c r="F1674" s="11" t="s">
        <v>4778</v>
      </c>
      <c r="G1674" s="11" t="s">
        <v>4779</v>
      </c>
      <c r="H1674" s="11" t="s">
        <v>4780</v>
      </c>
      <c r="I1674" s="11" t="s">
        <v>4598</v>
      </c>
    </row>
    <row r="1675" spans="1:9" x14ac:dyDescent="0.15">
      <c r="A1675" s="10">
        <v>1674</v>
      </c>
      <c r="B1675" s="11" t="s">
        <v>9</v>
      </c>
      <c r="C1675" s="11" t="s">
        <v>179</v>
      </c>
      <c r="D1675" s="11" t="s">
        <v>180</v>
      </c>
      <c r="E1675" s="9" t="str">
        <f>+HYPERLINK("http://trademark.i-assist.jp/data/china/image_1908th/80018518.pdf", "80018518")</f>
        <v>80018518</v>
      </c>
      <c r="F1675" s="11" t="s">
        <v>4781</v>
      </c>
      <c r="G1675" s="11" t="s">
        <v>4782</v>
      </c>
      <c r="H1675" s="11" t="s">
        <v>4783</v>
      </c>
      <c r="I1675" s="11" t="s">
        <v>4598</v>
      </c>
    </row>
    <row r="1676" spans="1:9" x14ac:dyDescent="0.15">
      <c r="A1676" s="10">
        <v>1675</v>
      </c>
      <c r="B1676" s="11" t="s">
        <v>9</v>
      </c>
      <c r="C1676" s="11" t="s">
        <v>179</v>
      </c>
      <c r="D1676" s="11" t="s">
        <v>180</v>
      </c>
      <c r="E1676" s="9" t="str">
        <f>+HYPERLINK("http://trademark.i-assist.jp/data/china/image_1908th/80018680.pdf", "80018680")</f>
        <v>80018680</v>
      </c>
      <c r="F1676" s="11" t="s">
        <v>4784</v>
      </c>
      <c r="G1676" s="11" t="s">
        <v>4785</v>
      </c>
      <c r="H1676" s="11" t="s">
        <v>4786</v>
      </c>
      <c r="I1676" s="11" t="s">
        <v>4598</v>
      </c>
    </row>
    <row r="1677" spans="1:9" x14ac:dyDescent="0.15">
      <c r="A1677" s="10">
        <v>1676</v>
      </c>
      <c r="B1677" s="11" t="s">
        <v>9</v>
      </c>
      <c r="C1677" s="11" t="s">
        <v>179</v>
      </c>
      <c r="D1677" s="11" t="s">
        <v>180</v>
      </c>
      <c r="E1677" s="9" t="str">
        <f>+HYPERLINK("http://trademark.i-assist.jp/data/china/image_1908th/80018694.pdf", "80018694")</f>
        <v>80018694</v>
      </c>
      <c r="F1677" s="11" t="s">
        <v>4787</v>
      </c>
      <c r="G1677" s="11" t="s">
        <v>161</v>
      </c>
      <c r="H1677" s="11" t="s">
        <v>4788</v>
      </c>
      <c r="I1677" s="11" t="s">
        <v>4598</v>
      </c>
    </row>
    <row r="1678" spans="1:9" x14ac:dyDescent="0.15">
      <c r="A1678" s="10">
        <v>1677</v>
      </c>
      <c r="B1678" s="11" t="s">
        <v>9</v>
      </c>
      <c r="C1678" s="11" t="s">
        <v>179</v>
      </c>
      <c r="D1678" s="11" t="s">
        <v>180</v>
      </c>
      <c r="E1678" s="9" t="str">
        <f>+HYPERLINK("http://trademark.i-assist.jp/data/china/image_1908th/80018820.pdf", "80018820")</f>
        <v>80018820</v>
      </c>
      <c r="F1678" s="11" t="s">
        <v>4789</v>
      </c>
      <c r="G1678" s="11" t="s">
        <v>4790</v>
      </c>
      <c r="H1678" s="11" t="s">
        <v>4791</v>
      </c>
      <c r="I1678" s="11" t="s">
        <v>4598</v>
      </c>
    </row>
    <row r="1679" spans="1:9" x14ac:dyDescent="0.15">
      <c r="A1679" s="10">
        <v>1678</v>
      </c>
      <c r="B1679" s="11" t="s">
        <v>9</v>
      </c>
      <c r="C1679" s="11" t="s">
        <v>179</v>
      </c>
      <c r="D1679" s="11" t="s">
        <v>180</v>
      </c>
      <c r="E1679" s="9" t="str">
        <f>+HYPERLINK("http://trademark.i-assist.jp/data/china/image_1908th/80018845.pdf", "80018845")</f>
        <v>80018845</v>
      </c>
      <c r="F1679" s="11" t="s">
        <v>4792</v>
      </c>
      <c r="G1679" s="11" t="s">
        <v>4793</v>
      </c>
      <c r="H1679" s="11" t="s">
        <v>4794</v>
      </c>
      <c r="I1679" s="11" t="s">
        <v>4598</v>
      </c>
    </row>
    <row r="1680" spans="1:9" x14ac:dyDescent="0.15">
      <c r="A1680" s="10">
        <v>1679</v>
      </c>
      <c r="B1680" s="11" t="s">
        <v>9</v>
      </c>
      <c r="C1680" s="11" t="s">
        <v>179</v>
      </c>
      <c r="D1680" s="11" t="s">
        <v>180</v>
      </c>
      <c r="E1680" s="9" t="str">
        <f>+HYPERLINK("http://trademark.i-assist.jp/data/china/image_1908th/80018888.pdf", "80018888")</f>
        <v>80018888</v>
      </c>
      <c r="F1680" s="11" t="s">
        <v>4795</v>
      </c>
      <c r="G1680" s="11" t="s">
        <v>4796</v>
      </c>
      <c r="H1680" s="11" t="s">
        <v>4797</v>
      </c>
      <c r="I1680" s="11" t="s">
        <v>4598</v>
      </c>
    </row>
    <row r="1681" spans="1:9" x14ac:dyDescent="0.15">
      <c r="A1681" s="10">
        <v>1680</v>
      </c>
      <c r="B1681" s="11" t="s">
        <v>9</v>
      </c>
      <c r="C1681" s="11" t="s">
        <v>179</v>
      </c>
      <c r="D1681" s="11" t="s">
        <v>180</v>
      </c>
      <c r="E1681" s="9" t="str">
        <f>+HYPERLINK("http://trademark.i-assist.jp/data/china/image_1908th/80019053.pdf", "80019053")</f>
        <v>80019053</v>
      </c>
      <c r="F1681" s="11" t="s">
        <v>4798</v>
      </c>
      <c r="G1681" s="11" t="s">
        <v>4799</v>
      </c>
      <c r="H1681" s="11" t="s">
        <v>4800</v>
      </c>
      <c r="I1681" s="11" t="s">
        <v>4598</v>
      </c>
    </row>
    <row r="1682" spans="1:9" x14ac:dyDescent="0.15">
      <c r="A1682" s="10">
        <v>1681</v>
      </c>
      <c r="B1682" s="11" t="s">
        <v>9</v>
      </c>
      <c r="C1682" s="11" t="s">
        <v>179</v>
      </c>
      <c r="D1682" s="11" t="s">
        <v>180</v>
      </c>
      <c r="E1682" s="9" t="str">
        <f>+HYPERLINK("http://trademark.i-assist.jp/data/china/image_1908th/80019375.pdf", "80019375")</f>
        <v>80019375</v>
      </c>
      <c r="F1682" s="11" t="s">
        <v>4801</v>
      </c>
      <c r="G1682" s="11" t="s">
        <v>4802</v>
      </c>
      <c r="H1682" s="11" t="s">
        <v>4803</v>
      </c>
      <c r="I1682" s="11" t="s">
        <v>4598</v>
      </c>
    </row>
    <row r="1683" spans="1:9" x14ac:dyDescent="0.15">
      <c r="A1683" s="10">
        <v>1682</v>
      </c>
      <c r="B1683" s="11" t="s">
        <v>9</v>
      </c>
      <c r="C1683" s="11" t="s">
        <v>179</v>
      </c>
      <c r="D1683" s="11" t="s">
        <v>180</v>
      </c>
      <c r="E1683" s="9" t="str">
        <f>+HYPERLINK("http://trademark.i-assist.jp/data/china/image_1908th/80019659.pdf", "80019659")</f>
        <v>80019659</v>
      </c>
      <c r="F1683" s="11" t="s">
        <v>4804</v>
      </c>
      <c r="G1683" s="11" t="s">
        <v>4727</v>
      </c>
      <c r="H1683" s="11" t="s">
        <v>4805</v>
      </c>
      <c r="I1683" s="11" t="s">
        <v>4598</v>
      </c>
    </row>
    <row r="1684" spans="1:9" x14ac:dyDescent="0.15">
      <c r="A1684" s="10">
        <v>1683</v>
      </c>
      <c r="B1684" s="11" t="s">
        <v>9</v>
      </c>
      <c r="C1684" s="11" t="s">
        <v>179</v>
      </c>
      <c r="D1684" s="11" t="s">
        <v>180</v>
      </c>
      <c r="E1684" s="9" t="str">
        <f>+HYPERLINK("http://trademark.i-assist.jp/data/china/image_1908th/80019682.pdf", "80019682")</f>
        <v>80019682</v>
      </c>
      <c r="F1684" s="11" t="s">
        <v>4806</v>
      </c>
      <c r="G1684" s="11" t="s">
        <v>4807</v>
      </c>
      <c r="H1684" s="11" t="s">
        <v>4808</v>
      </c>
      <c r="I1684" s="11" t="s">
        <v>4598</v>
      </c>
    </row>
    <row r="1685" spans="1:9" x14ac:dyDescent="0.15">
      <c r="A1685" s="10">
        <v>1684</v>
      </c>
      <c r="B1685" s="11" t="s">
        <v>9</v>
      </c>
      <c r="C1685" s="11" t="s">
        <v>179</v>
      </c>
      <c r="D1685" s="11" t="s">
        <v>180</v>
      </c>
      <c r="E1685" s="9" t="str">
        <f>+HYPERLINK("http://trademark.i-assist.jp/data/china/image_1908th/80019732.pdf", "80019732")</f>
        <v>80019732</v>
      </c>
      <c r="F1685" s="11" t="s">
        <v>4809</v>
      </c>
      <c r="G1685" s="11" t="s">
        <v>4596</v>
      </c>
      <c r="H1685" s="11" t="s">
        <v>4810</v>
      </c>
      <c r="I1685" s="11" t="s">
        <v>4598</v>
      </c>
    </row>
    <row r="1686" spans="1:9" x14ac:dyDescent="0.15">
      <c r="A1686" s="10">
        <v>1685</v>
      </c>
      <c r="B1686" s="11" t="s">
        <v>9</v>
      </c>
      <c r="C1686" s="11" t="s">
        <v>179</v>
      </c>
      <c r="D1686" s="11" t="s">
        <v>180</v>
      </c>
      <c r="E1686" s="9" t="str">
        <f>+HYPERLINK("http://trademark.i-assist.jp/data/china/image_1908th/80019776.pdf", "80019776")</f>
        <v>80019776</v>
      </c>
      <c r="F1686" s="11" t="s">
        <v>4811</v>
      </c>
      <c r="G1686" s="11" t="s">
        <v>4651</v>
      </c>
      <c r="H1686" s="11" t="s">
        <v>4812</v>
      </c>
      <c r="I1686" s="11" t="s">
        <v>4598</v>
      </c>
    </row>
    <row r="1687" spans="1:9" x14ac:dyDescent="0.15">
      <c r="A1687" s="10">
        <v>1686</v>
      </c>
      <c r="B1687" s="11" t="s">
        <v>9</v>
      </c>
      <c r="C1687" s="11" t="s">
        <v>179</v>
      </c>
      <c r="D1687" s="11" t="s">
        <v>180</v>
      </c>
      <c r="E1687" s="9" t="str">
        <f>+HYPERLINK("http://trademark.i-assist.jp/data/china/image_1908th/80019978.pdf", "80019978")</f>
        <v>80019978</v>
      </c>
      <c r="F1687" s="11" t="s">
        <v>4813</v>
      </c>
      <c r="G1687" s="11" t="s">
        <v>4814</v>
      </c>
      <c r="H1687" s="11" t="s">
        <v>4815</v>
      </c>
      <c r="I1687" s="11" t="s">
        <v>4816</v>
      </c>
    </row>
    <row r="1688" spans="1:9" x14ac:dyDescent="0.15">
      <c r="A1688" s="10">
        <v>1687</v>
      </c>
      <c r="B1688" s="11" t="s">
        <v>9</v>
      </c>
      <c r="C1688" s="11" t="s">
        <v>179</v>
      </c>
      <c r="D1688" s="11" t="s">
        <v>180</v>
      </c>
      <c r="E1688" s="9" t="str">
        <f>+HYPERLINK("http://trademark.i-assist.jp/data/china/image_1908th/80019982.pdf", "80019982")</f>
        <v>80019982</v>
      </c>
      <c r="F1688" s="11" t="s">
        <v>4817</v>
      </c>
      <c r="G1688" s="11" t="s">
        <v>4818</v>
      </c>
      <c r="H1688" s="11" t="s">
        <v>4819</v>
      </c>
      <c r="I1688" s="11" t="s">
        <v>4816</v>
      </c>
    </row>
    <row r="1689" spans="1:9" x14ac:dyDescent="0.15">
      <c r="A1689" s="10">
        <v>1688</v>
      </c>
      <c r="B1689" s="11" t="s">
        <v>9</v>
      </c>
      <c r="C1689" s="11" t="s">
        <v>179</v>
      </c>
      <c r="D1689" s="11" t="s">
        <v>180</v>
      </c>
      <c r="E1689" s="9" t="str">
        <f>+HYPERLINK("http://trademark.i-assist.jp/data/china/image_1908th/80020219.pdf", "80020219")</f>
        <v>80020219</v>
      </c>
      <c r="F1689" s="11" t="s">
        <v>4820</v>
      </c>
      <c r="G1689" s="11" t="s">
        <v>1326</v>
      </c>
      <c r="H1689" s="11" t="s">
        <v>4821</v>
      </c>
      <c r="I1689" s="11" t="s">
        <v>4822</v>
      </c>
    </row>
    <row r="1690" spans="1:9" x14ac:dyDescent="0.15">
      <c r="A1690" s="10">
        <v>1689</v>
      </c>
      <c r="B1690" s="11" t="s">
        <v>9</v>
      </c>
      <c r="C1690" s="11" t="s">
        <v>179</v>
      </c>
      <c r="D1690" s="11" t="s">
        <v>180</v>
      </c>
      <c r="E1690" s="9" t="str">
        <f>+HYPERLINK("http://trademark.i-assist.jp/data/china/image_1908th/80020252.pdf", "80020252")</f>
        <v>80020252</v>
      </c>
      <c r="F1690" s="11" t="s">
        <v>4823</v>
      </c>
      <c r="G1690" s="11" t="s">
        <v>4824</v>
      </c>
      <c r="H1690" s="11" t="s">
        <v>4825</v>
      </c>
      <c r="I1690" s="11" t="s">
        <v>4822</v>
      </c>
    </row>
    <row r="1691" spans="1:9" x14ac:dyDescent="0.15">
      <c r="A1691" s="10">
        <v>1690</v>
      </c>
      <c r="B1691" s="11" t="s">
        <v>9</v>
      </c>
      <c r="C1691" s="11" t="s">
        <v>179</v>
      </c>
      <c r="D1691" s="11" t="s">
        <v>180</v>
      </c>
      <c r="E1691" s="9" t="str">
        <f>+HYPERLINK("http://trademark.i-assist.jp/data/china/image_1908th/80020300.pdf", "80020300")</f>
        <v>80020300</v>
      </c>
      <c r="F1691" s="11" t="s">
        <v>4826</v>
      </c>
      <c r="G1691" s="11" t="s">
        <v>4827</v>
      </c>
      <c r="H1691" s="11" t="s">
        <v>4828</v>
      </c>
      <c r="I1691" s="11" t="s">
        <v>4598</v>
      </c>
    </row>
    <row r="1692" spans="1:9" x14ac:dyDescent="0.15">
      <c r="A1692" s="10">
        <v>1691</v>
      </c>
      <c r="B1692" s="11" t="s">
        <v>9</v>
      </c>
      <c r="C1692" s="11" t="s">
        <v>179</v>
      </c>
      <c r="D1692" s="11" t="s">
        <v>180</v>
      </c>
      <c r="E1692" s="9" t="str">
        <f>+HYPERLINK("http://trademark.i-assist.jp/data/china/image_1908th/80020500.pdf", "80020500")</f>
        <v>80020500</v>
      </c>
      <c r="F1692" s="11" t="s">
        <v>4829</v>
      </c>
      <c r="G1692" s="11" t="s">
        <v>4640</v>
      </c>
      <c r="H1692" s="11" t="s">
        <v>4830</v>
      </c>
      <c r="I1692" s="11" t="s">
        <v>4598</v>
      </c>
    </row>
    <row r="1693" spans="1:9" x14ac:dyDescent="0.15">
      <c r="A1693" s="10">
        <v>1692</v>
      </c>
      <c r="B1693" s="11" t="s">
        <v>9</v>
      </c>
      <c r="C1693" s="11" t="s">
        <v>179</v>
      </c>
      <c r="D1693" s="11" t="s">
        <v>180</v>
      </c>
      <c r="E1693" s="9" t="str">
        <f>+HYPERLINK("http://trademark.i-assist.jp/data/china/image_1908th/80020536.pdf", "80020536")</f>
        <v>80020536</v>
      </c>
      <c r="F1693" s="11" t="s">
        <v>4831</v>
      </c>
      <c r="G1693" s="11" t="s">
        <v>4640</v>
      </c>
      <c r="H1693" s="11" t="s">
        <v>4832</v>
      </c>
      <c r="I1693" s="11" t="s">
        <v>4598</v>
      </c>
    </row>
    <row r="1694" spans="1:9" x14ac:dyDescent="0.15">
      <c r="A1694" s="10">
        <v>1693</v>
      </c>
      <c r="B1694" s="11" t="s">
        <v>9</v>
      </c>
      <c r="C1694" s="11" t="s">
        <v>179</v>
      </c>
      <c r="D1694" s="11" t="s">
        <v>180</v>
      </c>
      <c r="E1694" s="9" t="str">
        <f>+HYPERLINK("http://trademark.i-assist.jp/data/china/image_1908th/80020554.pdf", "80020554")</f>
        <v>80020554</v>
      </c>
      <c r="F1694" s="11" t="s">
        <v>4833</v>
      </c>
      <c r="G1694" s="11" t="s">
        <v>4834</v>
      </c>
      <c r="H1694" s="11" t="s">
        <v>4835</v>
      </c>
      <c r="I1694" s="11" t="s">
        <v>4598</v>
      </c>
    </row>
    <row r="1695" spans="1:9" x14ac:dyDescent="0.15">
      <c r="A1695" s="10">
        <v>1694</v>
      </c>
      <c r="B1695" s="11" t="s">
        <v>9</v>
      </c>
      <c r="C1695" s="11" t="s">
        <v>179</v>
      </c>
      <c r="D1695" s="11" t="s">
        <v>180</v>
      </c>
      <c r="E1695" s="9" t="str">
        <f>+HYPERLINK("http://trademark.i-assist.jp/data/china/image_1908th/80020558.pdf", "80020558")</f>
        <v>80020558</v>
      </c>
      <c r="F1695" s="11" t="s">
        <v>4836</v>
      </c>
      <c r="G1695" s="11" t="s">
        <v>4640</v>
      </c>
      <c r="H1695" s="11" t="s">
        <v>4837</v>
      </c>
      <c r="I1695" s="11" t="s">
        <v>4598</v>
      </c>
    </row>
    <row r="1696" spans="1:9" x14ac:dyDescent="0.15">
      <c r="A1696" s="10">
        <v>1695</v>
      </c>
      <c r="B1696" s="11" t="s">
        <v>9</v>
      </c>
      <c r="C1696" s="11" t="s">
        <v>179</v>
      </c>
      <c r="D1696" s="11" t="s">
        <v>180</v>
      </c>
      <c r="E1696" s="9" t="str">
        <f>+HYPERLINK("http://trademark.i-assist.jp/data/china/image_1908th/80020646.pdf", "80020646")</f>
        <v>80020646</v>
      </c>
      <c r="F1696" s="11" t="s">
        <v>4838</v>
      </c>
      <c r="G1696" s="11" t="s">
        <v>4839</v>
      </c>
      <c r="H1696" s="11" t="s">
        <v>4840</v>
      </c>
      <c r="I1696" s="11" t="s">
        <v>4598</v>
      </c>
    </row>
    <row r="1697" spans="1:9" x14ac:dyDescent="0.15">
      <c r="A1697" s="10">
        <v>1696</v>
      </c>
      <c r="B1697" s="11" t="s">
        <v>9</v>
      </c>
      <c r="C1697" s="11" t="s">
        <v>179</v>
      </c>
      <c r="D1697" s="11" t="s">
        <v>180</v>
      </c>
      <c r="E1697" s="9" t="str">
        <f>+HYPERLINK("http://trademark.i-assist.jp/data/china/image_1908th/80020772.pdf", "80020772")</f>
        <v>80020772</v>
      </c>
      <c r="F1697" s="11" t="s">
        <v>4841</v>
      </c>
      <c r="G1697" s="11" t="s">
        <v>4842</v>
      </c>
      <c r="H1697" s="11" t="s">
        <v>4843</v>
      </c>
      <c r="I1697" s="11" t="s">
        <v>4598</v>
      </c>
    </row>
    <row r="1698" spans="1:9" x14ac:dyDescent="0.15">
      <c r="A1698" s="10">
        <v>1697</v>
      </c>
      <c r="B1698" s="11" t="s">
        <v>9</v>
      </c>
      <c r="C1698" s="11" t="s">
        <v>179</v>
      </c>
      <c r="D1698" s="11" t="s">
        <v>180</v>
      </c>
      <c r="E1698" s="9" t="str">
        <f>+HYPERLINK("http://trademark.i-assist.jp/data/china/image_1908th/80021001.pdf", "80021001")</f>
        <v>80021001</v>
      </c>
      <c r="F1698" s="11" t="s">
        <v>4844</v>
      </c>
      <c r="G1698" s="11" t="s">
        <v>4845</v>
      </c>
      <c r="H1698" s="11" t="s">
        <v>4846</v>
      </c>
      <c r="I1698" s="11" t="s">
        <v>4598</v>
      </c>
    </row>
    <row r="1699" spans="1:9" x14ac:dyDescent="0.15">
      <c r="A1699" s="10">
        <v>1698</v>
      </c>
      <c r="B1699" s="11" t="s">
        <v>9</v>
      </c>
      <c r="C1699" s="11" t="s">
        <v>179</v>
      </c>
      <c r="D1699" s="11" t="s">
        <v>180</v>
      </c>
      <c r="E1699" s="9" t="str">
        <f>+HYPERLINK("http://trademark.i-assist.jp/data/china/image_1908th/80021297.pdf", "80021297")</f>
        <v>80021297</v>
      </c>
      <c r="F1699" s="11" t="s">
        <v>4847</v>
      </c>
      <c r="G1699" s="11" t="s">
        <v>4848</v>
      </c>
      <c r="H1699" s="11" t="s">
        <v>4849</v>
      </c>
      <c r="I1699" s="11" t="s">
        <v>4816</v>
      </c>
    </row>
    <row r="1700" spans="1:9" x14ac:dyDescent="0.15">
      <c r="A1700" s="10">
        <v>1699</v>
      </c>
      <c r="B1700" s="11" t="s">
        <v>9</v>
      </c>
      <c r="C1700" s="11" t="s">
        <v>179</v>
      </c>
      <c r="D1700" s="11" t="s">
        <v>180</v>
      </c>
      <c r="E1700" s="9" t="str">
        <f>+HYPERLINK("http://trademark.i-assist.jp/data/china/image_1908th/80021560.pdf", "80021560")</f>
        <v>80021560</v>
      </c>
      <c r="F1700" s="11" t="s">
        <v>4850</v>
      </c>
      <c r="G1700" s="11" t="s">
        <v>4851</v>
      </c>
      <c r="H1700" s="11" t="s">
        <v>4852</v>
      </c>
      <c r="I1700" s="11" t="s">
        <v>4816</v>
      </c>
    </row>
    <row r="1701" spans="1:9" x14ac:dyDescent="0.15">
      <c r="A1701" s="10">
        <v>1700</v>
      </c>
      <c r="B1701" s="11" t="s">
        <v>9</v>
      </c>
      <c r="C1701" s="11" t="s">
        <v>179</v>
      </c>
      <c r="D1701" s="11" t="s">
        <v>180</v>
      </c>
      <c r="E1701" s="9" t="str">
        <f>+HYPERLINK("http://trademark.i-assist.jp/data/china/image_1908th/80021754.pdf", "80021754")</f>
        <v>80021754</v>
      </c>
      <c r="F1701" s="11" t="s">
        <v>4775</v>
      </c>
      <c r="G1701" s="11" t="s">
        <v>4776</v>
      </c>
      <c r="H1701" s="11" t="s">
        <v>4853</v>
      </c>
      <c r="I1701" s="11" t="s">
        <v>4598</v>
      </c>
    </row>
    <row r="1702" spans="1:9" x14ac:dyDescent="0.15">
      <c r="A1702" s="10">
        <v>1701</v>
      </c>
      <c r="B1702" s="11" t="s">
        <v>9</v>
      </c>
      <c r="C1702" s="11" t="s">
        <v>179</v>
      </c>
      <c r="D1702" s="11" t="s">
        <v>180</v>
      </c>
      <c r="E1702" s="9" t="str">
        <f>+HYPERLINK("http://trademark.i-assist.jp/data/china/image_1908th/80021799.pdf", "80021799")</f>
        <v>80021799</v>
      </c>
      <c r="F1702" s="11" t="s">
        <v>4854</v>
      </c>
      <c r="G1702" s="11" t="s">
        <v>4855</v>
      </c>
      <c r="H1702" s="11" t="s">
        <v>4856</v>
      </c>
      <c r="I1702" s="11" t="s">
        <v>4822</v>
      </c>
    </row>
    <row r="1703" spans="1:9" x14ac:dyDescent="0.15">
      <c r="A1703" s="10">
        <v>1702</v>
      </c>
      <c r="B1703" s="11" t="s">
        <v>9</v>
      </c>
      <c r="C1703" s="11" t="s">
        <v>179</v>
      </c>
      <c r="D1703" s="11" t="s">
        <v>180</v>
      </c>
      <c r="E1703" s="9" t="str">
        <f>+HYPERLINK("http://trademark.i-assist.jp/data/china/image_1908th/80021826.pdf", "80021826")</f>
        <v>80021826</v>
      </c>
      <c r="F1703" s="11" t="s">
        <v>4857</v>
      </c>
      <c r="G1703" s="11" t="s">
        <v>4858</v>
      </c>
      <c r="H1703" s="11" t="s">
        <v>4859</v>
      </c>
      <c r="I1703" s="11" t="s">
        <v>4822</v>
      </c>
    </row>
    <row r="1704" spans="1:9" x14ac:dyDescent="0.15">
      <c r="A1704" s="10">
        <v>1703</v>
      </c>
      <c r="B1704" s="11" t="s">
        <v>9</v>
      </c>
      <c r="C1704" s="11" t="s">
        <v>179</v>
      </c>
      <c r="D1704" s="11" t="s">
        <v>180</v>
      </c>
      <c r="E1704" s="9" t="str">
        <f>+HYPERLINK("http://trademark.i-assist.jp/data/china/image_1908th/80021834.pdf", "80021834")</f>
        <v>80021834</v>
      </c>
      <c r="F1704" s="11" t="s">
        <v>4860</v>
      </c>
      <c r="G1704" s="11" t="s">
        <v>4861</v>
      </c>
      <c r="H1704" s="11" t="s">
        <v>4862</v>
      </c>
      <c r="I1704" s="11" t="s">
        <v>4822</v>
      </c>
    </row>
    <row r="1705" spans="1:9" x14ac:dyDescent="0.15">
      <c r="A1705" s="10">
        <v>1704</v>
      </c>
      <c r="B1705" s="11" t="s">
        <v>9</v>
      </c>
      <c r="C1705" s="11" t="s">
        <v>179</v>
      </c>
      <c r="D1705" s="11" t="s">
        <v>180</v>
      </c>
      <c r="E1705" s="9" t="str">
        <f>+HYPERLINK("http://trademark.i-assist.jp/data/china/image_1908th/80021836.pdf", "80021836")</f>
        <v>80021836</v>
      </c>
      <c r="F1705" s="11" t="s">
        <v>4863</v>
      </c>
      <c r="G1705" s="11" t="s">
        <v>4861</v>
      </c>
      <c r="H1705" s="11" t="s">
        <v>4864</v>
      </c>
      <c r="I1705" s="11" t="s">
        <v>4822</v>
      </c>
    </row>
    <row r="1706" spans="1:9" x14ac:dyDescent="0.15">
      <c r="A1706" s="10">
        <v>1705</v>
      </c>
      <c r="B1706" s="11" t="s">
        <v>9</v>
      </c>
      <c r="C1706" s="11" t="s">
        <v>179</v>
      </c>
      <c r="D1706" s="11" t="s">
        <v>180</v>
      </c>
      <c r="E1706" s="9" t="str">
        <f>+HYPERLINK("http://trademark.i-assist.jp/data/china/image_1908th/80022003.pdf", "80022003")</f>
        <v>80022003</v>
      </c>
      <c r="F1706" s="11" t="s">
        <v>4865</v>
      </c>
      <c r="G1706" s="11" t="s">
        <v>4866</v>
      </c>
      <c r="H1706" s="11" t="s">
        <v>4867</v>
      </c>
      <c r="I1706" s="11" t="s">
        <v>4598</v>
      </c>
    </row>
    <row r="1707" spans="1:9" x14ac:dyDescent="0.15">
      <c r="A1707" s="10">
        <v>1706</v>
      </c>
      <c r="B1707" s="11" t="s">
        <v>9</v>
      </c>
      <c r="C1707" s="11" t="s">
        <v>179</v>
      </c>
      <c r="D1707" s="11" t="s">
        <v>180</v>
      </c>
      <c r="E1707" s="9" t="str">
        <f>+HYPERLINK("http://trademark.i-assist.jp/data/china/image_1908th/80022170.pdf", "80022170")</f>
        <v>80022170</v>
      </c>
      <c r="F1707" s="11" t="s">
        <v>4868</v>
      </c>
      <c r="G1707" s="11" t="s">
        <v>919</v>
      </c>
      <c r="H1707" s="11" t="s">
        <v>4869</v>
      </c>
      <c r="I1707" s="11" t="s">
        <v>4598</v>
      </c>
    </row>
    <row r="1708" spans="1:9" x14ac:dyDescent="0.15">
      <c r="A1708" s="10">
        <v>1707</v>
      </c>
      <c r="B1708" s="11" t="s">
        <v>9</v>
      </c>
      <c r="C1708" s="11" t="s">
        <v>179</v>
      </c>
      <c r="D1708" s="11" t="s">
        <v>180</v>
      </c>
      <c r="E1708" s="9" t="str">
        <f>+HYPERLINK("http://trademark.i-assist.jp/data/china/image_1908th/80022992.pdf", "80022992")</f>
        <v>80022992</v>
      </c>
      <c r="F1708" s="11" t="s">
        <v>4870</v>
      </c>
      <c r="G1708" s="11" t="s">
        <v>4761</v>
      </c>
      <c r="H1708" s="11" t="s">
        <v>4871</v>
      </c>
      <c r="I1708" s="11" t="s">
        <v>4598</v>
      </c>
    </row>
    <row r="1709" spans="1:9" x14ac:dyDescent="0.15">
      <c r="A1709" s="10">
        <v>1708</v>
      </c>
      <c r="B1709" s="11" t="s">
        <v>9</v>
      </c>
      <c r="C1709" s="11" t="s">
        <v>179</v>
      </c>
      <c r="D1709" s="11" t="s">
        <v>180</v>
      </c>
      <c r="E1709" s="9" t="str">
        <f>+HYPERLINK("http://trademark.i-assist.jp/data/china/image_1908th/80023340.pdf", "80023340")</f>
        <v>80023340</v>
      </c>
      <c r="F1709" s="11" t="s">
        <v>4872</v>
      </c>
      <c r="G1709" s="11" t="s">
        <v>4873</v>
      </c>
      <c r="H1709" s="11" t="s">
        <v>4874</v>
      </c>
      <c r="I1709" s="11" t="s">
        <v>4598</v>
      </c>
    </row>
    <row r="1710" spans="1:9" x14ac:dyDescent="0.15">
      <c r="A1710" s="10">
        <v>1709</v>
      </c>
      <c r="B1710" s="11" t="s">
        <v>9</v>
      </c>
      <c r="C1710" s="11" t="s">
        <v>179</v>
      </c>
      <c r="D1710" s="11" t="s">
        <v>180</v>
      </c>
      <c r="E1710" s="9" t="str">
        <f>+HYPERLINK("http://trademark.i-assist.jp/data/china/image_1908th/80023445.pdf", "80023445")</f>
        <v>80023445</v>
      </c>
      <c r="F1710" s="11" t="s">
        <v>4875</v>
      </c>
      <c r="G1710" s="11" t="s">
        <v>4600</v>
      </c>
      <c r="H1710" s="11" t="s">
        <v>4876</v>
      </c>
      <c r="I1710" s="11" t="s">
        <v>4598</v>
      </c>
    </row>
    <row r="1711" spans="1:9" x14ac:dyDescent="0.15">
      <c r="A1711" s="10">
        <v>1710</v>
      </c>
      <c r="B1711" s="11" t="s">
        <v>9</v>
      </c>
      <c r="C1711" s="11" t="s">
        <v>179</v>
      </c>
      <c r="D1711" s="11" t="s">
        <v>180</v>
      </c>
      <c r="E1711" s="9" t="str">
        <f>+HYPERLINK("http://trademark.i-assist.jp/data/china/image_1908th/80024020.pdf", "80024020")</f>
        <v>80024020</v>
      </c>
      <c r="F1711" s="11" t="s">
        <v>4877</v>
      </c>
      <c r="G1711" s="11" t="s">
        <v>4878</v>
      </c>
      <c r="H1711" s="11" t="s">
        <v>4879</v>
      </c>
      <c r="I1711" s="11" t="s">
        <v>4598</v>
      </c>
    </row>
    <row r="1712" spans="1:9" x14ac:dyDescent="0.15">
      <c r="A1712" s="10">
        <v>1711</v>
      </c>
      <c r="B1712" s="11" t="s">
        <v>9</v>
      </c>
      <c r="C1712" s="11" t="s">
        <v>179</v>
      </c>
      <c r="D1712" s="11" t="s">
        <v>180</v>
      </c>
      <c r="E1712" s="9" t="str">
        <f>+HYPERLINK("http://trademark.i-assist.jp/data/china/image_1908th/80024146.pdf", "80024146")</f>
        <v>80024146</v>
      </c>
      <c r="F1712" s="11" t="s">
        <v>4880</v>
      </c>
      <c r="G1712" s="11" t="s">
        <v>4881</v>
      </c>
      <c r="H1712" s="11" t="s">
        <v>4882</v>
      </c>
      <c r="I1712" s="11" t="s">
        <v>4598</v>
      </c>
    </row>
    <row r="1713" spans="1:9" x14ac:dyDescent="0.15">
      <c r="A1713" s="10">
        <v>1712</v>
      </c>
      <c r="B1713" s="11" t="s">
        <v>9</v>
      </c>
      <c r="C1713" s="11" t="s">
        <v>179</v>
      </c>
      <c r="D1713" s="11" t="s">
        <v>180</v>
      </c>
      <c r="E1713" s="9" t="str">
        <f>+HYPERLINK("http://trademark.i-assist.jp/data/china/image_1908th/80024229.pdf", "80024229")</f>
        <v>80024229</v>
      </c>
      <c r="F1713" s="11" t="s">
        <v>4883</v>
      </c>
      <c r="G1713" s="11" t="s">
        <v>4884</v>
      </c>
      <c r="H1713" s="11" t="s">
        <v>4885</v>
      </c>
      <c r="I1713" s="11" t="s">
        <v>4598</v>
      </c>
    </row>
    <row r="1714" spans="1:9" x14ac:dyDescent="0.15">
      <c r="A1714" s="10">
        <v>1713</v>
      </c>
      <c r="B1714" s="11" t="s">
        <v>9</v>
      </c>
      <c r="C1714" s="11" t="s">
        <v>179</v>
      </c>
      <c r="D1714" s="11" t="s">
        <v>180</v>
      </c>
      <c r="E1714" s="9" t="str">
        <f>+HYPERLINK("http://trademark.i-assist.jp/data/china/image_1908th/80024541.pdf", "80024541")</f>
        <v>80024541</v>
      </c>
      <c r="F1714" s="11" t="s">
        <v>4886</v>
      </c>
      <c r="G1714" s="11" t="s">
        <v>4887</v>
      </c>
      <c r="H1714" s="11" t="s">
        <v>4888</v>
      </c>
      <c r="I1714" s="11" t="s">
        <v>4598</v>
      </c>
    </row>
    <row r="1715" spans="1:9" x14ac:dyDescent="0.15">
      <c r="A1715" s="10">
        <v>1714</v>
      </c>
      <c r="B1715" s="11" t="s">
        <v>9</v>
      </c>
      <c r="C1715" s="11" t="s">
        <v>179</v>
      </c>
      <c r="D1715" s="11" t="s">
        <v>180</v>
      </c>
      <c r="E1715" s="9" t="str">
        <f>+HYPERLINK("http://trademark.i-assist.jp/data/china/image_1908th/80024577.pdf", "80024577")</f>
        <v>80024577</v>
      </c>
      <c r="F1715" s="11" t="s">
        <v>4889</v>
      </c>
      <c r="G1715" s="11" t="s">
        <v>4890</v>
      </c>
      <c r="H1715" s="11" t="s">
        <v>4891</v>
      </c>
      <c r="I1715" s="11" t="s">
        <v>4598</v>
      </c>
    </row>
    <row r="1716" spans="1:9" x14ac:dyDescent="0.15">
      <c r="A1716" s="10">
        <v>1715</v>
      </c>
      <c r="B1716" s="11" t="s">
        <v>9</v>
      </c>
      <c r="C1716" s="11" t="s">
        <v>179</v>
      </c>
      <c r="D1716" s="11" t="s">
        <v>180</v>
      </c>
      <c r="E1716" s="9" t="str">
        <f>+HYPERLINK("http://trademark.i-assist.jp/data/china/image_1908th/80024937.pdf", "80024937")</f>
        <v>80024937</v>
      </c>
      <c r="F1716" s="11" t="s">
        <v>4892</v>
      </c>
      <c r="G1716" s="11" t="s">
        <v>4761</v>
      </c>
      <c r="H1716" s="11" t="s">
        <v>4893</v>
      </c>
      <c r="I1716" s="11" t="s">
        <v>4598</v>
      </c>
    </row>
    <row r="1717" spans="1:9" x14ac:dyDescent="0.15">
      <c r="A1717" s="10">
        <v>1716</v>
      </c>
      <c r="B1717" s="11" t="s">
        <v>9</v>
      </c>
      <c r="C1717" s="11" t="s">
        <v>179</v>
      </c>
      <c r="D1717" s="11" t="s">
        <v>180</v>
      </c>
      <c r="E1717" s="9" t="str">
        <f>+HYPERLINK("http://trademark.i-assist.jp/data/china/image_1908th/80025240.pdf", "80025240")</f>
        <v>80025240</v>
      </c>
      <c r="F1717" s="11" t="s">
        <v>4894</v>
      </c>
      <c r="G1717" s="11" t="s">
        <v>4895</v>
      </c>
      <c r="H1717" s="11" t="s">
        <v>4896</v>
      </c>
      <c r="I1717" s="11" t="s">
        <v>4598</v>
      </c>
    </row>
    <row r="1718" spans="1:9" x14ac:dyDescent="0.15">
      <c r="A1718" s="10">
        <v>1717</v>
      </c>
      <c r="B1718" s="11" t="s">
        <v>9</v>
      </c>
      <c r="C1718" s="11" t="s">
        <v>179</v>
      </c>
      <c r="D1718" s="11" t="s">
        <v>180</v>
      </c>
      <c r="E1718" s="9" t="str">
        <f>+HYPERLINK("http://trademark.i-assist.jp/data/china/image_1908th/80025245.pdf", "80025245")</f>
        <v>80025245</v>
      </c>
      <c r="F1718" s="11" t="s">
        <v>4897</v>
      </c>
      <c r="G1718" s="11" t="s">
        <v>4676</v>
      </c>
      <c r="H1718" s="11" t="s">
        <v>4898</v>
      </c>
      <c r="I1718" s="11" t="s">
        <v>4598</v>
      </c>
    </row>
    <row r="1719" spans="1:9" x14ac:dyDescent="0.15">
      <c r="A1719" s="10">
        <v>1718</v>
      </c>
      <c r="B1719" s="11" t="s">
        <v>9</v>
      </c>
      <c r="C1719" s="11" t="s">
        <v>179</v>
      </c>
      <c r="D1719" s="11" t="s">
        <v>180</v>
      </c>
      <c r="E1719" s="9" t="str">
        <f>+HYPERLINK("http://trademark.i-assist.jp/data/china/image_1908th/80026234.pdf", "80026234")</f>
        <v>80026234</v>
      </c>
      <c r="F1719" s="11" t="s">
        <v>4899</v>
      </c>
      <c r="G1719" s="11" t="s">
        <v>105</v>
      </c>
      <c r="H1719" s="11" t="s">
        <v>4900</v>
      </c>
      <c r="I1719" s="11" t="s">
        <v>4598</v>
      </c>
    </row>
    <row r="1720" spans="1:9" x14ac:dyDescent="0.15">
      <c r="A1720" s="10">
        <v>1719</v>
      </c>
      <c r="B1720" s="11" t="s">
        <v>9</v>
      </c>
      <c r="C1720" s="11" t="s">
        <v>179</v>
      </c>
      <c r="D1720" s="11" t="s">
        <v>180</v>
      </c>
      <c r="E1720" s="9" t="str">
        <f>+HYPERLINK("http://trademark.i-assist.jp/data/china/image_1908th/80026476.pdf", "80026476")</f>
        <v>80026476</v>
      </c>
      <c r="F1720" s="11" t="s">
        <v>4901</v>
      </c>
      <c r="G1720" s="11" t="s">
        <v>4834</v>
      </c>
      <c r="H1720" s="11" t="s">
        <v>4902</v>
      </c>
      <c r="I1720" s="11" t="s">
        <v>4598</v>
      </c>
    </row>
    <row r="1721" spans="1:9" x14ac:dyDescent="0.15">
      <c r="A1721" s="10">
        <v>1720</v>
      </c>
      <c r="B1721" s="11" t="s">
        <v>9</v>
      </c>
      <c r="C1721" s="11" t="s">
        <v>179</v>
      </c>
      <c r="D1721" s="11" t="s">
        <v>180</v>
      </c>
      <c r="E1721" s="9" t="str">
        <f>+HYPERLINK("http://trademark.i-assist.jp/data/china/image_1908th/80026891.pdf", "80026891")</f>
        <v>80026891</v>
      </c>
      <c r="F1721" s="11" t="s">
        <v>4903</v>
      </c>
      <c r="G1721" s="11" t="s">
        <v>4904</v>
      </c>
      <c r="H1721" s="11" t="s">
        <v>4905</v>
      </c>
      <c r="I1721" s="11" t="s">
        <v>4598</v>
      </c>
    </row>
    <row r="1722" spans="1:9" x14ac:dyDescent="0.15">
      <c r="A1722" s="10">
        <v>1721</v>
      </c>
      <c r="B1722" s="11" t="s">
        <v>9</v>
      </c>
      <c r="C1722" s="11" t="s">
        <v>179</v>
      </c>
      <c r="D1722" s="11" t="s">
        <v>180</v>
      </c>
      <c r="E1722" s="9" t="str">
        <f>+HYPERLINK("http://trademark.i-assist.jp/data/china/image_1908th/80026980.pdf", "80026980")</f>
        <v>80026980</v>
      </c>
      <c r="F1722" s="11" t="s">
        <v>4906</v>
      </c>
      <c r="G1722" s="11" t="s">
        <v>4779</v>
      </c>
      <c r="H1722" s="11" t="s">
        <v>4907</v>
      </c>
      <c r="I1722" s="11" t="s">
        <v>4598</v>
      </c>
    </row>
    <row r="1723" spans="1:9" x14ac:dyDescent="0.15">
      <c r="A1723" s="10">
        <v>1722</v>
      </c>
      <c r="B1723" s="11" t="s">
        <v>9</v>
      </c>
      <c r="C1723" s="11" t="s">
        <v>179</v>
      </c>
      <c r="D1723" s="11" t="s">
        <v>180</v>
      </c>
      <c r="E1723" s="9" t="str">
        <f>+HYPERLINK("http://trademark.i-assist.jp/data/china/image_1908th/80027505.pdf", "80027505")</f>
        <v>80027505</v>
      </c>
      <c r="F1723" s="11" t="s">
        <v>4908</v>
      </c>
      <c r="G1723" s="11" t="s">
        <v>4909</v>
      </c>
      <c r="H1723" s="11" t="s">
        <v>4910</v>
      </c>
      <c r="I1723" s="11" t="s">
        <v>4598</v>
      </c>
    </row>
    <row r="1724" spans="1:9" x14ac:dyDescent="0.15">
      <c r="A1724" s="10">
        <v>1723</v>
      </c>
      <c r="B1724" s="11" t="s">
        <v>9</v>
      </c>
      <c r="C1724" s="11" t="s">
        <v>179</v>
      </c>
      <c r="D1724" s="11" t="s">
        <v>180</v>
      </c>
      <c r="E1724" s="9" t="str">
        <f>+HYPERLINK("http://trademark.i-assist.jp/data/china/image_1908th/80027546.pdf", "80027546")</f>
        <v>80027546</v>
      </c>
      <c r="F1724" s="11" t="s">
        <v>4911</v>
      </c>
      <c r="G1724" s="11" t="s">
        <v>4696</v>
      </c>
      <c r="H1724" s="11" t="s">
        <v>4912</v>
      </c>
      <c r="I1724" s="11" t="s">
        <v>4598</v>
      </c>
    </row>
    <row r="1725" spans="1:9" x14ac:dyDescent="0.15">
      <c r="A1725" s="10">
        <v>1724</v>
      </c>
      <c r="B1725" s="11" t="s">
        <v>9</v>
      </c>
      <c r="C1725" s="11" t="s">
        <v>179</v>
      </c>
      <c r="D1725" s="11" t="s">
        <v>180</v>
      </c>
      <c r="E1725" s="9" t="str">
        <f>+HYPERLINK("http://trademark.i-assist.jp/data/china/image_1908th/80027923.pdf", "80027923")</f>
        <v>80027923</v>
      </c>
      <c r="F1725" s="11" t="s">
        <v>4913</v>
      </c>
      <c r="G1725" s="11" t="s">
        <v>4914</v>
      </c>
      <c r="H1725" s="11" t="s">
        <v>4915</v>
      </c>
      <c r="I1725" s="11" t="s">
        <v>4598</v>
      </c>
    </row>
    <row r="1726" spans="1:9" x14ac:dyDescent="0.15">
      <c r="A1726" s="10">
        <v>1725</v>
      </c>
      <c r="B1726" s="11" t="s">
        <v>9</v>
      </c>
      <c r="C1726" s="11" t="s">
        <v>179</v>
      </c>
      <c r="D1726" s="11" t="s">
        <v>180</v>
      </c>
      <c r="E1726" s="9" t="str">
        <f>+HYPERLINK("http://trademark.i-assist.jp/data/china/image_1908th/80028076.pdf", "80028076")</f>
        <v>80028076</v>
      </c>
      <c r="F1726" s="11" t="s">
        <v>4916</v>
      </c>
      <c r="G1726" s="11" t="s">
        <v>4761</v>
      </c>
      <c r="H1726" s="11" t="s">
        <v>4917</v>
      </c>
      <c r="I1726" s="11" t="s">
        <v>4598</v>
      </c>
    </row>
    <row r="1727" spans="1:9" x14ac:dyDescent="0.15">
      <c r="A1727" s="10">
        <v>1726</v>
      </c>
      <c r="B1727" s="11" t="s">
        <v>9</v>
      </c>
      <c r="C1727" s="11" t="s">
        <v>179</v>
      </c>
      <c r="D1727" s="11" t="s">
        <v>180</v>
      </c>
      <c r="E1727" s="9" t="str">
        <f>+HYPERLINK("http://trademark.i-assist.jp/data/china/image_1908th/80028281.pdf", "80028281")</f>
        <v>80028281</v>
      </c>
      <c r="F1727" s="11" t="s">
        <v>4918</v>
      </c>
      <c r="G1727" s="11" t="s">
        <v>155</v>
      </c>
      <c r="H1727" s="11" t="s">
        <v>4919</v>
      </c>
      <c r="I1727" s="11" t="s">
        <v>4598</v>
      </c>
    </row>
    <row r="1728" spans="1:9" x14ac:dyDescent="0.15">
      <c r="A1728" s="10">
        <v>1727</v>
      </c>
      <c r="B1728" s="11" t="s">
        <v>9</v>
      </c>
      <c r="C1728" s="11" t="s">
        <v>179</v>
      </c>
      <c r="D1728" s="11" t="s">
        <v>180</v>
      </c>
      <c r="E1728" s="9" t="str">
        <f>+HYPERLINK("http://trademark.i-assist.jp/data/china/image_1908th/80028479.pdf", "80028479")</f>
        <v>80028479</v>
      </c>
      <c r="F1728" s="11" t="s">
        <v>4920</v>
      </c>
      <c r="G1728" s="11" t="s">
        <v>106</v>
      </c>
      <c r="H1728" s="11" t="s">
        <v>4921</v>
      </c>
      <c r="I1728" s="11" t="s">
        <v>4598</v>
      </c>
    </row>
    <row r="1729" spans="1:9" x14ac:dyDescent="0.15">
      <c r="A1729" s="10">
        <v>1728</v>
      </c>
      <c r="B1729" s="11" t="s">
        <v>9</v>
      </c>
      <c r="C1729" s="11" t="s">
        <v>179</v>
      </c>
      <c r="D1729" s="11" t="s">
        <v>180</v>
      </c>
      <c r="E1729" s="9" t="str">
        <f>+HYPERLINK("http://trademark.i-assist.jp/data/china/image_1908th/80028504.pdf", "80028504")</f>
        <v>80028504</v>
      </c>
      <c r="F1729" s="11" t="s">
        <v>4642</v>
      </c>
      <c r="G1729" s="11" t="s">
        <v>4643</v>
      </c>
      <c r="H1729" s="11" t="s">
        <v>4922</v>
      </c>
      <c r="I1729" s="11" t="s">
        <v>4598</v>
      </c>
    </row>
    <row r="1730" spans="1:9" x14ac:dyDescent="0.15">
      <c r="A1730" s="10">
        <v>1729</v>
      </c>
      <c r="B1730" s="11" t="s">
        <v>9</v>
      </c>
      <c r="C1730" s="11" t="s">
        <v>179</v>
      </c>
      <c r="D1730" s="11" t="s">
        <v>180</v>
      </c>
      <c r="E1730" s="9" t="str">
        <f>+HYPERLINK("http://trademark.i-assist.jp/data/china/image_1908th/80028631.pdf", "80028631")</f>
        <v>80028631</v>
      </c>
      <c r="F1730" s="11" t="s">
        <v>4923</v>
      </c>
      <c r="G1730" s="11" t="s">
        <v>4924</v>
      </c>
      <c r="H1730" s="11" t="s">
        <v>4925</v>
      </c>
      <c r="I1730" s="11" t="s">
        <v>4598</v>
      </c>
    </row>
    <row r="1731" spans="1:9" x14ac:dyDescent="0.15">
      <c r="A1731" s="10">
        <v>1730</v>
      </c>
      <c r="B1731" s="11" t="s">
        <v>9</v>
      </c>
      <c r="C1731" s="11" t="s">
        <v>179</v>
      </c>
      <c r="D1731" s="11" t="s">
        <v>180</v>
      </c>
      <c r="E1731" s="9" t="str">
        <f>+HYPERLINK("http://trademark.i-assist.jp/data/china/image_1908th/80028673.pdf", "80028673")</f>
        <v>80028673</v>
      </c>
      <c r="F1731" s="11" t="s">
        <v>4926</v>
      </c>
      <c r="G1731" s="11" t="s">
        <v>4679</v>
      </c>
      <c r="H1731" s="11" t="s">
        <v>4927</v>
      </c>
      <c r="I1731" s="11" t="s">
        <v>4598</v>
      </c>
    </row>
    <row r="1732" spans="1:9" x14ac:dyDescent="0.15">
      <c r="A1732" s="10">
        <v>1731</v>
      </c>
      <c r="B1732" s="11" t="s">
        <v>9</v>
      </c>
      <c r="C1732" s="11" t="s">
        <v>179</v>
      </c>
      <c r="D1732" s="11" t="s">
        <v>180</v>
      </c>
      <c r="E1732" s="9" t="str">
        <f>+HYPERLINK("http://trademark.i-assist.jp/data/china/image_1908th/80029034.pdf", "80029034")</f>
        <v>80029034</v>
      </c>
      <c r="F1732" s="11" t="s">
        <v>4928</v>
      </c>
      <c r="G1732" s="11" t="s">
        <v>4628</v>
      </c>
      <c r="H1732" s="11" t="s">
        <v>4929</v>
      </c>
      <c r="I1732" s="11" t="s">
        <v>4598</v>
      </c>
    </row>
    <row r="1733" spans="1:9" x14ac:dyDescent="0.15">
      <c r="A1733" s="10">
        <v>1732</v>
      </c>
      <c r="B1733" s="11" t="s">
        <v>9</v>
      </c>
      <c r="C1733" s="11" t="s">
        <v>179</v>
      </c>
      <c r="D1733" s="11" t="s">
        <v>180</v>
      </c>
      <c r="E1733" s="9" t="str">
        <f>+HYPERLINK("http://trademark.i-assist.jp/data/china/image_1908th/80029222.pdf", "80029222")</f>
        <v>80029222</v>
      </c>
      <c r="F1733" s="11" t="s">
        <v>4930</v>
      </c>
      <c r="G1733" s="11" t="s">
        <v>4931</v>
      </c>
      <c r="H1733" s="11" t="s">
        <v>4932</v>
      </c>
      <c r="I1733" s="11" t="s">
        <v>4598</v>
      </c>
    </row>
    <row r="1734" spans="1:9" x14ac:dyDescent="0.15">
      <c r="A1734" s="10">
        <v>1733</v>
      </c>
      <c r="B1734" s="11" t="s">
        <v>9</v>
      </c>
      <c r="C1734" s="11" t="s">
        <v>179</v>
      </c>
      <c r="D1734" s="11" t="s">
        <v>180</v>
      </c>
      <c r="E1734" s="9" t="str">
        <f>+HYPERLINK("http://trademark.i-assist.jp/data/china/image_1908th/80029287.pdf", "80029287")</f>
        <v>80029287</v>
      </c>
      <c r="F1734" s="11" t="s">
        <v>10</v>
      </c>
      <c r="G1734" s="11" t="s">
        <v>4933</v>
      </c>
      <c r="H1734" s="11" t="s">
        <v>4934</v>
      </c>
      <c r="I1734" s="11" t="s">
        <v>4598</v>
      </c>
    </row>
    <row r="1735" spans="1:9" x14ac:dyDescent="0.15">
      <c r="A1735" s="10">
        <v>1734</v>
      </c>
      <c r="B1735" s="11" t="s">
        <v>9</v>
      </c>
      <c r="C1735" s="11" t="s">
        <v>179</v>
      </c>
      <c r="D1735" s="11" t="s">
        <v>180</v>
      </c>
      <c r="E1735" s="9" t="str">
        <f>+HYPERLINK("http://trademark.i-assist.jp/data/china/image_1908th/80029327.pdf", "80029327")</f>
        <v>80029327</v>
      </c>
      <c r="F1735" s="11" t="s">
        <v>4935</v>
      </c>
      <c r="G1735" s="11" t="s">
        <v>4600</v>
      </c>
      <c r="H1735" s="11" t="s">
        <v>4936</v>
      </c>
      <c r="I1735" s="11" t="s">
        <v>4598</v>
      </c>
    </row>
    <row r="1736" spans="1:9" x14ac:dyDescent="0.15">
      <c r="A1736" s="10">
        <v>1735</v>
      </c>
      <c r="B1736" s="11" t="s">
        <v>9</v>
      </c>
      <c r="C1736" s="11" t="s">
        <v>179</v>
      </c>
      <c r="D1736" s="11" t="s">
        <v>180</v>
      </c>
      <c r="E1736" s="9" t="str">
        <f>+HYPERLINK("http://trademark.i-assist.jp/data/china/image_1908th/80029639.pdf", "80029639")</f>
        <v>80029639</v>
      </c>
      <c r="F1736" s="11" t="s">
        <v>4937</v>
      </c>
      <c r="G1736" s="11" t="s">
        <v>4761</v>
      </c>
      <c r="H1736" s="11" t="s">
        <v>4938</v>
      </c>
      <c r="I1736" s="11" t="s">
        <v>4598</v>
      </c>
    </row>
    <row r="1737" spans="1:9" x14ac:dyDescent="0.15">
      <c r="A1737" s="10">
        <v>1736</v>
      </c>
      <c r="B1737" s="11" t="s">
        <v>9</v>
      </c>
      <c r="C1737" s="11" t="s">
        <v>179</v>
      </c>
      <c r="D1737" s="11" t="s">
        <v>180</v>
      </c>
      <c r="E1737" s="9" t="str">
        <f>+HYPERLINK("http://trademark.i-assist.jp/data/china/image_1908th/80029656.pdf", "80029656")</f>
        <v>80029656</v>
      </c>
      <c r="F1737" s="11" t="s">
        <v>4939</v>
      </c>
      <c r="G1737" s="11" t="s">
        <v>4940</v>
      </c>
      <c r="H1737" s="11" t="s">
        <v>4941</v>
      </c>
      <c r="I1737" s="11" t="s">
        <v>4598</v>
      </c>
    </row>
    <row r="1738" spans="1:9" x14ac:dyDescent="0.15">
      <c r="A1738" s="10">
        <v>1737</v>
      </c>
      <c r="B1738" s="11" t="s">
        <v>9</v>
      </c>
      <c r="C1738" s="11" t="s">
        <v>179</v>
      </c>
      <c r="D1738" s="11" t="s">
        <v>180</v>
      </c>
      <c r="E1738" s="9" t="str">
        <f>+HYPERLINK("http://trademark.i-assist.jp/data/china/image_1908th/80029807.pdf", "80029807")</f>
        <v>80029807</v>
      </c>
      <c r="F1738" s="11" t="s">
        <v>4942</v>
      </c>
      <c r="G1738" s="11" t="s">
        <v>4943</v>
      </c>
      <c r="H1738" s="11" t="s">
        <v>4944</v>
      </c>
      <c r="I1738" s="11" t="s">
        <v>4598</v>
      </c>
    </row>
    <row r="1739" spans="1:9" x14ac:dyDescent="0.15">
      <c r="A1739" s="10">
        <v>1738</v>
      </c>
      <c r="B1739" s="11" t="s">
        <v>9</v>
      </c>
      <c r="C1739" s="11" t="s">
        <v>179</v>
      </c>
      <c r="D1739" s="11" t="s">
        <v>180</v>
      </c>
      <c r="E1739" s="9" t="str">
        <f>+HYPERLINK("http://trademark.i-assist.jp/data/china/image_1908th/80029957.pdf", "80029957")</f>
        <v>80029957</v>
      </c>
      <c r="F1739" s="11" t="s">
        <v>4945</v>
      </c>
      <c r="G1739" s="11" t="s">
        <v>4640</v>
      </c>
      <c r="H1739" s="11" t="s">
        <v>4946</v>
      </c>
      <c r="I1739" s="11" t="s">
        <v>4598</v>
      </c>
    </row>
    <row r="1740" spans="1:9" x14ac:dyDescent="0.15">
      <c r="A1740" s="10">
        <v>1739</v>
      </c>
      <c r="B1740" s="11" t="s">
        <v>9</v>
      </c>
      <c r="C1740" s="11" t="s">
        <v>179</v>
      </c>
      <c r="D1740" s="11" t="s">
        <v>180</v>
      </c>
      <c r="E1740" s="9" t="str">
        <f>+HYPERLINK("http://trademark.i-assist.jp/data/china/image_1908th/80030014.pdf", "80030014")</f>
        <v>80030014</v>
      </c>
      <c r="F1740" s="11" t="s">
        <v>4947</v>
      </c>
      <c r="G1740" s="11" t="s">
        <v>4948</v>
      </c>
      <c r="H1740" s="11" t="s">
        <v>4949</v>
      </c>
      <c r="I1740" s="11" t="s">
        <v>4598</v>
      </c>
    </row>
    <row r="1741" spans="1:9" x14ac:dyDescent="0.15">
      <c r="A1741" s="10">
        <v>1740</v>
      </c>
      <c r="B1741" s="11" t="s">
        <v>9</v>
      </c>
      <c r="C1741" s="11" t="s">
        <v>179</v>
      </c>
      <c r="D1741" s="11" t="s">
        <v>180</v>
      </c>
      <c r="E1741" s="9" t="str">
        <f>+HYPERLINK("http://trademark.i-assist.jp/data/china/image_1908th/80030196.pdf", "80030196")</f>
        <v>80030196</v>
      </c>
      <c r="F1741" s="11" t="s">
        <v>4950</v>
      </c>
      <c r="G1741" s="11" t="s">
        <v>4634</v>
      </c>
      <c r="H1741" s="11" t="s">
        <v>4951</v>
      </c>
      <c r="I1741" s="11" t="s">
        <v>4598</v>
      </c>
    </row>
    <row r="1742" spans="1:9" x14ac:dyDescent="0.15">
      <c r="A1742" s="10">
        <v>1741</v>
      </c>
      <c r="B1742" s="11" t="s">
        <v>9</v>
      </c>
      <c r="C1742" s="11" t="s">
        <v>179</v>
      </c>
      <c r="D1742" s="11" t="s">
        <v>180</v>
      </c>
      <c r="E1742" s="9" t="str">
        <f>+HYPERLINK("http://trademark.i-assist.jp/data/china/image_1908th/80030368.pdf", "80030368")</f>
        <v>80030368</v>
      </c>
      <c r="F1742" s="11" t="s">
        <v>4952</v>
      </c>
      <c r="G1742" s="11" t="s">
        <v>4953</v>
      </c>
      <c r="H1742" s="11" t="s">
        <v>4954</v>
      </c>
      <c r="I1742" s="11" t="s">
        <v>4598</v>
      </c>
    </row>
    <row r="1743" spans="1:9" x14ac:dyDescent="0.15">
      <c r="A1743" s="10">
        <v>1742</v>
      </c>
      <c r="B1743" s="11" t="s">
        <v>9</v>
      </c>
      <c r="C1743" s="11" t="s">
        <v>179</v>
      </c>
      <c r="D1743" s="11" t="s">
        <v>180</v>
      </c>
      <c r="E1743" s="9" t="str">
        <f>+HYPERLINK("http://trademark.i-assist.jp/data/china/image_1908th/80030787.pdf", "80030787")</f>
        <v>80030787</v>
      </c>
      <c r="F1743" s="11" t="s">
        <v>4955</v>
      </c>
      <c r="G1743" s="11" t="s">
        <v>4834</v>
      </c>
      <c r="H1743" s="11" t="s">
        <v>4956</v>
      </c>
      <c r="I1743" s="11" t="s">
        <v>4598</v>
      </c>
    </row>
    <row r="1744" spans="1:9" x14ac:dyDescent="0.15">
      <c r="A1744" s="10">
        <v>1743</v>
      </c>
      <c r="B1744" s="11" t="s">
        <v>9</v>
      </c>
      <c r="C1744" s="11" t="s">
        <v>179</v>
      </c>
      <c r="D1744" s="11" t="s">
        <v>180</v>
      </c>
      <c r="E1744" s="9" t="str">
        <f>+HYPERLINK("http://trademark.i-assist.jp/data/china/image_1908th/80030797.pdf", "80030797")</f>
        <v>80030797</v>
      </c>
      <c r="F1744" s="11" t="s">
        <v>4957</v>
      </c>
      <c r="G1744" s="11" t="s">
        <v>4834</v>
      </c>
      <c r="H1744" s="11" t="s">
        <v>4958</v>
      </c>
      <c r="I1744" s="11" t="s">
        <v>4598</v>
      </c>
    </row>
    <row r="1745" spans="1:9" x14ac:dyDescent="0.15">
      <c r="A1745" s="10">
        <v>1744</v>
      </c>
      <c r="B1745" s="11" t="s">
        <v>9</v>
      </c>
      <c r="C1745" s="11" t="s">
        <v>179</v>
      </c>
      <c r="D1745" s="11" t="s">
        <v>180</v>
      </c>
      <c r="E1745" s="9" t="str">
        <f>+HYPERLINK("http://trademark.i-assist.jp/data/china/image_1908th/80031130.pdf", "80031130")</f>
        <v>80031130</v>
      </c>
      <c r="F1745" s="11" t="s">
        <v>4959</v>
      </c>
      <c r="G1745" s="11" t="s">
        <v>4960</v>
      </c>
      <c r="H1745" s="11" t="s">
        <v>4961</v>
      </c>
      <c r="I1745" s="11" t="s">
        <v>4598</v>
      </c>
    </row>
    <row r="1746" spans="1:9" x14ac:dyDescent="0.15">
      <c r="A1746" s="10">
        <v>1745</v>
      </c>
      <c r="B1746" s="11" t="s">
        <v>9</v>
      </c>
      <c r="C1746" s="11" t="s">
        <v>179</v>
      </c>
      <c r="D1746" s="11" t="s">
        <v>180</v>
      </c>
      <c r="E1746" s="9" t="str">
        <f>+HYPERLINK("http://trademark.i-assist.jp/data/china/image_1908th/80031415.pdf", "80031415")</f>
        <v>80031415</v>
      </c>
      <c r="F1746" s="11" t="s">
        <v>4962</v>
      </c>
      <c r="G1746" s="11" t="s">
        <v>4963</v>
      </c>
      <c r="H1746" s="11" t="s">
        <v>4964</v>
      </c>
      <c r="I1746" s="11" t="s">
        <v>4598</v>
      </c>
    </row>
    <row r="1747" spans="1:9" x14ac:dyDescent="0.15">
      <c r="A1747" s="10">
        <v>1746</v>
      </c>
      <c r="B1747" s="11" t="s">
        <v>9</v>
      </c>
      <c r="C1747" s="11" t="s">
        <v>179</v>
      </c>
      <c r="D1747" s="11" t="s">
        <v>180</v>
      </c>
      <c r="E1747" s="9" t="str">
        <f>+HYPERLINK("http://trademark.i-assist.jp/data/china/image_1908th/80031458.pdf", "80031458")</f>
        <v>80031458</v>
      </c>
      <c r="F1747" s="11" t="s">
        <v>4965</v>
      </c>
      <c r="G1747" s="11" t="s">
        <v>4596</v>
      </c>
      <c r="H1747" s="11" t="s">
        <v>4966</v>
      </c>
      <c r="I1747" s="11" t="s">
        <v>4598</v>
      </c>
    </row>
    <row r="1748" spans="1:9" x14ac:dyDescent="0.15">
      <c r="A1748" s="10">
        <v>1747</v>
      </c>
      <c r="B1748" s="11" t="s">
        <v>9</v>
      </c>
      <c r="C1748" s="11" t="s">
        <v>179</v>
      </c>
      <c r="D1748" s="11" t="s">
        <v>180</v>
      </c>
      <c r="E1748" s="9" t="str">
        <f>+HYPERLINK("http://trademark.i-assist.jp/data/china/image_1908th/80031520.pdf", "80031520")</f>
        <v>80031520</v>
      </c>
      <c r="F1748" s="11" t="s">
        <v>4967</v>
      </c>
      <c r="G1748" s="11" t="s">
        <v>4968</v>
      </c>
      <c r="H1748" s="11" t="s">
        <v>4969</v>
      </c>
      <c r="I1748" s="11" t="s">
        <v>4598</v>
      </c>
    </row>
    <row r="1749" spans="1:9" x14ac:dyDescent="0.15">
      <c r="A1749" s="10">
        <v>1748</v>
      </c>
      <c r="B1749" s="11" t="s">
        <v>9</v>
      </c>
      <c r="C1749" s="11" t="s">
        <v>179</v>
      </c>
      <c r="D1749" s="11" t="s">
        <v>180</v>
      </c>
      <c r="E1749" s="9" t="str">
        <f>+HYPERLINK("http://trademark.i-assist.jp/data/china/image_1908th/80031988.pdf", "80031988")</f>
        <v>80031988</v>
      </c>
      <c r="F1749" s="11" t="s">
        <v>4970</v>
      </c>
      <c r="G1749" s="11" t="s">
        <v>4971</v>
      </c>
      <c r="H1749" s="11" t="s">
        <v>4972</v>
      </c>
      <c r="I1749" s="11" t="s">
        <v>4598</v>
      </c>
    </row>
    <row r="1750" spans="1:9" x14ac:dyDescent="0.15">
      <c r="A1750" s="10">
        <v>1749</v>
      </c>
      <c r="B1750" s="11" t="s">
        <v>9</v>
      </c>
      <c r="C1750" s="11" t="s">
        <v>179</v>
      </c>
      <c r="D1750" s="11" t="s">
        <v>180</v>
      </c>
      <c r="E1750" s="9" t="str">
        <f>+HYPERLINK("http://trademark.i-assist.jp/data/china/image_1908th/80032221.pdf", "80032221")</f>
        <v>80032221</v>
      </c>
      <c r="F1750" s="11" t="s">
        <v>4973</v>
      </c>
      <c r="G1750" s="11" t="s">
        <v>4974</v>
      </c>
      <c r="H1750" s="11" t="s">
        <v>4975</v>
      </c>
      <c r="I1750" s="11" t="s">
        <v>4598</v>
      </c>
    </row>
    <row r="1751" spans="1:9" x14ac:dyDescent="0.15">
      <c r="A1751" s="10">
        <v>1750</v>
      </c>
      <c r="B1751" s="11" t="s">
        <v>9</v>
      </c>
      <c r="C1751" s="11" t="s">
        <v>179</v>
      </c>
      <c r="D1751" s="11" t="s">
        <v>180</v>
      </c>
      <c r="E1751" s="9" t="str">
        <f>+HYPERLINK("http://trademark.i-assist.jp/data/china/image_1908th/80032490.pdf", "80032490")</f>
        <v>80032490</v>
      </c>
      <c r="F1751" s="11" t="s">
        <v>4976</v>
      </c>
      <c r="G1751" s="11" t="s">
        <v>4977</v>
      </c>
      <c r="H1751" s="11" t="s">
        <v>4978</v>
      </c>
      <c r="I1751" s="11" t="s">
        <v>4598</v>
      </c>
    </row>
    <row r="1752" spans="1:9" x14ac:dyDescent="0.15">
      <c r="A1752" s="10">
        <v>1751</v>
      </c>
      <c r="B1752" s="11" t="s">
        <v>9</v>
      </c>
      <c r="C1752" s="11" t="s">
        <v>179</v>
      </c>
      <c r="D1752" s="11" t="s">
        <v>180</v>
      </c>
      <c r="E1752" s="9" t="str">
        <f>+HYPERLINK("http://trademark.i-assist.jp/data/china/image_1908th/80032718.pdf", "80032718")</f>
        <v>80032718</v>
      </c>
      <c r="F1752" s="11" t="s">
        <v>4979</v>
      </c>
      <c r="G1752" s="11" t="s">
        <v>4640</v>
      </c>
      <c r="H1752" s="11" t="s">
        <v>4980</v>
      </c>
      <c r="I1752" s="11" t="s">
        <v>4598</v>
      </c>
    </row>
    <row r="1753" spans="1:9" x14ac:dyDescent="0.15">
      <c r="A1753" s="10">
        <v>1752</v>
      </c>
      <c r="B1753" s="11" t="s">
        <v>9</v>
      </c>
      <c r="C1753" s="11" t="s">
        <v>179</v>
      </c>
      <c r="D1753" s="11" t="s">
        <v>180</v>
      </c>
      <c r="E1753" s="9" t="str">
        <f>+HYPERLINK("http://trademark.i-assist.jp/data/china/image_1908th/80032746.pdf", "80032746")</f>
        <v>80032746</v>
      </c>
      <c r="F1753" s="11" t="s">
        <v>4981</v>
      </c>
      <c r="G1753" s="11" t="s">
        <v>4640</v>
      </c>
      <c r="H1753" s="11" t="s">
        <v>4982</v>
      </c>
      <c r="I1753" s="11" t="s">
        <v>4598</v>
      </c>
    </row>
    <row r="1754" spans="1:9" x14ac:dyDescent="0.15">
      <c r="A1754" s="10">
        <v>1753</v>
      </c>
      <c r="B1754" s="11" t="s">
        <v>9</v>
      </c>
      <c r="C1754" s="11" t="s">
        <v>179</v>
      </c>
      <c r="D1754" s="11" t="s">
        <v>180</v>
      </c>
      <c r="E1754" s="9" t="str">
        <f>+HYPERLINK("http://trademark.i-assist.jp/data/china/image_1908th/80032822.pdf", "80032822")</f>
        <v>80032822</v>
      </c>
      <c r="F1754" s="11" t="s">
        <v>4983</v>
      </c>
      <c r="G1754" s="11" t="s">
        <v>4984</v>
      </c>
      <c r="H1754" s="11" t="s">
        <v>4985</v>
      </c>
      <c r="I1754" s="11" t="s">
        <v>4598</v>
      </c>
    </row>
    <row r="1755" spans="1:9" x14ac:dyDescent="0.15">
      <c r="A1755" s="10">
        <v>1754</v>
      </c>
      <c r="B1755" s="11" t="s">
        <v>9</v>
      </c>
      <c r="C1755" s="11" t="s">
        <v>179</v>
      </c>
      <c r="D1755" s="11" t="s">
        <v>180</v>
      </c>
      <c r="E1755" s="9" t="str">
        <f>+HYPERLINK("http://trademark.i-assist.jp/data/china/image_1908th/80032997.pdf", "80032997")</f>
        <v>80032997</v>
      </c>
      <c r="F1755" s="11" t="s">
        <v>4986</v>
      </c>
      <c r="G1755" s="11" t="s">
        <v>4987</v>
      </c>
      <c r="H1755" s="11" t="s">
        <v>4988</v>
      </c>
      <c r="I1755" s="11" t="s">
        <v>4598</v>
      </c>
    </row>
    <row r="1756" spans="1:9" x14ac:dyDescent="0.15">
      <c r="A1756" s="10">
        <v>1755</v>
      </c>
      <c r="B1756" s="11" t="s">
        <v>9</v>
      </c>
      <c r="C1756" s="11" t="s">
        <v>179</v>
      </c>
      <c r="D1756" s="11" t="s">
        <v>180</v>
      </c>
      <c r="E1756" s="9" t="str">
        <f>+HYPERLINK("http://trademark.i-assist.jp/data/china/image_1908th/80033185.pdf", "80033185")</f>
        <v>80033185</v>
      </c>
      <c r="F1756" s="11" t="s">
        <v>4989</v>
      </c>
      <c r="G1756" s="11" t="s">
        <v>4990</v>
      </c>
      <c r="H1756" s="11" t="s">
        <v>4991</v>
      </c>
      <c r="I1756" s="11" t="s">
        <v>4598</v>
      </c>
    </row>
    <row r="1757" spans="1:9" x14ac:dyDescent="0.15">
      <c r="A1757" s="10">
        <v>1756</v>
      </c>
      <c r="B1757" s="11" t="s">
        <v>9</v>
      </c>
      <c r="C1757" s="11" t="s">
        <v>179</v>
      </c>
      <c r="D1757" s="11" t="s">
        <v>180</v>
      </c>
      <c r="E1757" s="9" t="str">
        <f>+HYPERLINK("http://trademark.i-assist.jp/data/china/image_1908th/80033282.pdf", "80033282")</f>
        <v>80033282</v>
      </c>
      <c r="F1757" s="11" t="s">
        <v>4992</v>
      </c>
      <c r="G1757" s="11" t="s">
        <v>4736</v>
      </c>
      <c r="H1757" s="11" t="s">
        <v>4993</v>
      </c>
      <c r="I1757" s="11" t="s">
        <v>4598</v>
      </c>
    </row>
    <row r="1758" spans="1:9" x14ac:dyDescent="0.15">
      <c r="A1758" s="10">
        <v>1757</v>
      </c>
      <c r="B1758" s="11" t="s">
        <v>9</v>
      </c>
      <c r="C1758" s="11" t="s">
        <v>179</v>
      </c>
      <c r="D1758" s="11" t="s">
        <v>180</v>
      </c>
      <c r="E1758" s="9" t="str">
        <f>+HYPERLINK("http://trademark.i-assist.jp/data/china/image_1908th/80033850.pdf", "80033850")</f>
        <v>80033850</v>
      </c>
      <c r="F1758" s="11" t="s">
        <v>4994</v>
      </c>
      <c r="G1758" s="11" t="s">
        <v>4995</v>
      </c>
      <c r="H1758" s="11" t="s">
        <v>4996</v>
      </c>
      <c r="I1758" s="11" t="s">
        <v>4598</v>
      </c>
    </row>
    <row r="1759" spans="1:9" x14ac:dyDescent="0.15">
      <c r="A1759" s="10">
        <v>1758</v>
      </c>
      <c r="B1759" s="11" t="s">
        <v>9</v>
      </c>
      <c r="C1759" s="11" t="s">
        <v>179</v>
      </c>
      <c r="D1759" s="11" t="s">
        <v>180</v>
      </c>
      <c r="E1759" s="9" t="str">
        <f>+HYPERLINK("http://trademark.i-assist.jp/data/china/image_1908th/80033990.pdf", "80033990")</f>
        <v>80033990</v>
      </c>
      <c r="F1759" s="11" t="s">
        <v>4997</v>
      </c>
      <c r="G1759" s="11" t="s">
        <v>4998</v>
      </c>
      <c r="H1759" s="11" t="s">
        <v>4999</v>
      </c>
      <c r="I1759" s="11" t="s">
        <v>4598</v>
      </c>
    </row>
    <row r="1760" spans="1:9" x14ac:dyDescent="0.15">
      <c r="A1760" s="10">
        <v>1759</v>
      </c>
      <c r="B1760" s="11" t="s">
        <v>9</v>
      </c>
      <c r="C1760" s="11" t="s">
        <v>179</v>
      </c>
      <c r="D1760" s="11" t="s">
        <v>180</v>
      </c>
      <c r="E1760" s="9" t="str">
        <f>+HYPERLINK("http://trademark.i-assist.jp/data/china/image_1908th/80034049.pdf", "80034049")</f>
        <v>80034049</v>
      </c>
      <c r="F1760" s="11" t="s">
        <v>5000</v>
      </c>
      <c r="G1760" s="11" t="s">
        <v>5001</v>
      </c>
      <c r="H1760" s="11" t="s">
        <v>5002</v>
      </c>
      <c r="I1760" s="11" t="s">
        <v>4598</v>
      </c>
    </row>
    <row r="1761" spans="1:9" x14ac:dyDescent="0.15">
      <c r="A1761" s="10">
        <v>1760</v>
      </c>
      <c r="B1761" s="11" t="s">
        <v>9</v>
      </c>
      <c r="C1761" s="11" t="s">
        <v>179</v>
      </c>
      <c r="D1761" s="11" t="s">
        <v>180</v>
      </c>
      <c r="E1761" s="9" t="str">
        <f>+HYPERLINK("http://trademark.i-assist.jp/data/china/image_1908th/80034178.pdf", "80034178")</f>
        <v>80034178</v>
      </c>
      <c r="F1761" s="11" t="s">
        <v>5003</v>
      </c>
      <c r="G1761" s="11" t="s">
        <v>5004</v>
      </c>
      <c r="H1761" s="11" t="s">
        <v>5005</v>
      </c>
      <c r="I1761" s="11" t="s">
        <v>4598</v>
      </c>
    </row>
    <row r="1762" spans="1:9" x14ac:dyDescent="0.15">
      <c r="A1762" s="10">
        <v>1761</v>
      </c>
      <c r="B1762" s="11" t="s">
        <v>9</v>
      </c>
      <c r="C1762" s="11" t="s">
        <v>179</v>
      </c>
      <c r="D1762" s="11" t="s">
        <v>180</v>
      </c>
      <c r="E1762" s="9" t="str">
        <f>+HYPERLINK("http://trademark.i-assist.jp/data/china/image_1908th/80034353.pdf", "80034353")</f>
        <v>80034353</v>
      </c>
      <c r="F1762" s="11" t="s">
        <v>5006</v>
      </c>
      <c r="G1762" s="11" t="s">
        <v>5007</v>
      </c>
      <c r="H1762" s="11" t="s">
        <v>5008</v>
      </c>
      <c r="I1762" s="11" t="s">
        <v>4822</v>
      </c>
    </row>
    <row r="1763" spans="1:9" x14ac:dyDescent="0.15">
      <c r="A1763" s="10">
        <v>1762</v>
      </c>
      <c r="B1763" s="11" t="s">
        <v>9</v>
      </c>
      <c r="C1763" s="11" t="s">
        <v>179</v>
      </c>
      <c r="D1763" s="11" t="s">
        <v>180</v>
      </c>
      <c r="E1763" s="9" t="str">
        <f>+HYPERLINK("http://trademark.i-assist.jp/data/china/image_1908th/80034365.pdf", "80034365")</f>
        <v>80034365</v>
      </c>
      <c r="F1763" s="11" t="s">
        <v>5009</v>
      </c>
      <c r="G1763" s="11" t="s">
        <v>5010</v>
      </c>
      <c r="H1763" s="11" t="s">
        <v>5011</v>
      </c>
      <c r="I1763" s="11" t="s">
        <v>4822</v>
      </c>
    </row>
    <row r="1764" spans="1:9" x14ac:dyDescent="0.15">
      <c r="A1764" s="10">
        <v>1763</v>
      </c>
      <c r="B1764" s="11" t="s">
        <v>9</v>
      </c>
      <c r="C1764" s="11" t="s">
        <v>179</v>
      </c>
      <c r="D1764" s="11" t="s">
        <v>180</v>
      </c>
      <c r="E1764" s="9" t="str">
        <f>+HYPERLINK("http://trademark.i-assist.jp/data/china/image_1908th/80034389.pdf", "80034389")</f>
        <v>80034389</v>
      </c>
      <c r="F1764" s="11" t="s">
        <v>5012</v>
      </c>
      <c r="G1764" s="11" t="s">
        <v>5013</v>
      </c>
      <c r="H1764" s="11" t="s">
        <v>5014</v>
      </c>
      <c r="I1764" s="11" t="s">
        <v>4822</v>
      </c>
    </row>
    <row r="1765" spans="1:9" x14ac:dyDescent="0.15">
      <c r="A1765" s="10">
        <v>1764</v>
      </c>
      <c r="B1765" s="11" t="s">
        <v>9</v>
      </c>
      <c r="C1765" s="11" t="s">
        <v>179</v>
      </c>
      <c r="D1765" s="11" t="s">
        <v>180</v>
      </c>
      <c r="E1765" s="9" t="str">
        <f>+HYPERLINK("http://trademark.i-assist.jp/data/china/image_1908th/80034402.pdf", "80034402")</f>
        <v>80034402</v>
      </c>
      <c r="F1765" s="11" t="s">
        <v>5015</v>
      </c>
      <c r="G1765" s="11" t="s">
        <v>5016</v>
      </c>
      <c r="H1765" s="11" t="s">
        <v>5017</v>
      </c>
      <c r="I1765" s="11" t="s">
        <v>4822</v>
      </c>
    </row>
    <row r="1766" spans="1:9" x14ac:dyDescent="0.15">
      <c r="A1766" s="10">
        <v>1765</v>
      </c>
      <c r="B1766" s="11" t="s">
        <v>9</v>
      </c>
      <c r="C1766" s="11" t="s">
        <v>179</v>
      </c>
      <c r="D1766" s="11" t="s">
        <v>180</v>
      </c>
      <c r="E1766" s="9" t="str">
        <f>+HYPERLINK("http://trademark.i-assist.jp/data/china/image_1908th/80034410.pdf", "80034410")</f>
        <v>80034410</v>
      </c>
      <c r="F1766" s="11" t="s">
        <v>5018</v>
      </c>
      <c r="G1766" s="11" t="s">
        <v>5019</v>
      </c>
      <c r="H1766" s="11" t="s">
        <v>5020</v>
      </c>
      <c r="I1766" s="11" t="s">
        <v>4822</v>
      </c>
    </row>
    <row r="1767" spans="1:9" x14ac:dyDescent="0.15">
      <c r="A1767" s="10">
        <v>1766</v>
      </c>
      <c r="B1767" s="11" t="s">
        <v>9</v>
      </c>
      <c r="C1767" s="11" t="s">
        <v>179</v>
      </c>
      <c r="D1767" s="11" t="s">
        <v>180</v>
      </c>
      <c r="E1767" s="9" t="str">
        <f>+HYPERLINK("http://trademark.i-assist.jp/data/china/image_1908th/80034570.pdf", "80034570")</f>
        <v>80034570</v>
      </c>
      <c r="F1767" s="11" t="s">
        <v>5021</v>
      </c>
      <c r="G1767" s="11" t="s">
        <v>4855</v>
      </c>
      <c r="H1767" s="11" t="s">
        <v>5022</v>
      </c>
      <c r="I1767" s="11" t="s">
        <v>4822</v>
      </c>
    </row>
    <row r="1768" spans="1:9" x14ac:dyDescent="0.15">
      <c r="A1768" s="10">
        <v>1767</v>
      </c>
      <c r="B1768" s="11" t="s">
        <v>9</v>
      </c>
      <c r="C1768" s="11" t="s">
        <v>179</v>
      </c>
      <c r="D1768" s="11" t="s">
        <v>180</v>
      </c>
      <c r="E1768" s="9" t="str">
        <f>+HYPERLINK("http://trademark.i-assist.jp/data/china/image_1908th/80034580.pdf", "80034580")</f>
        <v>80034580</v>
      </c>
      <c r="F1768" s="11" t="s">
        <v>5023</v>
      </c>
      <c r="G1768" s="11" t="s">
        <v>4855</v>
      </c>
      <c r="H1768" s="11" t="s">
        <v>5024</v>
      </c>
      <c r="I1768" s="11" t="s">
        <v>4822</v>
      </c>
    </row>
    <row r="1769" spans="1:9" x14ac:dyDescent="0.15">
      <c r="A1769" s="10">
        <v>1768</v>
      </c>
      <c r="B1769" s="11" t="s">
        <v>9</v>
      </c>
      <c r="C1769" s="11" t="s">
        <v>179</v>
      </c>
      <c r="D1769" s="11" t="s">
        <v>180</v>
      </c>
      <c r="E1769" s="9" t="str">
        <f>+HYPERLINK("http://trademark.i-assist.jp/data/china/image_1908th/80034781.pdf", "80034781")</f>
        <v>80034781</v>
      </c>
      <c r="F1769" s="11" t="s">
        <v>5025</v>
      </c>
      <c r="G1769" s="11" t="s">
        <v>666</v>
      </c>
      <c r="H1769" s="11" t="s">
        <v>5026</v>
      </c>
      <c r="I1769" s="11" t="s">
        <v>4822</v>
      </c>
    </row>
    <row r="1770" spans="1:9" x14ac:dyDescent="0.15">
      <c r="A1770" s="10">
        <v>1769</v>
      </c>
      <c r="B1770" s="11" t="s">
        <v>9</v>
      </c>
      <c r="C1770" s="11" t="s">
        <v>179</v>
      </c>
      <c r="D1770" s="11" t="s">
        <v>180</v>
      </c>
      <c r="E1770" s="9" t="str">
        <f>+HYPERLINK("http://trademark.i-assist.jp/data/china/image_1908th/80034887.pdf", "80034887")</f>
        <v>80034887</v>
      </c>
      <c r="F1770" s="11" t="s">
        <v>5027</v>
      </c>
      <c r="G1770" s="11" t="s">
        <v>5028</v>
      </c>
      <c r="H1770" s="11" t="s">
        <v>5029</v>
      </c>
      <c r="I1770" s="11" t="s">
        <v>4822</v>
      </c>
    </row>
    <row r="1771" spans="1:9" x14ac:dyDescent="0.15">
      <c r="A1771" s="10">
        <v>1770</v>
      </c>
      <c r="B1771" s="11" t="s">
        <v>9</v>
      </c>
      <c r="C1771" s="11" t="s">
        <v>179</v>
      </c>
      <c r="D1771" s="11" t="s">
        <v>180</v>
      </c>
      <c r="E1771" s="9" t="str">
        <f>+HYPERLINK("http://trademark.i-assist.jp/data/china/image_1908th/80035027.pdf", "80035027")</f>
        <v>80035027</v>
      </c>
      <c r="F1771" s="11" t="s">
        <v>5030</v>
      </c>
      <c r="G1771" s="11" t="s">
        <v>5031</v>
      </c>
      <c r="H1771" s="11" t="s">
        <v>5032</v>
      </c>
      <c r="I1771" s="11" t="s">
        <v>4822</v>
      </c>
    </row>
    <row r="1772" spans="1:9" x14ac:dyDescent="0.15">
      <c r="A1772" s="10">
        <v>1771</v>
      </c>
      <c r="B1772" s="11" t="s">
        <v>9</v>
      </c>
      <c r="C1772" s="11" t="s">
        <v>179</v>
      </c>
      <c r="D1772" s="11" t="s">
        <v>180</v>
      </c>
      <c r="E1772" s="9" t="str">
        <f>+HYPERLINK("http://trademark.i-assist.jp/data/china/image_1908th/80035079.pdf", "80035079")</f>
        <v>80035079</v>
      </c>
      <c r="F1772" s="11" t="s">
        <v>5033</v>
      </c>
      <c r="G1772" s="11" t="s">
        <v>4861</v>
      </c>
      <c r="H1772" s="11" t="s">
        <v>5034</v>
      </c>
      <c r="I1772" s="11" t="s">
        <v>4822</v>
      </c>
    </row>
    <row r="1773" spans="1:9" x14ac:dyDescent="0.15">
      <c r="A1773" s="10">
        <v>1772</v>
      </c>
      <c r="B1773" s="11" t="s">
        <v>9</v>
      </c>
      <c r="C1773" s="11" t="s">
        <v>179</v>
      </c>
      <c r="D1773" s="11" t="s">
        <v>180</v>
      </c>
      <c r="E1773" s="9" t="str">
        <f>+HYPERLINK("http://trademark.i-assist.jp/data/china/image_1908th/80035300.pdf", "80035300")</f>
        <v>80035300</v>
      </c>
      <c r="F1773" s="11" t="s">
        <v>5035</v>
      </c>
      <c r="G1773" s="11" t="s">
        <v>5036</v>
      </c>
      <c r="H1773" s="11" t="s">
        <v>5037</v>
      </c>
      <c r="I1773" s="11" t="s">
        <v>4822</v>
      </c>
    </row>
    <row r="1774" spans="1:9" x14ac:dyDescent="0.15">
      <c r="A1774" s="10">
        <v>1773</v>
      </c>
      <c r="B1774" s="11" t="s">
        <v>9</v>
      </c>
      <c r="C1774" s="11" t="s">
        <v>179</v>
      </c>
      <c r="D1774" s="11" t="s">
        <v>180</v>
      </c>
      <c r="E1774" s="9" t="str">
        <f>+HYPERLINK("http://trademark.i-assist.jp/data/china/image_1908th/80035383.pdf", "80035383")</f>
        <v>80035383</v>
      </c>
      <c r="F1774" s="11" t="s">
        <v>5038</v>
      </c>
      <c r="G1774" s="11" t="s">
        <v>5039</v>
      </c>
      <c r="H1774" s="11" t="s">
        <v>5040</v>
      </c>
      <c r="I1774" s="11" t="s">
        <v>4822</v>
      </c>
    </row>
    <row r="1775" spans="1:9" x14ac:dyDescent="0.15">
      <c r="A1775" s="10">
        <v>1774</v>
      </c>
      <c r="B1775" s="11" t="s">
        <v>9</v>
      </c>
      <c r="C1775" s="11" t="s">
        <v>179</v>
      </c>
      <c r="D1775" s="11" t="s">
        <v>180</v>
      </c>
      <c r="E1775" s="9" t="str">
        <f>+HYPERLINK("http://trademark.i-assist.jp/data/china/image_1908th/80035568.pdf", "80035568")</f>
        <v>80035568</v>
      </c>
      <c r="F1775" s="11" t="s">
        <v>5041</v>
      </c>
      <c r="G1775" s="11" t="s">
        <v>5019</v>
      </c>
      <c r="H1775" s="11" t="s">
        <v>5042</v>
      </c>
      <c r="I1775" s="11" t="s">
        <v>4822</v>
      </c>
    </row>
    <row r="1776" spans="1:9" x14ac:dyDescent="0.15">
      <c r="A1776" s="10">
        <v>1775</v>
      </c>
      <c r="B1776" s="11" t="s">
        <v>9</v>
      </c>
      <c r="C1776" s="11" t="s">
        <v>179</v>
      </c>
      <c r="D1776" s="11" t="s">
        <v>180</v>
      </c>
      <c r="E1776" s="9" t="str">
        <f>+HYPERLINK("http://trademark.i-assist.jp/data/china/image_1908th/80035646.pdf", "80035646")</f>
        <v>80035646</v>
      </c>
      <c r="F1776" s="11" t="s">
        <v>5043</v>
      </c>
      <c r="G1776" s="11" t="s">
        <v>5044</v>
      </c>
      <c r="H1776" s="11" t="s">
        <v>5045</v>
      </c>
      <c r="I1776" s="11" t="s">
        <v>4822</v>
      </c>
    </row>
    <row r="1777" spans="1:9" x14ac:dyDescent="0.15">
      <c r="A1777" s="10">
        <v>1776</v>
      </c>
      <c r="B1777" s="11" t="s">
        <v>9</v>
      </c>
      <c r="C1777" s="11" t="s">
        <v>179</v>
      </c>
      <c r="D1777" s="11" t="s">
        <v>180</v>
      </c>
      <c r="E1777" s="9" t="str">
        <f>+HYPERLINK("http://trademark.i-assist.jp/data/china/image_1908th/80035694.pdf", "80035694")</f>
        <v>80035694</v>
      </c>
      <c r="F1777" s="11" t="s">
        <v>5046</v>
      </c>
      <c r="G1777" s="11" t="s">
        <v>5047</v>
      </c>
      <c r="H1777" s="11" t="s">
        <v>5048</v>
      </c>
      <c r="I1777" s="11" t="s">
        <v>4822</v>
      </c>
    </row>
    <row r="1778" spans="1:9" x14ac:dyDescent="0.15">
      <c r="A1778" s="10">
        <v>1777</v>
      </c>
      <c r="B1778" s="11" t="s">
        <v>9</v>
      </c>
      <c r="C1778" s="11" t="s">
        <v>179</v>
      </c>
      <c r="D1778" s="11" t="s">
        <v>180</v>
      </c>
      <c r="E1778" s="9" t="str">
        <f>+HYPERLINK("http://trademark.i-assist.jp/data/china/image_1908th/80036005.pdf", "80036005")</f>
        <v>80036005</v>
      </c>
      <c r="F1778" s="11" t="s">
        <v>5049</v>
      </c>
      <c r="G1778" s="11" t="s">
        <v>4855</v>
      </c>
      <c r="H1778" s="11" t="s">
        <v>5050</v>
      </c>
      <c r="I1778" s="11" t="s">
        <v>4822</v>
      </c>
    </row>
    <row r="1779" spans="1:9" x14ac:dyDescent="0.15">
      <c r="A1779" s="10">
        <v>1778</v>
      </c>
      <c r="B1779" s="11" t="s">
        <v>9</v>
      </c>
      <c r="C1779" s="11" t="s">
        <v>179</v>
      </c>
      <c r="D1779" s="11" t="s">
        <v>180</v>
      </c>
      <c r="E1779" s="9" t="str">
        <f>+HYPERLINK("http://trademark.i-assist.jp/data/china/image_1908th/80036034.pdf", "80036034")</f>
        <v>80036034</v>
      </c>
      <c r="F1779" s="11" t="s">
        <v>5051</v>
      </c>
      <c r="G1779" s="11" t="s">
        <v>4861</v>
      </c>
      <c r="H1779" s="11" t="s">
        <v>5052</v>
      </c>
      <c r="I1779" s="11" t="s">
        <v>4822</v>
      </c>
    </row>
    <row r="1780" spans="1:9" x14ac:dyDescent="0.15">
      <c r="A1780" s="10">
        <v>1779</v>
      </c>
      <c r="B1780" s="11" t="s">
        <v>9</v>
      </c>
      <c r="C1780" s="11" t="s">
        <v>179</v>
      </c>
      <c r="D1780" s="11" t="s">
        <v>180</v>
      </c>
      <c r="E1780" s="9" t="str">
        <f>+HYPERLINK("http://trademark.i-assist.jp/data/china/image_1908th/80036040.pdf", "80036040")</f>
        <v>80036040</v>
      </c>
      <c r="F1780" s="11" t="s">
        <v>5053</v>
      </c>
      <c r="G1780" s="11" t="s">
        <v>4861</v>
      </c>
      <c r="H1780" s="11" t="s">
        <v>5054</v>
      </c>
      <c r="I1780" s="11" t="s">
        <v>4822</v>
      </c>
    </row>
    <row r="1781" spans="1:9" x14ac:dyDescent="0.15">
      <c r="A1781" s="10">
        <v>1780</v>
      </c>
      <c r="B1781" s="11" t="s">
        <v>9</v>
      </c>
      <c r="C1781" s="11" t="s">
        <v>179</v>
      </c>
      <c r="D1781" s="11" t="s">
        <v>180</v>
      </c>
      <c r="E1781" s="9" t="str">
        <f>+HYPERLINK("http://trademark.i-assist.jp/data/china/image_1908th/80036084.pdf", "80036084")</f>
        <v>80036084</v>
      </c>
      <c r="F1781" s="11" t="s">
        <v>5055</v>
      </c>
      <c r="G1781" s="11" t="s">
        <v>5056</v>
      </c>
      <c r="H1781" s="11" t="s">
        <v>5057</v>
      </c>
      <c r="I1781" s="11" t="s">
        <v>4822</v>
      </c>
    </row>
    <row r="1782" spans="1:9" x14ac:dyDescent="0.15">
      <c r="A1782" s="10">
        <v>1781</v>
      </c>
      <c r="B1782" s="11" t="s">
        <v>9</v>
      </c>
      <c r="C1782" s="11" t="s">
        <v>179</v>
      </c>
      <c r="D1782" s="11" t="s">
        <v>180</v>
      </c>
      <c r="E1782" s="9" t="str">
        <f>+HYPERLINK("http://trademark.i-assist.jp/data/china/image_1908th/80036292.pdf", "80036292")</f>
        <v>80036292</v>
      </c>
      <c r="F1782" s="11" t="s">
        <v>5058</v>
      </c>
      <c r="G1782" s="11" t="s">
        <v>5019</v>
      </c>
      <c r="H1782" s="11" t="s">
        <v>5059</v>
      </c>
      <c r="I1782" s="11" t="s">
        <v>4822</v>
      </c>
    </row>
    <row r="1783" spans="1:9" x14ac:dyDescent="0.15">
      <c r="A1783" s="10">
        <v>1782</v>
      </c>
      <c r="B1783" s="11" t="s">
        <v>9</v>
      </c>
      <c r="C1783" s="11" t="s">
        <v>179</v>
      </c>
      <c r="D1783" s="11" t="s">
        <v>180</v>
      </c>
      <c r="E1783" s="9" t="str">
        <f>+HYPERLINK("http://trademark.i-assist.jp/data/china/image_1908th/80036383.pdf", "80036383")</f>
        <v>80036383</v>
      </c>
      <c r="F1783" s="11" t="s">
        <v>5060</v>
      </c>
      <c r="G1783" s="11" t="s">
        <v>5061</v>
      </c>
      <c r="H1783" s="11" t="s">
        <v>5062</v>
      </c>
      <c r="I1783" s="11" t="s">
        <v>4822</v>
      </c>
    </row>
    <row r="1784" spans="1:9" x14ac:dyDescent="0.15">
      <c r="A1784" s="10">
        <v>1783</v>
      </c>
      <c r="B1784" s="11" t="s">
        <v>9</v>
      </c>
      <c r="C1784" s="11" t="s">
        <v>179</v>
      </c>
      <c r="D1784" s="11" t="s">
        <v>180</v>
      </c>
      <c r="E1784" s="9" t="str">
        <f>+HYPERLINK("http://trademark.i-assist.jp/data/china/image_1908th/80036451.pdf", "80036451")</f>
        <v>80036451</v>
      </c>
      <c r="F1784" s="11" t="s">
        <v>5063</v>
      </c>
      <c r="G1784" s="11" t="s">
        <v>5064</v>
      </c>
      <c r="H1784" s="11" t="s">
        <v>5065</v>
      </c>
      <c r="I1784" s="11" t="s">
        <v>4822</v>
      </c>
    </row>
    <row r="1785" spans="1:9" x14ac:dyDescent="0.15">
      <c r="A1785" s="10">
        <v>1784</v>
      </c>
      <c r="B1785" s="11" t="s">
        <v>9</v>
      </c>
      <c r="C1785" s="11" t="s">
        <v>179</v>
      </c>
      <c r="D1785" s="11" t="s">
        <v>180</v>
      </c>
      <c r="E1785" s="9" t="str">
        <f>+HYPERLINK("http://trademark.i-assist.jp/data/china/image_1908th/80036771.pdf", "80036771")</f>
        <v>80036771</v>
      </c>
      <c r="F1785" s="11" t="s">
        <v>5066</v>
      </c>
      <c r="G1785" s="11" t="s">
        <v>5067</v>
      </c>
      <c r="H1785" s="11" t="s">
        <v>5068</v>
      </c>
      <c r="I1785" s="11" t="s">
        <v>4822</v>
      </c>
    </row>
    <row r="1786" spans="1:9" x14ac:dyDescent="0.15">
      <c r="A1786" s="10">
        <v>1785</v>
      </c>
      <c r="B1786" s="11" t="s">
        <v>9</v>
      </c>
      <c r="C1786" s="11" t="s">
        <v>179</v>
      </c>
      <c r="D1786" s="11" t="s">
        <v>180</v>
      </c>
      <c r="E1786" s="9" t="str">
        <f>+HYPERLINK("http://trademark.i-assist.jp/data/china/image_1908th/80037023.pdf", "80037023")</f>
        <v>80037023</v>
      </c>
      <c r="F1786" s="11" t="s">
        <v>5069</v>
      </c>
      <c r="G1786" s="11" t="s">
        <v>5070</v>
      </c>
      <c r="H1786" s="11" t="s">
        <v>5071</v>
      </c>
      <c r="I1786" s="11" t="s">
        <v>4822</v>
      </c>
    </row>
    <row r="1787" spans="1:9" x14ac:dyDescent="0.15">
      <c r="A1787" s="10">
        <v>1786</v>
      </c>
      <c r="B1787" s="11" t="s">
        <v>9</v>
      </c>
      <c r="C1787" s="11" t="s">
        <v>179</v>
      </c>
      <c r="D1787" s="11" t="s">
        <v>180</v>
      </c>
      <c r="E1787" s="9" t="str">
        <f>+HYPERLINK("http://trademark.i-assist.jp/data/china/image_1908th/80037485.pdf", "80037485")</f>
        <v>80037485</v>
      </c>
      <c r="F1787" s="11" t="s">
        <v>5072</v>
      </c>
      <c r="G1787" s="11" t="s">
        <v>4028</v>
      </c>
      <c r="H1787" s="11" t="s">
        <v>5073</v>
      </c>
      <c r="I1787" s="11" t="s">
        <v>4598</v>
      </c>
    </row>
    <row r="1788" spans="1:9" x14ac:dyDescent="0.15">
      <c r="A1788" s="10">
        <v>1787</v>
      </c>
      <c r="B1788" s="11" t="s">
        <v>9</v>
      </c>
      <c r="C1788" s="11" t="s">
        <v>179</v>
      </c>
      <c r="D1788" s="11" t="s">
        <v>180</v>
      </c>
      <c r="E1788" s="9" t="str">
        <f>+HYPERLINK("http://trademark.i-assist.jp/data/china/image_1908th/80037547.pdf", "80037547")</f>
        <v>80037547</v>
      </c>
      <c r="F1788" s="11" t="s">
        <v>5074</v>
      </c>
      <c r="G1788" s="11" t="s">
        <v>5075</v>
      </c>
      <c r="H1788" s="11" t="s">
        <v>5076</v>
      </c>
      <c r="I1788" s="11" t="s">
        <v>4598</v>
      </c>
    </row>
    <row r="1789" spans="1:9" x14ac:dyDescent="0.15">
      <c r="A1789" s="10">
        <v>1788</v>
      </c>
      <c r="B1789" s="11" t="s">
        <v>9</v>
      </c>
      <c r="C1789" s="11" t="s">
        <v>179</v>
      </c>
      <c r="D1789" s="11" t="s">
        <v>180</v>
      </c>
      <c r="E1789" s="9" t="str">
        <f>+HYPERLINK("http://trademark.i-assist.jp/data/china/image_1908th/80037661.pdf", "80037661")</f>
        <v>80037661</v>
      </c>
      <c r="F1789" s="11" t="s">
        <v>5077</v>
      </c>
      <c r="G1789" s="11" t="s">
        <v>4861</v>
      </c>
      <c r="H1789" s="11" t="s">
        <v>5078</v>
      </c>
      <c r="I1789" s="11" t="s">
        <v>4822</v>
      </c>
    </row>
    <row r="1790" spans="1:9" x14ac:dyDescent="0.15">
      <c r="A1790" s="10">
        <v>1789</v>
      </c>
      <c r="B1790" s="11" t="s">
        <v>9</v>
      </c>
      <c r="C1790" s="11" t="s">
        <v>179</v>
      </c>
      <c r="D1790" s="11" t="s">
        <v>180</v>
      </c>
      <c r="E1790" s="9" t="str">
        <f>+HYPERLINK("http://trademark.i-assist.jp/data/china/image_1908th/80037673.pdf", "80037673")</f>
        <v>80037673</v>
      </c>
      <c r="F1790" s="11" t="s">
        <v>5079</v>
      </c>
      <c r="G1790" s="11" t="s">
        <v>5080</v>
      </c>
      <c r="H1790" s="11" t="s">
        <v>5081</v>
      </c>
      <c r="I1790" s="11" t="s">
        <v>4822</v>
      </c>
    </row>
    <row r="1791" spans="1:9" x14ac:dyDescent="0.15">
      <c r="A1791" s="10">
        <v>1790</v>
      </c>
      <c r="B1791" s="11" t="s">
        <v>9</v>
      </c>
      <c r="C1791" s="11" t="s">
        <v>179</v>
      </c>
      <c r="D1791" s="11" t="s">
        <v>180</v>
      </c>
      <c r="E1791" s="9" t="str">
        <f>+HYPERLINK("http://trademark.i-assist.jp/data/china/image_1908th/80037715.pdf", "80037715")</f>
        <v>80037715</v>
      </c>
      <c r="F1791" s="11" t="s">
        <v>5082</v>
      </c>
      <c r="G1791" s="11" t="s">
        <v>5083</v>
      </c>
      <c r="H1791" s="11" t="s">
        <v>5084</v>
      </c>
      <c r="I1791" s="11" t="s">
        <v>4822</v>
      </c>
    </row>
    <row r="1792" spans="1:9" x14ac:dyDescent="0.15">
      <c r="A1792" s="10">
        <v>1791</v>
      </c>
      <c r="B1792" s="11" t="s">
        <v>9</v>
      </c>
      <c r="C1792" s="11" t="s">
        <v>179</v>
      </c>
      <c r="D1792" s="11" t="s">
        <v>180</v>
      </c>
      <c r="E1792" s="9" t="str">
        <f>+HYPERLINK("http://trademark.i-assist.jp/data/china/image_1908th/80037999.pdf", "80037999")</f>
        <v>80037999</v>
      </c>
      <c r="F1792" s="11" t="s">
        <v>5085</v>
      </c>
      <c r="G1792" s="11" t="s">
        <v>1025</v>
      </c>
      <c r="H1792" s="11" t="s">
        <v>5086</v>
      </c>
      <c r="I1792" s="11" t="s">
        <v>4822</v>
      </c>
    </row>
    <row r="1793" spans="1:9" x14ac:dyDescent="0.15">
      <c r="A1793" s="10">
        <v>1792</v>
      </c>
      <c r="B1793" s="11" t="s">
        <v>9</v>
      </c>
      <c r="C1793" s="11" t="s">
        <v>179</v>
      </c>
      <c r="D1793" s="11" t="s">
        <v>180</v>
      </c>
      <c r="E1793" s="9" t="str">
        <f>+HYPERLINK("http://trademark.i-assist.jp/data/china/image_1908th/80038167.pdf", "80038167")</f>
        <v>80038167</v>
      </c>
      <c r="F1793" s="11" t="s">
        <v>5087</v>
      </c>
      <c r="G1793" s="11" t="s">
        <v>666</v>
      </c>
      <c r="H1793" s="11" t="s">
        <v>5088</v>
      </c>
      <c r="I1793" s="11" t="s">
        <v>4822</v>
      </c>
    </row>
    <row r="1794" spans="1:9" x14ac:dyDescent="0.15">
      <c r="A1794" s="10">
        <v>1793</v>
      </c>
      <c r="B1794" s="11" t="s">
        <v>9</v>
      </c>
      <c r="C1794" s="11" t="s">
        <v>179</v>
      </c>
      <c r="D1794" s="11" t="s">
        <v>180</v>
      </c>
      <c r="E1794" s="9" t="str">
        <f>+HYPERLINK("http://trademark.i-assist.jp/data/china/image_1908th/80038678.pdf", "80038678")</f>
        <v>80038678</v>
      </c>
      <c r="F1794" s="11" t="s">
        <v>5089</v>
      </c>
      <c r="G1794" s="11" t="s">
        <v>5090</v>
      </c>
      <c r="H1794" s="11" t="s">
        <v>5091</v>
      </c>
      <c r="I1794" s="11" t="s">
        <v>4822</v>
      </c>
    </row>
    <row r="1795" spans="1:9" x14ac:dyDescent="0.15">
      <c r="A1795" s="10">
        <v>1794</v>
      </c>
      <c r="B1795" s="11" t="s">
        <v>9</v>
      </c>
      <c r="C1795" s="11" t="s">
        <v>179</v>
      </c>
      <c r="D1795" s="11" t="s">
        <v>180</v>
      </c>
      <c r="E1795" s="9" t="str">
        <f>+HYPERLINK("http://trademark.i-assist.jp/data/china/image_1908th/80039121.pdf", "80039121")</f>
        <v>80039121</v>
      </c>
      <c r="F1795" s="11" t="s">
        <v>5092</v>
      </c>
      <c r="G1795" s="11" t="s">
        <v>5093</v>
      </c>
      <c r="H1795" s="11" t="s">
        <v>5094</v>
      </c>
      <c r="I1795" s="11" t="s">
        <v>4822</v>
      </c>
    </row>
    <row r="1796" spans="1:9" x14ac:dyDescent="0.15">
      <c r="A1796" s="10">
        <v>1795</v>
      </c>
      <c r="B1796" s="11" t="s">
        <v>9</v>
      </c>
      <c r="C1796" s="11" t="s">
        <v>179</v>
      </c>
      <c r="D1796" s="11" t="s">
        <v>180</v>
      </c>
      <c r="E1796" s="9" t="str">
        <f>+HYPERLINK("http://trademark.i-assist.jp/data/china/image_1908th/80039574.pdf", "80039574")</f>
        <v>80039574</v>
      </c>
      <c r="F1796" s="11" t="s">
        <v>5095</v>
      </c>
      <c r="G1796" s="11" t="s">
        <v>5096</v>
      </c>
      <c r="H1796" s="11" t="s">
        <v>5097</v>
      </c>
      <c r="I1796" s="11" t="s">
        <v>4822</v>
      </c>
    </row>
    <row r="1797" spans="1:9" x14ac:dyDescent="0.15">
      <c r="A1797" s="10">
        <v>1796</v>
      </c>
      <c r="B1797" s="11" t="s">
        <v>9</v>
      </c>
      <c r="C1797" s="11" t="s">
        <v>179</v>
      </c>
      <c r="D1797" s="11" t="s">
        <v>180</v>
      </c>
      <c r="E1797" s="9" t="str">
        <f>+HYPERLINK("http://trademark.i-assist.jp/data/china/image_1908th/80039596.pdf", "80039596")</f>
        <v>80039596</v>
      </c>
      <c r="F1797" s="11" t="s">
        <v>5098</v>
      </c>
      <c r="G1797" s="11" t="s">
        <v>5099</v>
      </c>
      <c r="H1797" s="11" t="s">
        <v>5100</v>
      </c>
      <c r="I1797" s="11" t="s">
        <v>4822</v>
      </c>
    </row>
    <row r="1798" spans="1:9" x14ac:dyDescent="0.15">
      <c r="A1798" s="10">
        <v>1797</v>
      </c>
      <c r="B1798" s="11" t="s">
        <v>9</v>
      </c>
      <c r="C1798" s="11" t="s">
        <v>179</v>
      </c>
      <c r="D1798" s="11" t="s">
        <v>180</v>
      </c>
      <c r="E1798" s="9" t="str">
        <f>+HYPERLINK("http://trademark.i-assist.jp/data/china/image_1908th/80039636.pdf", "80039636")</f>
        <v>80039636</v>
      </c>
      <c r="F1798" s="11" t="s">
        <v>5101</v>
      </c>
      <c r="G1798" s="11" t="s">
        <v>5102</v>
      </c>
      <c r="H1798" s="11" t="s">
        <v>5103</v>
      </c>
      <c r="I1798" s="11" t="s">
        <v>4822</v>
      </c>
    </row>
    <row r="1799" spans="1:9" x14ac:dyDescent="0.15">
      <c r="A1799" s="10">
        <v>1798</v>
      </c>
      <c r="B1799" s="11" t="s">
        <v>9</v>
      </c>
      <c r="C1799" s="11" t="s">
        <v>179</v>
      </c>
      <c r="D1799" s="11" t="s">
        <v>180</v>
      </c>
      <c r="E1799" s="9" t="str">
        <f>+HYPERLINK("http://trademark.i-assist.jp/data/china/image_1908th/80039652.pdf", "80039652")</f>
        <v>80039652</v>
      </c>
      <c r="F1799" s="11" t="s">
        <v>5104</v>
      </c>
      <c r="G1799" s="11" t="s">
        <v>5105</v>
      </c>
      <c r="H1799" s="11" t="s">
        <v>5106</v>
      </c>
      <c r="I1799" s="11" t="s">
        <v>4822</v>
      </c>
    </row>
    <row r="1800" spans="1:9" x14ac:dyDescent="0.15">
      <c r="A1800" s="10">
        <v>1799</v>
      </c>
      <c r="B1800" s="11" t="s">
        <v>9</v>
      </c>
      <c r="C1800" s="11" t="s">
        <v>179</v>
      </c>
      <c r="D1800" s="11" t="s">
        <v>180</v>
      </c>
      <c r="E1800" s="9" t="str">
        <f>+HYPERLINK("http://trademark.i-assist.jp/data/china/image_1908th/80039761.pdf", "80039761")</f>
        <v>80039761</v>
      </c>
      <c r="F1800" s="11" t="s">
        <v>5107</v>
      </c>
      <c r="G1800" s="11" t="s">
        <v>5108</v>
      </c>
      <c r="H1800" s="11" t="s">
        <v>5109</v>
      </c>
      <c r="I1800" s="11" t="s">
        <v>4822</v>
      </c>
    </row>
    <row r="1801" spans="1:9" x14ac:dyDescent="0.15">
      <c r="A1801" s="10">
        <v>1800</v>
      </c>
      <c r="B1801" s="11" t="s">
        <v>9</v>
      </c>
      <c r="C1801" s="11" t="s">
        <v>179</v>
      </c>
      <c r="D1801" s="11" t="s">
        <v>180</v>
      </c>
      <c r="E1801" s="9" t="str">
        <f>+HYPERLINK("http://trademark.i-assist.jp/data/china/image_1908th/80039907.pdf", "80039907")</f>
        <v>80039907</v>
      </c>
      <c r="F1801" s="11" t="s">
        <v>5110</v>
      </c>
      <c r="G1801" s="11" t="s">
        <v>5111</v>
      </c>
      <c r="H1801" s="11" t="s">
        <v>5112</v>
      </c>
      <c r="I1801" s="11" t="s">
        <v>4822</v>
      </c>
    </row>
    <row r="1802" spans="1:9" x14ac:dyDescent="0.15">
      <c r="A1802" s="10">
        <v>1801</v>
      </c>
      <c r="B1802" s="11" t="s">
        <v>9</v>
      </c>
      <c r="C1802" s="11" t="s">
        <v>179</v>
      </c>
      <c r="D1802" s="11" t="s">
        <v>180</v>
      </c>
      <c r="E1802" s="9" t="str">
        <f>+HYPERLINK("http://trademark.i-assist.jp/data/china/image_1908th/80040434.pdf", "80040434")</f>
        <v>80040434</v>
      </c>
      <c r="F1802" s="11" t="s">
        <v>5113</v>
      </c>
      <c r="G1802" s="11" t="s">
        <v>118</v>
      </c>
      <c r="H1802" s="11" t="s">
        <v>5114</v>
      </c>
      <c r="I1802" s="11" t="s">
        <v>4822</v>
      </c>
    </row>
    <row r="1803" spans="1:9" x14ac:dyDescent="0.15">
      <c r="A1803" s="10">
        <v>1802</v>
      </c>
      <c r="B1803" s="11" t="s">
        <v>9</v>
      </c>
      <c r="C1803" s="11" t="s">
        <v>179</v>
      </c>
      <c r="D1803" s="11" t="s">
        <v>180</v>
      </c>
      <c r="E1803" s="9" t="str">
        <f>+HYPERLINK("http://trademark.i-assist.jp/data/china/image_1908th/80041408.pdf", "80041408")</f>
        <v>80041408</v>
      </c>
      <c r="F1803" s="11" t="s">
        <v>5115</v>
      </c>
      <c r="G1803" s="11" t="s">
        <v>5116</v>
      </c>
      <c r="H1803" s="11" t="s">
        <v>5117</v>
      </c>
      <c r="I1803" s="11" t="s">
        <v>4816</v>
      </c>
    </row>
    <row r="1804" spans="1:9" x14ac:dyDescent="0.15">
      <c r="A1804" s="10">
        <v>1803</v>
      </c>
      <c r="B1804" s="11" t="s">
        <v>9</v>
      </c>
      <c r="C1804" s="11" t="s">
        <v>179</v>
      </c>
      <c r="D1804" s="11" t="s">
        <v>180</v>
      </c>
      <c r="E1804" s="9" t="str">
        <f>+HYPERLINK("http://trademark.i-assist.jp/data/china/image_1908th/80041706.pdf", "80041706")</f>
        <v>80041706</v>
      </c>
      <c r="F1804" s="11" t="s">
        <v>5118</v>
      </c>
      <c r="G1804" s="11" t="s">
        <v>4425</v>
      </c>
      <c r="H1804" s="11" t="s">
        <v>5119</v>
      </c>
      <c r="I1804" s="11" t="s">
        <v>4816</v>
      </c>
    </row>
    <row r="1805" spans="1:9" x14ac:dyDescent="0.15">
      <c r="A1805" s="10">
        <v>1804</v>
      </c>
      <c r="B1805" s="11" t="s">
        <v>9</v>
      </c>
      <c r="C1805" s="11" t="s">
        <v>179</v>
      </c>
      <c r="D1805" s="11" t="s">
        <v>180</v>
      </c>
      <c r="E1805" s="9" t="str">
        <f>+HYPERLINK("http://trademark.i-assist.jp/data/china/image_1908th/80041826.pdf", "80041826")</f>
        <v>80041826</v>
      </c>
      <c r="F1805" s="11" t="s">
        <v>5120</v>
      </c>
      <c r="G1805" s="11" t="s">
        <v>5121</v>
      </c>
      <c r="H1805" s="11" t="s">
        <v>5122</v>
      </c>
      <c r="I1805" s="11" t="s">
        <v>4816</v>
      </c>
    </row>
    <row r="1806" spans="1:9" x14ac:dyDescent="0.15">
      <c r="A1806" s="10">
        <v>1805</v>
      </c>
      <c r="B1806" s="11" t="s">
        <v>9</v>
      </c>
      <c r="C1806" s="11" t="s">
        <v>179</v>
      </c>
      <c r="D1806" s="11" t="s">
        <v>180</v>
      </c>
      <c r="E1806" s="9" t="str">
        <f>+HYPERLINK("http://trademark.i-assist.jp/data/china/image_1908th/80041884.pdf", "80041884")</f>
        <v>80041884</v>
      </c>
      <c r="F1806" s="11" t="s">
        <v>5123</v>
      </c>
      <c r="G1806" s="11" t="s">
        <v>4848</v>
      </c>
      <c r="H1806" s="11" t="s">
        <v>5124</v>
      </c>
      <c r="I1806" s="11" t="s">
        <v>4816</v>
      </c>
    </row>
    <row r="1807" spans="1:9" x14ac:dyDescent="0.15">
      <c r="A1807" s="10">
        <v>1806</v>
      </c>
      <c r="B1807" s="11" t="s">
        <v>9</v>
      </c>
      <c r="C1807" s="11" t="s">
        <v>179</v>
      </c>
      <c r="D1807" s="11" t="s">
        <v>180</v>
      </c>
      <c r="E1807" s="9" t="str">
        <f>+HYPERLINK("http://trademark.i-assist.jp/data/china/image_1908th/80042030.pdf", "80042030")</f>
        <v>80042030</v>
      </c>
      <c r="F1807" s="11" t="s">
        <v>5125</v>
      </c>
      <c r="G1807" s="11" t="s">
        <v>5126</v>
      </c>
      <c r="H1807" s="11" t="s">
        <v>5127</v>
      </c>
      <c r="I1807" s="11" t="s">
        <v>4816</v>
      </c>
    </row>
    <row r="1808" spans="1:9" x14ac:dyDescent="0.15">
      <c r="A1808" s="10">
        <v>1807</v>
      </c>
      <c r="B1808" s="11" t="s">
        <v>9</v>
      </c>
      <c r="C1808" s="11" t="s">
        <v>179</v>
      </c>
      <c r="D1808" s="11" t="s">
        <v>180</v>
      </c>
      <c r="E1808" s="9" t="str">
        <f>+HYPERLINK("http://trademark.i-assist.jp/data/china/image_1908th/80042158.pdf", "80042158")</f>
        <v>80042158</v>
      </c>
      <c r="F1808" s="11" t="s">
        <v>5128</v>
      </c>
      <c r="G1808" s="11" t="s">
        <v>5129</v>
      </c>
      <c r="H1808" s="11" t="s">
        <v>5130</v>
      </c>
      <c r="I1808" s="11" t="s">
        <v>4816</v>
      </c>
    </row>
    <row r="1809" spans="1:9" x14ac:dyDescent="0.15">
      <c r="A1809" s="10">
        <v>1808</v>
      </c>
      <c r="B1809" s="11" t="s">
        <v>9</v>
      </c>
      <c r="C1809" s="11" t="s">
        <v>179</v>
      </c>
      <c r="D1809" s="11" t="s">
        <v>180</v>
      </c>
      <c r="E1809" s="9" t="str">
        <f>+HYPERLINK("http://trademark.i-assist.jp/data/china/image_1908th/80042171.pdf", "80042171")</f>
        <v>80042171</v>
      </c>
      <c r="F1809" s="11" t="s">
        <v>5131</v>
      </c>
      <c r="G1809" s="11" t="s">
        <v>5132</v>
      </c>
      <c r="H1809" s="11" t="s">
        <v>5133</v>
      </c>
      <c r="I1809" s="11" t="s">
        <v>4816</v>
      </c>
    </row>
    <row r="1810" spans="1:9" x14ac:dyDescent="0.15">
      <c r="A1810" s="10">
        <v>1809</v>
      </c>
      <c r="B1810" s="11" t="s">
        <v>9</v>
      </c>
      <c r="C1810" s="11" t="s">
        <v>179</v>
      </c>
      <c r="D1810" s="11" t="s">
        <v>180</v>
      </c>
      <c r="E1810" s="9" t="str">
        <f>+HYPERLINK("http://trademark.i-assist.jp/data/china/image_1908th/80042294.pdf", "80042294")</f>
        <v>80042294</v>
      </c>
      <c r="F1810" s="11" t="s">
        <v>5134</v>
      </c>
      <c r="G1810" s="11" t="s">
        <v>4848</v>
      </c>
      <c r="H1810" s="11" t="s">
        <v>5135</v>
      </c>
      <c r="I1810" s="11" t="s">
        <v>4816</v>
      </c>
    </row>
    <row r="1811" spans="1:9" x14ac:dyDescent="0.15">
      <c r="A1811" s="10">
        <v>1810</v>
      </c>
      <c r="B1811" s="11" t="s">
        <v>9</v>
      </c>
      <c r="C1811" s="11" t="s">
        <v>179</v>
      </c>
      <c r="D1811" s="11" t="s">
        <v>180</v>
      </c>
      <c r="E1811" s="9" t="str">
        <f>+HYPERLINK("http://trademark.i-assist.jp/data/china/image_1908th/80042297.pdf", "80042297")</f>
        <v>80042297</v>
      </c>
      <c r="F1811" s="11" t="s">
        <v>5136</v>
      </c>
      <c r="G1811" s="11" t="s">
        <v>5137</v>
      </c>
      <c r="H1811" s="11" t="s">
        <v>5138</v>
      </c>
      <c r="I1811" s="11" t="s">
        <v>4816</v>
      </c>
    </row>
    <row r="1812" spans="1:9" x14ac:dyDescent="0.15">
      <c r="A1812" s="10">
        <v>1811</v>
      </c>
      <c r="B1812" s="11" t="s">
        <v>9</v>
      </c>
      <c r="C1812" s="11" t="s">
        <v>179</v>
      </c>
      <c r="D1812" s="11" t="s">
        <v>180</v>
      </c>
      <c r="E1812" s="9" t="str">
        <f>+HYPERLINK("http://trademark.i-assist.jp/data/china/image_1908th/80042511.pdf", "80042511")</f>
        <v>80042511</v>
      </c>
      <c r="F1812" s="11" t="s">
        <v>5139</v>
      </c>
      <c r="G1812" s="11" t="s">
        <v>3831</v>
      </c>
      <c r="H1812" s="11" t="s">
        <v>5140</v>
      </c>
      <c r="I1812" s="11" t="s">
        <v>4598</v>
      </c>
    </row>
    <row r="1813" spans="1:9" x14ac:dyDescent="0.15">
      <c r="A1813" s="10">
        <v>1812</v>
      </c>
      <c r="B1813" s="11" t="s">
        <v>9</v>
      </c>
      <c r="C1813" s="11" t="s">
        <v>179</v>
      </c>
      <c r="D1813" s="11" t="s">
        <v>180</v>
      </c>
      <c r="E1813" s="9" t="str">
        <f>+HYPERLINK("http://trademark.i-assist.jp/data/china/image_1908th/80042862.pdf", "80042862")</f>
        <v>80042862</v>
      </c>
      <c r="F1813" s="11" t="s">
        <v>5141</v>
      </c>
      <c r="G1813" s="11" t="s">
        <v>5142</v>
      </c>
      <c r="H1813" s="11" t="s">
        <v>5143</v>
      </c>
      <c r="I1813" s="11" t="s">
        <v>4816</v>
      </c>
    </row>
    <row r="1814" spans="1:9" x14ac:dyDescent="0.15">
      <c r="A1814" s="10">
        <v>1813</v>
      </c>
      <c r="B1814" s="11" t="s">
        <v>9</v>
      </c>
      <c r="C1814" s="11" t="s">
        <v>179</v>
      </c>
      <c r="D1814" s="11" t="s">
        <v>180</v>
      </c>
      <c r="E1814" s="9" t="str">
        <f>+HYPERLINK("http://trademark.i-assist.jp/data/china/image_1908th/80042939.pdf", "80042939")</f>
        <v>80042939</v>
      </c>
      <c r="F1814" s="11" t="s">
        <v>5144</v>
      </c>
      <c r="G1814" s="11" t="s">
        <v>5145</v>
      </c>
      <c r="H1814" s="11" t="s">
        <v>5146</v>
      </c>
      <c r="I1814" s="11" t="s">
        <v>4816</v>
      </c>
    </row>
    <row r="1815" spans="1:9" x14ac:dyDescent="0.15">
      <c r="A1815" s="10">
        <v>1814</v>
      </c>
      <c r="B1815" s="11" t="s">
        <v>9</v>
      </c>
      <c r="C1815" s="11" t="s">
        <v>179</v>
      </c>
      <c r="D1815" s="11" t="s">
        <v>180</v>
      </c>
      <c r="E1815" s="9" t="str">
        <f>+HYPERLINK("http://trademark.i-assist.jp/data/china/image_1908th/80043186.pdf", "80043186")</f>
        <v>80043186</v>
      </c>
      <c r="F1815" s="11" t="s">
        <v>5147</v>
      </c>
      <c r="G1815" s="11" t="s">
        <v>5148</v>
      </c>
      <c r="H1815" s="11" t="s">
        <v>5149</v>
      </c>
      <c r="I1815" s="11" t="s">
        <v>4816</v>
      </c>
    </row>
    <row r="1816" spans="1:9" x14ac:dyDescent="0.15">
      <c r="A1816" s="10">
        <v>1815</v>
      </c>
      <c r="B1816" s="11" t="s">
        <v>9</v>
      </c>
      <c r="C1816" s="11" t="s">
        <v>179</v>
      </c>
      <c r="D1816" s="11" t="s">
        <v>180</v>
      </c>
      <c r="E1816" s="9" t="str">
        <f>+HYPERLINK("http://trademark.i-assist.jp/data/china/image_1908th/80043256.pdf", "80043256")</f>
        <v>80043256</v>
      </c>
      <c r="F1816" s="11" t="s">
        <v>5150</v>
      </c>
      <c r="G1816" s="11" t="s">
        <v>5151</v>
      </c>
      <c r="H1816" s="11" t="s">
        <v>5152</v>
      </c>
      <c r="I1816" s="11" t="s">
        <v>4816</v>
      </c>
    </row>
    <row r="1817" spans="1:9" x14ac:dyDescent="0.15">
      <c r="A1817" s="10">
        <v>1816</v>
      </c>
      <c r="B1817" s="11" t="s">
        <v>9</v>
      </c>
      <c r="C1817" s="11" t="s">
        <v>179</v>
      </c>
      <c r="D1817" s="11" t="s">
        <v>180</v>
      </c>
      <c r="E1817" s="9" t="str">
        <f>+HYPERLINK("http://trademark.i-assist.jp/data/china/image_1908th/80043392.pdf", "80043392")</f>
        <v>80043392</v>
      </c>
      <c r="F1817" s="11" t="s">
        <v>5153</v>
      </c>
      <c r="G1817" s="11" t="s">
        <v>5154</v>
      </c>
      <c r="H1817" s="11" t="s">
        <v>5155</v>
      </c>
      <c r="I1817" s="11" t="s">
        <v>4816</v>
      </c>
    </row>
    <row r="1818" spans="1:9" x14ac:dyDescent="0.15">
      <c r="A1818" s="10">
        <v>1817</v>
      </c>
      <c r="B1818" s="11" t="s">
        <v>9</v>
      </c>
      <c r="C1818" s="11" t="s">
        <v>179</v>
      </c>
      <c r="D1818" s="11" t="s">
        <v>180</v>
      </c>
      <c r="E1818" s="9" t="str">
        <f>+HYPERLINK("http://trademark.i-assist.jp/data/china/image_1908th/80043426.pdf", "80043426")</f>
        <v>80043426</v>
      </c>
      <c r="F1818" s="11" t="s">
        <v>5156</v>
      </c>
      <c r="G1818" s="11" t="s">
        <v>4848</v>
      </c>
      <c r="H1818" s="11" t="s">
        <v>5157</v>
      </c>
      <c r="I1818" s="11" t="s">
        <v>4816</v>
      </c>
    </row>
    <row r="1819" spans="1:9" x14ac:dyDescent="0.15">
      <c r="A1819" s="10">
        <v>1818</v>
      </c>
      <c r="B1819" s="11" t="s">
        <v>9</v>
      </c>
      <c r="C1819" s="11" t="s">
        <v>179</v>
      </c>
      <c r="D1819" s="11" t="s">
        <v>180</v>
      </c>
      <c r="E1819" s="9" t="str">
        <f>+HYPERLINK("http://trademark.i-assist.jp/data/china/image_1908th/80043546.pdf", "80043546")</f>
        <v>80043546</v>
      </c>
      <c r="F1819" s="11" t="s">
        <v>5158</v>
      </c>
      <c r="G1819" s="11" t="s">
        <v>5159</v>
      </c>
      <c r="H1819" s="11" t="s">
        <v>5160</v>
      </c>
      <c r="I1819" s="11" t="s">
        <v>4816</v>
      </c>
    </row>
    <row r="1820" spans="1:9" x14ac:dyDescent="0.15">
      <c r="A1820" s="10">
        <v>1819</v>
      </c>
      <c r="B1820" s="11" t="s">
        <v>9</v>
      </c>
      <c r="C1820" s="11" t="s">
        <v>179</v>
      </c>
      <c r="D1820" s="11" t="s">
        <v>180</v>
      </c>
      <c r="E1820" s="9" t="str">
        <f>+HYPERLINK("http://trademark.i-assist.jp/data/china/image_1908th/80043730.pdf", "80043730")</f>
        <v>80043730</v>
      </c>
      <c r="F1820" s="11" t="s">
        <v>5161</v>
      </c>
      <c r="G1820" s="11" t="s">
        <v>5162</v>
      </c>
      <c r="H1820" s="11" t="s">
        <v>5163</v>
      </c>
      <c r="I1820" s="11" t="s">
        <v>4816</v>
      </c>
    </row>
    <row r="1821" spans="1:9" x14ac:dyDescent="0.15">
      <c r="A1821" s="10">
        <v>1820</v>
      </c>
      <c r="B1821" s="11" t="s">
        <v>9</v>
      </c>
      <c r="C1821" s="11" t="s">
        <v>179</v>
      </c>
      <c r="D1821" s="11" t="s">
        <v>180</v>
      </c>
      <c r="E1821" s="9" t="str">
        <f>+HYPERLINK("http://trademark.i-assist.jp/data/china/image_1908th/80043737.pdf", "80043737")</f>
        <v>80043737</v>
      </c>
      <c r="F1821" s="11" t="s">
        <v>5164</v>
      </c>
      <c r="G1821" s="11" t="s">
        <v>174</v>
      </c>
      <c r="H1821" s="11" t="s">
        <v>5165</v>
      </c>
      <c r="I1821" s="11" t="s">
        <v>4816</v>
      </c>
    </row>
    <row r="1822" spans="1:9" x14ac:dyDescent="0.15">
      <c r="A1822" s="10">
        <v>1821</v>
      </c>
      <c r="B1822" s="11" t="s">
        <v>9</v>
      </c>
      <c r="C1822" s="11" t="s">
        <v>179</v>
      </c>
      <c r="D1822" s="11" t="s">
        <v>180</v>
      </c>
      <c r="E1822" s="9" t="str">
        <f>+HYPERLINK("http://trademark.i-assist.jp/data/china/image_1908th/80043767.pdf", "80043767")</f>
        <v>80043767</v>
      </c>
      <c r="F1822" s="11" t="s">
        <v>5166</v>
      </c>
      <c r="G1822" s="11" t="s">
        <v>5167</v>
      </c>
      <c r="H1822" s="11" t="s">
        <v>5168</v>
      </c>
      <c r="I1822" s="11" t="s">
        <v>4816</v>
      </c>
    </row>
    <row r="1823" spans="1:9" x14ac:dyDescent="0.15">
      <c r="A1823" s="10">
        <v>1822</v>
      </c>
      <c r="B1823" s="11" t="s">
        <v>9</v>
      </c>
      <c r="C1823" s="11" t="s">
        <v>179</v>
      </c>
      <c r="D1823" s="11" t="s">
        <v>180</v>
      </c>
      <c r="E1823" s="9" t="str">
        <f>+HYPERLINK("http://trademark.i-assist.jp/data/china/image_1908th/80043787.pdf", "80043787")</f>
        <v>80043787</v>
      </c>
      <c r="F1823" s="11" t="s">
        <v>5169</v>
      </c>
      <c r="G1823" s="11" t="s">
        <v>5129</v>
      </c>
      <c r="H1823" s="11" t="s">
        <v>5170</v>
      </c>
      <c r="I1823" s="11" t="s">
        <v>4816</v>
      </c>
    </row>
    <row r="1824" spans="1:9" x14ac:dyDescent="0.15">
      <c r="A1824" s="10">
        <v>1823</v>
      </c>
      <c r="B1824" s="11" t="s">
        <v>9</v>
      </c>
      <c r="C1824" s="11" t="s">
        <v>179</v>
      </c>
      <c r="D1824" s="11" t="s">
        <v>180</v>
      </c>
      <c r="E1824" s="9" t="str">
        <f>+HYPERLINK("http://trademark.i-assist.jp/data/china/image_1908th/80043930.pdf", "80043930")</f>
        <v>80043930</v>
      </c>
      <c r="F1824" s="11" t="s">
        <v>5171</v>
      </c>
      <c r="G1824" s="11" t="s">
        <v>5172</v>
      </c>
      <c r="H1824" s="11" t="s">
        <v>5173</v>
      </c>
      <c r="I1824" s="11" t="s">
        <v>4816</v>
      </c>
    </row>
    <row r="1825" spans="1:9" x14ac:dyDescent="0.15">
      <c r="A1825" s="10">
        <v>1824</v>
      </c>
      <c r="B1825" s="11" t="s">
        <v>9</v>
      </c>
      <c r="C1825" s="11" t="s">
        <v>179</v>
      </c>
      <c r="D1825" s="11" t="s">
        <v>180</v>
      </c>
      <c r="E1825" s="9" t="str">
        <f>+HYPERLINK("http://trademark.i-assist.jp/data/china/image_1908th/80044058.pdf", "80044058")</f>
        <v>80044058</v>
      </c>
      <c r="F1825" s="11" t="s">
        <v>5174</v>
      </c>
      <c r="G1825" s="11" t="s">
        <v>5175</v>
      </c>
      <c r="H1825" s="11" t="s">
        <v>5176</v>
      </c>
      <c r="I1825" s="11" t="s">
        <v>4816</v>
      </c>
    </row>
    <row r="1826" spans="1:9" x14ac:dyDescent="0.15">
      <c r="A1826" s="10">
        <v>1825</v>
      </c>
      <c r="B1826" s="11" t="s">
        <v>9</v>
      </c>
      <c r="C1826" s="11" t="s">
        <v>179</v>
      </c>
      <c r="D1826" s="11" t="s">
        <v>180</v>
      </c>
      <c r="E1826" s="9" t="str">
        <f>+HYPERLINK("http://trademark.i-assist.jp/data/china/image_1908th/80044139.pdf", "80044139")</f>
        <v>80044139</v>
      </c>
      <c r="F1826" s="11" t="s">
        <v>5177</v>
      </c>
      <c r="G1826" s="11" t="s">
        <v>5178</v>
      </c>
      <c r="H1826" s="11" t="s">
        <v>5179</v>
      </c>
      <c r="I1826" s="11" t="s">
        <v>4816</v>
      </c>
    </row>
    <row r="1827" spans="1:9" x14ac:dyDescent="0.15">
      <c r="A1827" s="10">
        <v>1826</v>
      </c>
      <c r="B1827" s="11" t="s">
        <v>9</v>
      </c>
      <c r="C1827" s="11" t="s">
        <v>179</v>
      </c>
      <c r="D1827" s="11" t="s">
        <v>180</v>
      </c>
      <c r="E1827" s="9" t="str">
        <f>+HYPERLINK("http://trademark.i-assist.jp/data/china/image_1908th/80044140.pdf", "80044140")</f>
        <v>80044140</v>
      </c>
      <c r="F1827" s="11" t="s">
        <v>5180</v>
      </c>
      <c r="G1827" s="11" t="s">
        <v>5129</v>
      </c>
      <c r="H1827" s="11" t="s">
        <v>5181</v>
      </c>
      <c r="I1827" s="11" t="s">
        <v>4816</v>
      </c>
    </row>
    <row r="1828" spans="1:9" x14ac:dyDescent="0.15">
      <c r="A1828" s="10">
        <v>1827</v>
      </c>
      <c r="B1828" s="11" t="s">
        <v>9</v>
      </c>
      <c r="C1828" s="11" t="s">
        <v>179</v>
      </c>
      <c r="D1828" s="11" t="s">
        <v>180</v>
      </c>
      <c r="E1828" s="9" t="str">
        <f>+HYPERLINK("http://trademark.i-assist.jp/data/china/image_1908th/80044152.pdf", "80044152")</f>
        <v>80044152</v>
      </c>
      <c r="F1828" s="11" t="s">
        <v>5182</v>
      </c>
      <c r="G1828" s="11" t="s">
        <v>5132</v>
      </c>
      <c r="H1828" s="11" t="s">
        <v>5183</v>
      </c>
      <c r="I1828" s="11" t="s">
        <v>4816</v>
      </c>
    </row>
    <row r="1829" spans="1:9" x14ac:dyDescent="0.15">
      <c r="A1829" s="10">
        <v>1828</v>
      </c>
      <c r="B1829" s="11" t="s">
        <v>9</v>
      </c>
      <c r="C1829" s="11" t="s">
        <v>179</v>
      </c>
      <c r="D1829" s="11" t="s">
        <v>180</v>
      </c>
      <c r="E1829" s="9" t="str">
        <f>+HYPERLINK("http://trademark.i-assist.jp/data/china/image_1908th/80044157.pdf", "80044157")</f>
        <v>80044157</v>
      </c>
      <c r="F1829" s="11" t="s">
        <v>5184</v>
      </c>
      <c r="G1829" s="11" t="s">
        <v>5185</v>
      </c>
      <c r="H1829" s="11" t="s">
        <v>5186</v>
      </c>
      <c r="I1829" s="11" t="s">
        <v>4816</v>
      </c>
    </row>
    <row r="1830" spans="1:9" x14ac:dyDescent="0.15">
      <c r="A1830" s="10">
        <v>1829</v>
      </c>
      <c r="B1830" s="11" t="s">
        <v>9</v>
      </c>
      <c r="C1830" s="11" t="s">
        <v>179</v>
      </c>
      <c r="D1830" s="11" t="s">
        <v>180</v>
      </c>
      <c r="E1830" s="9" t="str">
        <f>+HYPERLINK("http://trademark.i-assist.jp/data/china/image_1908th/80044228.pdf", "80044228")</f>
        <v>80044228</v>
      </c>
      <c r="F1830" s="11" t="s">
        <v>5187</v>
      </c>
      <c r="G1830" s="11" t="s">
        <v>5142</v>
      </c>
      <c r="H1830" s="11" t="s">
        <v>5188</v>
      </c>
      <c r="I1830" s="11" t="s">
        <v>4816</v>
      </c>
    </row>
    <row r="1831" spans="1:9" x14ac:dyDescent="0.15">
      <c r="A1831" s="10">
        <v>1830</v>
      </c>
      <c r="B1831" s="11" t="s">
        <v>9</v>
      </c>
      <c r="C1831" s="11" t="s">
        <v>179</v>
      </c>
      <c r="D1831" s="11" t="s">
        <v>180</v>
      </c>
      <c r="E1831" s="9" t="str">
        <f>+HYPERLINK("http://trademark.i-assist.jp/data/china/image_1908th/80044498.pdf", "80044498")</f>
        <v>80044498</v>
      </c>
      <c r="F1831" s="11" t="s">
        <v>5189</v>
      </c>
      <c r="G1831" s="11" t="s">
        <v>5190</v>
      </c>
      <c r="H1831" s="11" t="s">
        <v>5191</v>
      </c>
      <c r="I1831" s="11" t="s">
        <v>5192</v>
      </c>
    </row>
    <row r="1832" spans="1:9" x14ac:dyDescent="0.15">
      <c r="A1832" s="10">
        <v>1831</v>
      </c>
      <c r="B1832" s="11" t="s">
        <v>9</v>
      </c>
      <c r="C1832" s="11" t="s">
        <v>179</v>
      </c>
      <c r="D1832" s="11" t="s">
        <v>180</v>
      </c>
      <c r="E1832" s="9" t="str">
        <f>+HYPERLINK("http://trademark.i-assist.jp/data/china/image_1908th/80044550.pdf", "80044550")</f>
        <v>80044550</v>
      </c>
      <c r="F1832" s="11" t="s">
        <v>5193</v>
      </c>
      <c r="G1832" s="11" t="s">
        <v>5194</v>
      </c>
      <c r="H1832" s="11" t="s">
        <v>13</v>
      </c>
      <c r="I1832" s="11" t="s">
        <v>5192</v>
      </c>
    </row>
    <row r="1833" spans="1:9" x14ac:dyDescent="0.15">
      <c r="A1833" s="10">
        <v>1832</v>
      </c>
      <c r="B1833" s="11" t="s">
        <v>9</v>
      </c>
      <c r="C1833" s="11" t="s">
        <v>179</v>
      </c>
      <c r="D1833" s="11" t="s">
        <v>180</v>
      </c>
      <c r="E1833" s="9" t="str">
        <f>+HYPERLINK("http://trademark.i-assist.jp/data/china/image_1908th/80044722.pdf", "80044722")</f>
        <v>80044722</v>
      </c>
      <c r="F1833" s="11" t="s">
        <v>5195</v>
      </c>
      <c r="G1833" s="11" t="s">
        <v>5196</v>
      </c>
      <c r="H1833" s="11" t="s">
        <v>5197</v>
      </c>
      <c r="I1833" s="11" t="s">
        <v>5192</v>
      </c>
    </row>
    <row r="1834" spans="1:9" x14ac:dyDescent="0.15">
      <c r="A1834" s="10">
        <v>1833</v>
      </c>
      <c r="B1834" s="11" t="s">
        <v>9</v>
      </c>
      <c r="C1834" s="11" t="s">
        <v>179</v>
      </c>
      <c r="D1834" s="11" t="s">
        <v>180</v>
      </c>
      <c r="E1834" s="9" t="str">
        <f>+HYPERLINK("http://trademark.i-assist.jp/data/china/image_1908th/80044805.pdf", "80044805")</f>
        <v>80044805</v>
      </c>
      <c r="F1834" s="11" t="s">
        <v>5198</v>
      </c>
      <c r="G1834" s="11" t="s">
        <v>5199</v>
      </c>
      <c r="H1834" s="11" t="s">
        <v>5200</v>
      </c>
      <c r="I1834" s="11" t="s">
        <v>5192</v>
      </c>
    </row>
    <row r="1835" spans="1:9" x14ac:dyDescent="0.15">
      <c r="A1835" s="10">
        <v>1834</v>
      </c>
      <c r="B1835" s="11" t="s">
        <v>9</v>
      </c>
      <c r="C1835" s="11" t="s">
        <v>179</v>
      </c>
      <c r="D1835" s="11" t="s">
        <v>180</v>
      </c>
      <c r="E1835" s="9" t="str">
        <f>+HYPERLINK("http://trademark.i-assist.jp/data/china/image_1908th/80044814.pdf", "80044814")</f>
        <v>80044814</v>
      </c>
      <c r="F1835" s="11" t="s">
        <v>10</v>
      </c>
      <c r="G1835" s="11" t="s">
        <v>5201</v>
      </c>
      <c r="H1835" s="11" t="s">
        <v>5202</v>
      </c>
      <c r="I1835" s="11" t="s">
        <v>5192</v>
      </c>
    </row>
    <row r="1836" spans="1:9" x14ac:dyDescent="0.15">
      <c r="A1836" s="10">
        <v>1835</v>
      </c>
      <c r="B1836" s="11" t="s">
        <v>9</v>
      </c>
      <c r="C1836" s="11" t="s">
        <v>179</v>
      </c>
      <c r="D1836" s="11" t="s">
        <v>180</v>
      </c>
      <c r="E1836" s="9" t="str">
        <f>+HYPERLINK("http://trademark.i-assist.jp/data/china/image_1908th/80044838.pdf", "80044838")</f>
        <v>80044838</v>
      </c>
      <c r="F1836" s="11" t="s">
        <v>5203</v>
      </c>
      <c r="G1836" s="11" t="s">
        <v>5204</v>
      </c>
      <c r="H1836" s="11" t="s">
        <v>5205</v>
      </c>
      <c r="I1836" s="11" t="s">
        <v>5192</v>
      </c>
    </row>
    <row r="1837" spans="1:9" x14ac:dyDescent="0.15">
      <c r="A1837" s="10">
        <v>1836</v>
      </c>
      <c r="B1837" s="11" t="s">
        <v>9</v>
      </c>
      <c r="C1837" s="11" t="s">
        <v>179</v>
      </c>
      <c r="D1837" s="11" t="s">
        <v>180</v>
      </c>
      <c r="E1837" s="9" t="str">
        <f>+HYPERLINK("http://trademark.i-assist.jp/data/china/image_1908th/80044860.pdf", "80044860")</f>
        <v>80044860</v>
      </c>
      <c r="F1837" s="11" t="s">
        <v>5206</v>
      </c>
      <c r="G1837" s="11" t="s">
        <v>5207</v>
      </c>
      <c r="H1837" s="11" t="s">
        <v>5208</v>
      </c>
      <c r="I1837" s="11" t="s">
        <v>5192</v>
      </c>
    </row>
    <row r="1838" spans="1:9" x14ac:dyDescent="0.15">
      <c r="A1838" s="10">
        <v>1837</v>
      </c>
      <c r="B1838" s="11" t="s">
        <v>9</v>
      </c>
      <c r="C1838" s="11" t="s">
        <v>179</v>
      </c>
      <c r="D1838" s="11" t="s">
        <v>180</v>
      </c>
      <c r="E1838" s="9" t="str">
        <f>+HYPERLINK("http://trademark.i-assist.jp/data/china/image_1908th/80044919.pdf", "80044919")</f>
        <v>80044919</v>
      </c>
      <c r="F1838" s="11" t="s">
        <v>5209</v>
      </c>
      <c r="G1838" s="11" t="s">
        <v>5210</v>
      </c>
      <c r="H1838" s="11" t="s">
        <v>5211</v>
      </c>
      <c r="I1838" s="11" t="s">
        <v>5192</v>
      </c>
    </row>
    <row r="1839" spans="1:9" x14ac:dyDescent="0.15">
      <c r="A1839" s="10">
        <v>1838</v>
      </c>
      <c r="B1839" s="11" t="s">
        <v>9</v>
      </c>
      <c r="C1839" s="11" t="s">
        <v>179</v>
      </c>
      <c r="D1839" s="11" t="s">
        <v>180</v>
      </c>
      <c r="E1839" s="9" t="str">
        <f>+HYPERLINK("http://trademark.i-assist.jp/data/china/image_1908th/80045006.pdf", "80045006")</f>
        <v>80045006</v>
      </c>
      <c r="F1839" s="11" t="s">
        <v>5212</v>
      </c>
      <c r="G1839" s="11" t="s">
        <v>5213</v>
      </c>
      <c r="H1839" s="11" t="s">
        <v>5214</v>
      </c>
      <c r="I1839" s="11" t="s">
        <v>5192</v>
      </c>
    </row>
    <row r="1840" spans="1:9" x14ac:dyDescent="0.15">
      <c r="A1840" s="10">
        <v>1839</v>
      </c>
      <c r="B1840" s="11" t="s">
        <v>9</v>
      </c>
      <c r="C1840" s="11" t="s">
        <v>179</v>
      </c>
      <c r="D1840" s="11" t="s">
        <v>180</v>
      </c>
      <c r="E1840" s="9" t="str">
        <f>+HYPERLINK("http://trademark.i-assist.jp/data/china/image_1908th/80045023.pdf", "80045023")</f>
        <v>80045023</v>
      </c>
      <c r="F1840" s="11" t="s">
        <v>5215</v>
      </c>
      <c r="G1840" s="11" t="s">
        <v>5216</v>
      </c>
      <c r="H1840" s="11" t="s">
        <v>5217</v>
      </c>
      <c r="I1840" s="11" t="s">
        <v>5192</v>
      </c>
    </row>
    <row r="1841" spans="1:9" x14ac:dyDescent="0.15">
      <c r="A1841" s="10">
        <v>1840</v>
      </c>
      <c r="B1841" s="11" t="s">
        <v>9</v>
      </c>
      <c r="C1841" s="11" t="s">
        <v>179</v>
      </c>
      <c r="D1841" s="11" t="s">
        <v>180</v>
      </c>
      <c r="E1841" s="9" t="str">
        <f>+HYPERLINK("http://trademark.i-assist.jp/data/china/image_1908th/80045025.pdf", "80045025")</f>
        <v>80045025</v>
      </c>
      <c r="F1841" s="11" t="s">
        <v>5218</v>
      </c>
      <c r="G1841" s="11" t="s">
        <v>5219</v>
      </c>
      <c r="H1841" s="11" t="s">
        <v>5220</v>
      </c>
      <c r="I1841" s="11" t="s">
        <v>5192</v>
      </c>
    </row>
    <row r="1842" spans="1:9" x14ac:dyDescent="0.15">
      <c r="A1842" s="10">
        <v>1841</v>
      </c>
      <c r="B1842" s="11" t="s">
        <v>9</v>
      </c>
      <c r="C1842" s="11" t="s">
        <v>179</v>
      </c>
      <c r="D1842" s="11" t="s">
        <v>180</v>
      </c>
      <c r="E1842" s="9" t="str">
        <f>+HYPERLINK("http://trademark.i-assist.jp/data/china/image_1908th/80045051.pdf", "80045051")</f>
        <v>80045051</v>
      </c>
      <c r="F1842" s="11" t="s">
        <v>5221</v>
      </c>
      <c r="G1842" s="11" t="s">
        <v>3831</v>
      </c>
      <c r="H1842" s="11" t="s">
        <v>5222</v>
      </c>
      <c r="I1842" s="11" t="s">
        <v>5192</v>
      </c>
    </row>
    <row r="1843" spans="1:9" x14ac:dyDescent="0.15">
      <c r="A1843" s="10">
        <v>1842</v>
      </c>
      <c r="B1843" s="11" t="s">
        <v>9</v>
      </c>
      <c r="C1843" s="11" t="s">
        <v>179</v>
      </c>
      <c r="D1843" s="11" t="s">
        <v>180</v>
      </c>
      <c r="E1843" s="9" t="str">
        <f>+HYPERLINK("http://trademark.i-assist.jp/data/china/image_1908th/80045194.pdf", "80045194")</f>
        <v>80045194</v>
      </c>
      <c r="F1843" s="11" t="s">
        <v>5223</v>
      </c>
      <c r="G1843" s="11" t="s">
        <v>5224</v>
      </c>
      <c r="H1843" s="11" t="s">
        <v>5225</v>
      </c>
      <c r="I1843" s="11" t="s">
        <v>5192</v>
      </c>
    </row>
    <row r="1844" spans="1:9" x14ac:dyDescent="0.15">
      <c r="A1844" s="10">
        <v>1843</v>
      </c>
      <c r="B1844" s="11" t="s">
        <v>9</v>
      </c>
      <c r="C1844" s="11" t="s">
        <v>179</v>
      </c>
      <c r="D1844" s="11" t="s">
        <v>180</v>
      </c>
      <c r="E1844" s="9" t="str">
        <f>+HYPERLINK("http://trademark.i-assist.jp/data/china/image_1908th/80045242.pdf", "80045242")</f>
        <v>80045242</v>
      </c>
      <c r="F1844" s="11" t="s">
        <v>5226</v>
      </c>
      <c r="G1844" s="11" t="s">
        <v>5227</v>
      </c>
      <c r="H1844" s="11" t="s">
        <v>5228</v>
      </c>
      <c r="I1844" s="11" t="s">
        <v>5192</v>
      </c>
    </row>
    <row r="1845" spans="1:9" x14ac:dyDescent="0.15">
      <c r="A1845" s="10">
        <v>1844</v>
      </c>
      <c r="B1845" s="11" t="s">
        <v>9</v>
      </c>
      <c r="C1845" s="11" t="s">
        <v>179</v>
      </c>
      <c r="D1845" s="11" t="s">
        <v>180</v>
      </c>
      <c r="E1845" s="9" t="str">
        <f>+HYPERLINK("http://trademark.i-assist.jp/data/china/image_1908th/80045246.pdf", "80045246")</f>
        <v>80045246</v>
      </c>
      <c r="F1845" s="11" t="s">
        <v>5229</v>
      </c>
      <c r="G1845" s="11" t="s">
        <v>5230</v>
      </c>
      <c r="H1845" s="11" t="s">
        <v>5231</v>
      </c>
      <c r="I1845" s="11" t="s">
        <v>5192</v>
      </c>
    </row>
    <row r="1846" spans="1:9" x14ac:dyDescent="0.15">
      <c r="A1846" s="10">
        <v>1845</v>
      </c>
      <c r="B1846" s="11" t="s">
        <v>9</v>
      </c>
      <c r="C1846" s="11" t="s">
        <v>179</v>
      </c>
      <c r="D1846" s="11" t="s">
        <v>180</v>
      </c>
      <c r="E1846" s="9" t="str">
        <f>+HYPERLINK("http://trademark.i-assist.jp/data/china/image_1908th/80045287.pdf", "80045287")</f>
        <v>80045287</v>
      </c>
      <c r="F1846" s="11" t="s">
        <v>5232</v>
      </c>
      <c r="G1846" s="11" t="s">
        <v>5233</v>
      </c>
      <c r="H1846" s="11" t="s">
        <v>5234</v>
      </c>
      <c r="I1846" s="11" t="s">
        <v>5192</v>
      </c>
    </row>
    <row r="1847" spans="1:9" x14ac:dyDescent="0.15">
      <c r="A1847" s="10">
        <v>1846</v>
      </c>
      <c r="B1847" s="11" t="s">
        <v>9</v>
      </c>
      <c r="C1847" s="11" t="s">
        <v>179</v>
      </c>
      <c r="D1847" s="11" t="s">
        <v>180</v>
      </c>
      <c r="E1847" s="9" t="str">
        <f>+HYPERLINK("http://trademark.i-assist.jp/data/china/image_1908th/80045440.pdf", "80045440")</f>
        <v>80045440</v>
      </c>
      <c r="F1847" s="11" t="s">
        <v>5235</v>
      </c>
      <c r="G1847" s="11" t="s">
        <v>5236</v>
      </c>
      <c r="H1847" s="11" t="s">
        <v>5237</v>
      </c>
      <c r="I1847" s="11" t="s">
        <v>5192</v>
      </c>
    </row>
    <row r="1848" spans="1:9" x14ac:dyDescent="0.15">
      <c r="A1848" s="10">
        <v>1847</v>
      </c>
      <c r="B1848" s="11" t="s">
        <v>9</v>
      </c>
      <c r="C1848" s="11" t="s">
        <v>179</v>
      </c>
      <c r="D1848" s="11" t="s">
        <v>180</v>
      </c>
      <c r="E1848" s="9" t="str">
        <f>+HYPERLINK("http://trademark.i-assist.jp/data/china/image_1908th/80045458.pdf", "80045458")</f>
        <v>80045458</v>
      </c>
      <c r="F1848" s="11" t="s">
        <v>5238</v>
      </c>
      <c r="G1848" s="11" t="s">
        <v>5239</v>
      </c>
      <c r="H1848" s="11" t="s">
        <v>5240</v>
      </c>
      <c r="I1848" s="11" t="s">
        <v>5192</v>
      </c>
    </row>
    <row r="1849" spans="1:9" x14ac:dyDescent="0.15">
      <c r="A1849" s="10">
        <v>1848</v>
      </c>
      <c r="B1849" s="11" t="s">
        <v>9</v>
      </c>
      <c r="C1849" s="11" t="s">
        <v>179</v>
      </c>
      <c r="D1849" s="11" t="s">
        <v>180</v>
      </c>
      <c r="E1849" s="9" t="str">
        <f>+HYPERLINK("http://trademark.i-assist.jp/data/china/image_1908th/80045559.pdf", "80045559")</f>
        <v>80045559</v>
      </c>
      <c r="F1849" s="11" t="s">
        <v>5241</v>
      </c>
      <c r="G1849" s="11" t="s">
        <v>5242</v>
      </c>
      <c r="H1849" s="11" t="s">
        <v>5243</v>
      </c>
      <c r="I1849" s="11" t="s">
        <v>5192</v>
      </c>
    </row>
    <row r="1850" spans="1:9" x14ac:dyDescent="0.15">
      <c r="A1850" s="10">
        <v>1849</v>
      </c>
      <c r="B1850" s="11" t="s">
        <v>9</v>
      </c>
      <c r="C1850" s="11" t="s">
        <v>179</v>
      </c>
      <c r="D1850" s="11" t="s">
        <v>180</v>
      </c>
      <c r="E1850" s="9" t="str">
        <f>+HYPERLINK("http://trademark.i-assist.jp/data/china/image_1908th/80045581.pdf", "80045581")</f>
        <v>80045581</v>
      </c>
      <c r="F1850" s="11" t="s">
        <v>5244</v>
      </c>
      <c r="G1850" s="11" t="s">
        <v>5245</v>
      </c>
      <c r="H1850" s="11" t="s">
        <v>5246</v>
      </c>
      <c r="I1850" s="11" t="s">
        <v>5192</v>
      </c>
    </row>
    <row r="1851" spans="1:9" x14ac:dyDescent="0.15">
      <c r="A1851" s="10">
        <v>1850</v>
      </c>
      <c r="B1851" s="11" t="s">
        <v>9</v>
      </c>
      <c r="C1851" s="11" t="s">
        <v>179</v>
      </c>
      <c r="D1851" s="11" t="s">
        <v>180</v>
      </c>
      <c r="E1851" s="9" t="str">
        <f>+HYPERLINK("http://trademark.i-assist.jp/data/china/image_1908th/80045592.pdf", "80045592")</f>
        <v>80045592</v>
      </c>
      <c r="F1851" s="11" t="s">
        <v>5247</v>
      </c>
      <c r="G1851" s="11" t="s">
        <v>5248</v>
      </c>
      <c r="H1851" s="11" t="s">
        <v>5249</v>
      </c>
      <c r="I1851" s="11" t="s">
        <v>5192</v>
      </c>
    </row>
    <row r="1852" spans="1:9" x14ac:dyDescent="0.15">
      <c r="A1852" s="10">
        <v>1851</v>
      </c>
      <c r="B1852" s="11" t="s">
        <v>9</v>
      </c>
      <c r="C1852" s="11" t="s">
        <v>179</v>
      </c>
      <c r="D1852" s="11" t="s">
        <v>180</v>
      </c>
      <c r="E1852" s="9" t="str">
        <f>+HYPERLINK("http://trademark.i-assist.jp/data/china/image_1908th/80045672.pdf", "80045672")</f>
        <v>80045672</v>
      </c>
      <c r="F1852" s="11" t="s">
        <v>5250</v>
      </c>
      <c r="G1852" s="11" t="s">
        <v>5251</v>
      </c>
      <c r="H1852" s="11" t="s">
        <v>5252</v>
      </c>
      <c r="I1852" s="11" t="s">
        <v>5192</v>
      </c>
    </row>
    <row r="1853" spans="1:9" x14ac:dyDescent="0.15">
      <c r="A1853" s="10">
        <v>1852</v>
      </c>
      <c r="B1853" s="11" t="s">
        <v>9</v>
      </c>
      <c r="C1853" s="11" t="s">
        <v>179</v>
      </c>
      <c r="D1853" s="11" t="s">
        <v>180</v>
      </c>
      <c r="E1853" s="9" t="str">
        <f>+HYPERLINK("http://trademark.i-assist.jp/data/china/image_1908th/80045675.pdf", "80045675")</f>
        <v>80045675</v>
      </c>
      <c r="F1853" s="11" t="s">
        <v>5253</v>
      </c>
      <c r="G1853" s="11" t="s">
        <v>5254</v>
      </c>
      <c r="H1853" s="11" t="s">
        <v>5255</v>
      </c>
      <c r="I1853" s="11" t="s">
        <v>5192</v>
      </c>
    </row>
    <row r="1854" spans="1:9" x14ac:dyDescent="0.15">
      <c r="A1854" s="10">
        <v>1853</v>
      </c>
      <c r="B1854" s="11" t="s">
        <v>9</v>
      </c>
      <c r="C1854" s="11" t="s">
        <v>179</v>
      </c>
      <c r="D1854" s="11" t="s">
        <v>180</v>
      </c>
      <c r="E1854" s="9" t="str">
        <f>+HYPERLINK("http://trademark.i-assist.jp/data/china/image_1908th/80045714.pdf", "80045714")</f>
        <v>80045714</v>
      </c>
      <c r="F1854" s="11" t="s">
        <v>5256</v>
      </c>
      <c r="G1854" s="11" t="s">
        <v>5257</v>
      </c>
      <c r="H1854" s="11" t="s">
        <v>5258</v>
      </c>
      <c r="I1854" s="11" t="s">
        <v>5192</v>
      </c>
    </row>
    <row r="1855" spans="1:9" x14ac:dyDescent="0.15">
      <c r="A1855" s="10">
        <v>1854</v>
      </c>
      <c r="B1855" s="11" t="s">
        <v>9</v>
      </c>
      <c r="C1855" s="11" t="s">
        <v>179</v>
      </c>
      <c r="D1855" s="11" t="s">
        <v>180</v>
      </c>
      <c r="E1855" s="9" t="str">
        <f>+HYPERLINK("http://trademark.i-assist.jp/data/china/image_1908th/80045884.pdf", "80045884")</f>
        <v>80045884</v>
      </c>
      <c r="F1855" s="11" t="s">
        <v>5259</v>
      </c>
      <c r="G1855" s="11" t="s">
        <v>5260</v>
      </c>
      <c r="H1855" s="11" t="s">
        <v>5261</v>
      </c>
      <c r="I1855" s="11" t="s">
        <v>5192</v>
      </c>
    </row>
    <row r="1856" spans="1:9" x14ac:dyDescent="0.15">
      <c r="A1856" s="10">
        <v>1855</v>
      </c>
      <c r="B1856" s="11" t="s">
        <v>9</v>
      </c>
      <c r="C1856" s="11" t="s">
        <v>179</v>
      </c>
      <c r="D1856" s="11" t="s">
        <v>180</v>
      </c>
      <c r="E1856" s="9" t="str">
        <f>+HYPERLINK("http://trademark.i-assist.jp/data/china/image_1908th/80046311.pdf", "80046311")</f>
        <v>80046311</v>
      </c>
      <c r="F1856" s="11" t="s">
        <v>5262</v>
      </c>
      <c r="G1856" s="11" t="s">
        <v>5263</v>
      </c>
      <c r="H1856" s="11" t="s">
        <v>5264</v>
      </c>
      <c r="I1856" s="11" t="s">
        <v>5192</v>
      </c>
    </row>
    <row r="1857" spans="1:9" x14ac:dyDescent="0.15">
      <c r="A1857" s="10">
        <v>1856</v>
      </c>
      <c r="B1857" s="11" t="s">
        <v>9</v>
      </c>
      <c r="C1857" s="11" t="s">
        <v>179</v>
      </c>
      <c r="D1857" s="11" t="s">
        <v>180</v>
      </c>
      <c r="E1857" s="9" t="str">
        <f>+HYPERLINK("http://trademark.i-assist.jp/data/china/image_1908th/80046389.pdf", "80046389")</f>
        <v>80046389</v>
      </c>
      <c r="F1857" s="11" t="s">
        <v>5265</v>
      </c>
      <c r="G1857" s="11" t="s">
        <v>56</v>
      </c>
      <c r="H1857" s="11" t="s">
        <v>5266</v>
      </c>
      <c r="I1857" s="11" t="s">
        <v>5192</v>
      </c>
    </row>
    <row r="1858" spans="1:9" x14ac:dyDescent="0.15">
      <c r="A1858" s="10">
        <v>1857</v>
      </c>
      <c r="B1858" s="11" t="s">
        <v>9</v>
      </c>
      <c r="C1858" s="11" t="s">
        <v>179</v>
      </c>
      <c r="D1858" s="11" t="s">
        <v>180</v>
      </c>
      <c r="E1858" s="9" t="str">
        <f>+HYPERLINK("http://trademark.i-assist.jp/data/china/image_1908th/80046539.pdf", "80046539")</f>
        <v>80046539</v>
      </c>
      <c r="F1858" s="11" t="s">
        <v>5267</v>
      </c>
      <c r="G1858" s="11" t="s">
        <v>5268</v>
      </c>
      <c r="H1858" s="11" t="s">
        <v>5269</v>
      </c>
      <c r="I1858" s="11" t="s">
        <v>5192</v>
      </c>
    </row>
    <row r="1859" spans="1:9" x14ac:dyDescent="0.15">
      <c r="A1859" s="10">
        <v>1858</v>
      </c>
      <c r="B1859" s="11" t="s">
        <v>9</v>
      </c>
      <c r="C1859" s="11" t="s">
        <v>179</v>
      </c>
      <c r="D1859" s="11" t="s">
        <v>180</v>
      </c>
      <c r="E1859" s="9" t="str">
        <f>+HYPERLINK("http://trademark.i-assist.jp/data/china/image_1908th/80046596.pdf", "80046596")</f>
        <v>80046596</v>
      </c>
      <c r="F1859" s="11" t="s">
        <v>5270</v>
      </c>
      <c r="G1859" s="11" t="s">
        <v>5271</v>
      </c>
      <c r="H1859" s="11" t="s">
        <v>5272</v>
      </c>
      <c r="I1859" s="11" t="s">
        <v>5192</v>
      </c>
    </row>
    <row r="1860" spans="1:9" x14ac:dyDescent="0.15">
      <c r="A1860" s="10">
        <v>1859</v>
      </c>
      <c r="B1860" s="11" t="s">
        <v>9</v>
      </c>
      <c r="C1860" s="11" t="s">
        <v>179</v>
      </c>
      <c r="D1860" s="11" t="s">
        <v>180</v>
      </c>
      <c r="E1860" s="9" t="str">
        <f>+HYPERLINK("http://trademark.i-assist.jp/data/china/image_1908th/80046759.pdf", "80046759")</f>
        <v>80046759</v>
      </c>
      <c r="F1860" s="11" t="s">
        <v>5273</v>
      </c>
      <c r="G1860" s="11" t="s">
        <v>5274</v>
      </c>
      <c r="H1860" s="11" t="s">
        <v>5275</v>
      </c>
      <c r="I1860" s="11" t="s">
        <v>5192</v>
      </c>
    </row>
    <row r="1861" spans="1:9" x14ac:dyDescent="0.15">
      <c r="A1861" s="10">
        <v>1860</v>
      </c>
      <c r="B1861" s="11" t="s">
        <v>9</v>
      </c>
      <c r="C1861" s="11" t="s">
        <v>179</v>
      </c>
      <c r="D1861" s="11" t="s">
        <v>180</v>
      </c>
      <c r="E1861" s="9" t="str">
        <f>+HYPERLINK("http://trademark.i-assist.jp/data/china/image_1908th/80046805.pdf", "80046805")</f>
        <v>80046805</v>
      </c>
      <c r="F1861" s="11" t="s">
        <v>5276</v>
      </c>
      <c r="G1861" s="11" t="s">
        <v>5277</v>
      </c>
      <c r="H1861" s="11" t="s">
        <v>5278</v>
      </c>
      <c r="I1861" s="11" t="s">
        <v>5192</v>
      </c>
    </row>
    <row r="1862" spans="1:9" x14ac:dyDescent="0.15">
      <c r="A1862" s="10">
        <v>1861</v>
      </c>
      <c r="B1862" s="11" t="s">
        <v>9</v>
      </c>
      <c r="C1862" s="11" t="s">
        <v>179</v>
      </c>
      <c r="D1862" s="11" t="s">
        <v>180</v>
      </c>
      <c r="E1862" s="9" t="str">
        <f>+HYPERLINK("http://trademark.i-assist.jp/data/china/image_1908th/80046862.pdf", "80046862")</f>
        <v>80046862</v>
      </c>
      <c r="F1862" s="11" t="s">
        <v>5279</v>
      </c>
      <c r="G1862" s="11" t="s">
        <v>5280</v>
      </c>
      <c r="H1862" s="11" t="s">
        <v>5281</v>
      </c>
      <c r="I1862" s="11" t="s">
        <v>5192</v>
      </c>
    </row>
    <row r="1863" spans="1:9" x14ac:dyDescent="0.15">
      <c r="A1863" s="10">
        <v>1862</v>
      </c>
      <c r="B1863" s="11" t="s">
        <v>9</v>
      </c>
      <c r="C1863" s="11" t="s">
        <v>179</v>
      </c>
      <c r="D1863" s="11" t="s">
        <v>180</v>
      </c>
      <c r="E1863" s="9" t="str">
        <f>+HYPERLINK("http://trademark.i-assist.jp/data/china/image_1908th/80047091.pdf", "80047091")</f>
        <v>80047091</v>
      </c>
      <c r="F1863" s="11" t="s">
        <v>5282</v>
      </c>
      <c r="G1863" s="11" t="s">
        <v>5283</v>
      </c>
      <c r="H1863" s="11" t="s">
        <v>5284</v>
      </c>
      <c r="I1863" s="11" t="s">
        <v>5192</v>
      </c>
    </row>
    <row r="1864" spans="1:9" x14ac:dyDescent="0.15">
      <c r="A1864" s="10">
        <v>1863</v>
      </c>
      <c r="B1864" s="11" t="s">
        <v>9</v>
      </c>
      <c r="C1864" s="11" t="s">
        <v>179</v>
      </c>
      <c r="D1864" s="11" t="s">
        <v>180</v>
      </c>
      <c r="E1864" s="9" t="str">
        <f>+HYPERLINK("http://trademark.i-assist.jp/data/china/image_1908th/80047164.pdf", "80047164")</f>
        <v>80047164</v>
      </c>
      <c r="F1864" s="11" t="s">
        <v>5285</v>
      </c>
      <c r="G1864" s="11" t="s">
        <v>5286</v>
      </c>
      <c r="H1864" s="11" t="s">
        <v>5287</v>
      </c>
      <c r="I1864" s="11" t="s">
        <v>5192</v>
      </c>
    </row>
    <row r="1865" spans="1:9" x14ac:dyDescent="0.15">
      <c r="A1865" s="10">
        <v>1864</v>
      </c>
      <c r="B1865" s="11" t="s">
        <v>9</v>
      </c>
      <c r="C1865" s="11" t="s">
        <v>179</v>
      </c>
      <c r="D1865" s="11" t="s">
        <v>180</v>
      </c>
      <c r="E1865" s="9" t="str">
        <f>+HYPERLINK("http://trademark.i-assist.jp/data/china/image_1908th/80047254.pdf", "80047254")</f>
        <v>80047254</v>
      </c>
      <c r="F1865" s="11" t="s">
        <v>5288</v>
      </c>
      <c r="G1865" s="11" t="s">
        <v>5289</v>
      </c>
      <c r="H1865" s="11" t="s">
        <v>5290</v>
      </c>
      <c r="I1865" s="11" t="s">
        <v>5192</v>
      </c>
    </row>
    <row r="1866" spans="1:9" x14ac:dyDescent="0.15">
      <c r="A1866" s="10">
        <v>1865</v>
      </c>
      <c r="B1866" s="11" t="s">
        <v>9</v>
      </c>
      <c r="C1866" s="11" t="s">
        <v>179</v>
      </c>
      <c r="D1866" s="11" t="s">
        <v>180</v>
      </c>
      <c r="E1866" s="9" t="str">
        <f>+HYPERLINK("http://trademark.i-assist.jp/data/china/image_1908th/80047375.pdf", "80047375")</f>
        <v>80047375</v>
      </c>
      <c r="F1866" s="11" t="s">
        <v>5291</v>
      </c>
      <c r="G1866" s="11" t="s">
        <v>5292</v>
      </c>
      <c r="H1866" s="11" t="s">
        <v>5293</v>
      </c>
      <c r="I1866" s="11" t="s">
        <v>5192</v>
      </c>
    </row>
    <row r="1867" spans="1:9" x14ac:dyDescent="0.15">
      <c r="A1867" s="10">
        <v>1866</v>
      </c>
      <c r="B1867" s="11" t="s">
        <v>9</v>
      </c>
      <c r="C1867" s="11" t="s">
        <v>179</v>
      </c>
      <c r="D1867" s="11" t="s">
        <v>180</v>
      </c>
      <c r="E1867" s="9" t="str">
        <f>+HYPERLINK("http://trademark.i-assist.jp/data/china/image_1908th/80047469.pdf", "80047469")</f>
        <v>80047469</v>
      </c>
      <c r="F1867" s="11" t="s">
        <v>5294</v>
      </c>
      <c r="G1867" s="11" t="s">
        <v>5295</v>
      </c>
      <c r="H1867" s="11" t="s">
        <v>5296</v>
      </c>
      <c r="I1867" s="11" t="s">
        <v>5192</v>
      </c>
    </row>
    <row r="1868" spans="1:9" x14ac:dyDescent="0.15">
      <c r="A1868" s="10">
        <v>1867</v>
      </c>
      <c r="B1868" s="11" t="s">
        <v>9</v>
      </c>
      <c r="C1868" s="11" t="s">
        <v>179</v>
      </c>
      <c r="D1868" s="11" t="s">
        <v>180</v>
      </c>
      <c r="E1868" s="9" t="str">
        <f>+HYPERLINK("http://trademark.i-assist.jp/data/china/image_1908th/80047501.pdf", "80047501")</f>
        <v>80047501</v>
      </c>
      <c r="F1868" s="11" t="s">
        <v>5297</v>
      </c>
      <c r="G1868" s="11" t="s">
        <v>5298</v>
      </c>
      <c r="H1868" s="11" t="s">
        <v>5299</v>
      </c>
      <c r="I1868" s="11" t="s">
        <v>5192</v>
      </c>
    </row>
    <row r="1869" spans="1:9" x14ac:dyDescent="0.15">
      <c r="A1869" s="10">
        <v>1868</v>
      </c>
      <c r="B1869" s="11" t="s">
        <v>9</v>
      </c>
      <c r="C1869" s="11" t="s">
        <v>179</v>
      </c>
      <c r="D1869" s="11" t="s">
        <v>180</v>
      </c>
      <c r="E1869" s="9" t="str">
        <f>+HYPERLINK("http://trademark.i-assist.jp/data/china/image_1908th/80047592.pdf", "80047592")</f>
        <v>80047592</v>
      </c>
      <c r="F1869" s="11" t="s">
        <v>5300</v>
      </c>
      <c r="G1869" s="11" t="s">
        <v>5301</v>
      </c>
      <c r="H1869" s="11" t="s">
        <v>5302</v>
      </c>
      <c r="I1869" s="11" t="s">
        <v>5192</v>
      </c>
    </row>
    <row r="1870" spans="1:9" x14ac:dyDescent="0.15">
      <c r="A1870" s="10">
        <v>1869</v>
      </c>
      <c r="B1870" s="11" t="s">
        <v>9</v>
      </c>
      <c r="C1870" s="11" t="s">
        <v>179</v>
      </c>
      <c r="D1870" s="11" t="s">
        <v>180</v>
      </c>
      <c r="E1870" s="9" t="str">
        <f>+HYPERLINK("http://trademark.i-assist.jp/data/china/image_1908th/80047765.pdf", "80047765")</f>
        <v>80047765</v>
      </c>
      <c r="F1870" s="11" t="s">
        <v>5303</v>
      </c>
      <c r="G1870" s="11" t="s">
        <v>5304</v>
      </c>
      <c r="H1870" s="11" t="s">
        <v>5305</v>
      </c>
      <c r="I1870" s="11" t="s">
        <v>5192</v>
      </c>
    </row>
    <row r="1871" spans="1:9" x14ac:dyDescent="0.15">
      <c r="A1871" s="10">
        <v>1870</v>
      </c>
      <c r="B1871" s="11" t="s">
        <v>9</v>
      </c>
      <c r="C1871" s="11" t="s">
        <v>179</v>
      </c>
      <c r="D1871" s="11" t="s">
        <v>180</v>
      </c>
      <c r="E1871" s="9" t="str">
        <f>+HYPERLINK("http://trademark.i-assist.jp/data/china/image_1908th/80048287.pdf", "80048287")</f>
        <v>80048287</v>
      </c>
      <c r="F1871" s="11" t="s">
        <v>5306</v>
      </c>
      <c r="G1871" s="11" t="s">
        <v>5307</v>
      </c>
      <c r="H1871" s="11" t="s">
        <v>5308</v>
      </c>
      <c r="I1871" s="11" t="s">
        <v>5192</v>
      </c>
    </row>
    <row r="1872" spans="1:9" x14ac:dyDescent="0.15">
      <c r="A1872" s="10">
        <v>1871</v>
      </c>
      <c r="B1872" s="11" t="s">
        <v>9</v>
      </c>
      <c r="C1872" s="11" t="s">
        <v>179</v>
      </c>
      <c r="D1872" s="11" t="s">
        <v>180</v>
      </c>
      <c r="E1872" s="9" t="str">
        <f>+HYPERLINK("http://trademark.i-assist.jp/data/china/image_1908th/80048289.pdf", "80048289")</f>
        <v>80048289</v>
      </c>
      <c r="F1872" s="11" t="s">
        <v>5309</v>
      </c>
      <c r="G1872" s="11" t="s">
        <v>5310</v>
      </c>
      <c r="H1872" s="11" t="s">
        <v>5311</v>
      </c>
      <c r="I1872" s="11" t="s">
        <v>5192</v>
      </c>
    </row>
    <row r="1873" spans="1:9" x14ac:dyDescent="0.15">
      <c r="A1873" s="10">
        <v>1872</v>
      </c>
      <c r="B1873" s="11" t="s">
        <v>9</v>
      </c>
      <c r="C1873" s="11" t="s">
        <v>179</v>
      </c>
      <c r="D1873" s="11" t="s">
        <v>180</v>
      </c>
      <c r="E1873" s="9" t="str">
        <f>+HYPERLINK("http://trademark.i-assist.jp/data/china/image_1908th/80048355.pdf", "80048355")</f>
        <v>80048355</v>
      </c>
      <c r="F1873" s="11" t="s">
        <v>5312</v>
      </c>
      <c r="G1873" s="11" t="s">
        <v>5313</v>
      </c>
      <c r="H1873" s="11" t="s">
        <v>5314</v>
      </c>
      <c r="I1873" s="11" t="s">
        <v>5192</v>
      </c>
    </row>
    <row r="1874" spans="1:9" x14ac:dyDescent="0.15">
      <c r="A1874" s="10">
        <v>1873</v>
      </c>
      <c r="B1874" s="11" t="s">
        <v>9</v>
      </c>
      <c r="C1874" s="11" t="s">
        <v>179</v>
      </c>
      <c r="D1874" s="11" t="s">
        <v>180</v>
      </c>
      <c r="E1874" s="9" t="str">
        <f>+HYPERLINK("http://trademark.i-assist.jp/data/china/image_1908th/80048724.pdf", "80048724")</f>
        <v>80048724</v>
      </c>
      <c r="F1874" s="11" t="s">
        <v>5315</v>
      </c>
      <c r="G1874" s="11" t="s">
        <v>5260</v>
      </c>
      <c r="H1874" s="11" t="s">
        <v>5316</v>
      </c>
      <c r="I1874" s="11" t="s">
        <v>5192</v>
      </c>
    </row>
    <row r="1875" spans="1:9" x14ac:dyDescent="0.15">
      <c r="A1875" s="10">
        <v>1874</v>
      </c>
      <c r="B1875" s="11" t="s">
        <v>9</v>
      </c>
      <c r="C1875" s="11" t="s">
        <v>179</v>
      </c>
      <c r="D1875" s="11" t="s">
        <v>180</v>
      </c>
      <c r="E1875" s="9" t="str">
        <f>+HYPERLINK("http://trademark.i-assist.jp/data/china/image_1908th/80048728.pdf", "80048728")</f>
        <v>80048728</v>
      </c>
      <c r="F1875" s="11" t="s">
        <v>5317</v>
      </c>
      <c r="G1875" s="11" t="s">
        <v>5260</v>
      </c>
      <c r="H1875" s="11" t="s">
        <v>5318</v>
      </c>
      <c r="I1875" s="11" t="s">
        <v>5192</v>
      </c>
    </row>
    <row r="1876" spans="1:9" x14ac:dyDescent="0.15">
      <c r="A1876" s="10">
        <v>1875</v>
      </c>
      <c r="B1876" s="11" t="s">
        <v>9</v>
      </c>
      <c r="C1876" s="11" t="s">
        <v>179</v>
      </c>
      <c r="D1876" s="11" t="s">
        <v>180</v>
      </c>
      <c r="E1876" s="9" t="str">
        <f>+HYPERLINK("http://trademark.i-assist.jp/data/china/image_1908th/80049076.pdf", "80049076")</f>
        <v>80049076</v>
      </c>
      <c r="F1876" s="11" t="s">
        <v>5319</v>
      </c>
      <c r="G1876" s="11" t="s">
        <v>5320</v>
      </c>
      <c r="H1876" s="11" t="s">
        <v>5321</v>
      </c>
      <c r="I1876" s="11" t="s">
        <v>5192</v>
      </c>
    </row>
    <row r="1877" spans="1:9" x14ac:dyDescent="0.15">
      <c r="A1877" s="10">
        <v>1876</v>
      </c>
      <c r="B1877" s="11" t="s">
        <v>9</v>
      </c>
      <c r="C1877" s="11" t="s">
        <v>179</v>
      </c>
      <c r="D1877" s="11" t="s">
        <v>180</v>
      </c>
      <c r="E1877" s="9" t="str">
        <f>+HYPERLINK("http://trademark.i-assist.jp/data/china/image_1908th/80049157.pdf", "80049157")</f>
        <v>80049157</v>
      </c>
      <c r="F1877" s="11" t="s">
        <v>5322</v>
      </c>
      <c r="G1877" s="11" t="s">
        <v>5323</v>
      </c>
      <c r="H1877" s="11" t="s">
        <v>5324</v>
      </c>
      <c r="I1877" s="11" t="s">
        <v>5192</v>
      </c>
    </row>
    <row r="1878" spans="1:9" x14ac:dyDescent="0.15">
      <c r="A1878" s="10">
        <v>1877</v>
      </c>
      <c r="B1878" s="11" t="s">
        <v>9</v>
      </c>
      <c r="C1878" s="11" t="s">
        <v>179</v>
      </c>
      <c r="D1878" s="11" t="s">
        <v>180</v>
      </c>
      <c r="E1878" s="9" t="str">
        <f>+HYPERLINK("http://trademark.i-assist.jp/data/china/image_1908th/80049284.pdf", "80049284")</f>
        <v>80049284</v>
      </c>
      <c r="F1878" s="11" t="s">
        <v>5325</v>
      </c>
      <c r="G1878" s="11" t="s">
        <v>5326</v>
      </c>
      <c r="H1878" s="11" t="s">
        <v>5327</v>
      </c>
      <c r="I1878" s="11" t="s">
        <v>5192</v>
      </c>
    </row>
    <row r="1879" spans="1:9" x14ac:dyDescent="0.15">
      <c r="A1879" s="10">
        <v>1878</v>
      </c>
      <c r="B1879" s="11" t="s">
        <v>9</v>
      </c>
      <c r="C1879" s="11" t="s">
        <v>179</v>
      </c>
      <c r="D1879" s="11" t="s">
        <v>180</v>
      </c>
      <c r="E1879" s="9" t="str">
        <f>+HYPERLINK("http://trademark.i-assist.jp/data/china/image_1908th/80049444.pdf", "80049444")</f>
        <v>80049444</v>
      </c>
      <c r="F1879" s="11" t="s">
        <v>5328</v>
      </c>
      <c r="G1879" s="11" t="s">
        <v>5329</v>
      </c>
      <c r="H1879" s="11" t="s">
        <v>5330</v>
      </c>
      <c r="I1879" s="11" t="s">
        <v>5192</v>
      </c>
    </row>
    <row r="1880" spans="1:9" x14ac:dyDescent="0.15">
      <c r="A1880" s="10">
        <v>1879</v>
      </c>
      <c r="B1880" s="11" t="s">
        <v>9</v>
      </c>
      <c r="C1880" s="11" t="s">
        <v>179</v>
      </c>
      <c r="D1880" s="11" t="s">
        <v>180</v>
      </c>
      <c r="E1880" s="9" t="str">
        <f>+HYPERLINK("http://trademark.i-assist.jp/data/china/image_1908th/80049579.pdf", "80049579")</f>
        <v>80049579</v>
      </c>
      <c r="F1880" s="11" t="s">
        <v>5331</v>
      </c>
      <c r="G1880" s="11" t="s">
        <v>5332</v>
      </c>
      <c r="H1880" s="11" t="s">
        <v>5333</v>
      </c>
      <c r="I1880" s="11" t="s">
        <v>5192</v>
      </c>
    </row>
    <row r="1881" spans="1:9" x14ac:dyDescent="0.15">
      <c r="A1881" s="10">
        <v>1880</v>
      </c>
      <c r="B1881" s="11" t="s">
        <v>9</v>
      </c>
      <c r="C1881" s="11" t="s">
        <v>179</v>
      </c>
      <c r="D1881" s="11" t="s">
        <v>180</v>
      </c>
      <c r="E1881" s="9" t="str">
        <f>+HYPERLINK("http://trademark.i-assist.jp/data/china/image_1908th/80049584.pdf", "80049584")</f>
        <v>80049584</v>
      </c>
      <c r="F1881" s="11" t="s">
        <v>5334</v>
      </c>
      <c r="G1881" s="11" t="s">
        <v>5335</v>
      </c>
      <c r="H1881" s="11" t="s">
        <v>5336</v>
      </c>
      <c r="I1881" s="11" t="s">
        <v>5192</v>
      </c>
    </row>
    <row r="1882" spans="1:9" x14ac:dyDescent="0.15">
      <c r="A1882" s="10">
        <v>1881</v>
      </c>
      <c r="B1882" s="11" t="s">
        <v>9</v>
      </c>
      <c r="C1882" s="11" t="s">
        <v>179</v>
      </c>
      <c r="D1882" s="11" t="s">
        <v>180</v>
      </c>
      <c r="E1882" s="9" t="str">
        <f>+HYPERLINK("http://trademark.i-assist.jp/data/china/image_1908th/80049891.pdf", "80049891")</f>
        <v>80049891</v>
      </c>
      <c r="F1882" s="11" t="s">
        <v>5337</v>
      </c>
      <c r="G1882" s="11" t="s">
        <v>5338</v>
      </c>
      <c r="H1882" s="11" t="s">
        <v>5339</v>
      </c>
      <c r="I1882" s="11" t="s">
        <v>5192</v>
      </c>
    </row>
    <row r="1883" spans="1:9" x14ac:dyDescent="0.15">
      <c r="A1883" s="10">
        <v>1882</v>
      </c>
      <c r="B1883" s="11" t="s">
        <v>9</v>
      </c>
      <c r="C1883" s="11" t="s">
        <v>179</v>
      </c>
      <c r="D1883" s="11" t="s">
        <v>180</v>
      </c>
      <c r="E1883" s="9" t="str">
        <f>+HYPERLINK("http://trademark.i-assist.jp/data/china/image_1908th/80050004.pdf", "80050004")</f>
        <v>80050004</v>
      </c>
      <c r="F1883" s="11" t="s">
        <v>5340</v>
      </c>
      <c r="G1883" s="11" t="s">
        <v>5341</v>
      </c>
      <c r="H1883" s="11" t="s">
        <v>5342</v>
      </c>
      <c r="I1883" s="11" t="s">
        <v>5192</v>
      </c>
    </row>
    <row r="1884" spans="1:9" x14ac:dyDescent="0.15">
      <c r="A1884" s="10">
        <v>1883</v>
      </c>
      <c r="B1884" s="11" t="s">
        <v>9</v>
      </c>
      <c r="C1884" s="11" t="s">
        <v>179</v>
      </c>
      <c r="D1884" s="11" t="s">
        <v>180</v>
      </c>
      <c r="E1884" s="9" t="str">
        <f>+HYPERLINK("http://trademark.i-assist.jp/data/china/image_1908th/80050116.pdf", "80050116")</f>
        <v>80050116</v>
      </c>
      <c r="F1884" s="11" t="s">
        <v>5343</v>
      </c>
      <c r="G1884" s="11" t="s">
        <v>5344</v>
      </c>
      <c r="H1884" s="11" t="s">
        <v>5345</v>
      </c>
      <c r="I1884" s="11" t="s">
        <v>5192</v>
      </c>
    </row>
    <row r="1885" spans="1:9" x14ac:dyDescent="0.15">
      <c r="A1885" s="10">
        <v>1884</v>
      </c>
      <c r="B1885" s="11" t="s">
        <v>9</v>
      </c>
      <c r="C1885" s="11" t="s">
        <v>179</v>
      </c>
      <c r="D1885" s="11" t="s">
        <v>180</v>
      </c>
      <c r="E1885" s="9" t="str">
        <f>+HYPERLINK("http://trademark.i-assist.jp/data/china/image_1908th/80050220.pdf", "80050220")</f>
        <v>80050220</v>
      </c>
      <c r="F1885" s="11" t="s">
        <v>5346</v>
      </c>
      <c r="G1885" s="11" t="s">
        <v>5347</v>
      </c>
      <c r="H1885" s="11" t="s">
        <v>5348</v>
      </c>
      <c r="I1885" s="11" t="s">
        <v>5192</v>
      </c>
    </row>
    <row r="1886" spans="1:9" x14ac:dyDescent="0.15">
      <c r="A1886" s="10">
        <v>1885</v>
      </c>
      <c r="B1886" s="11" t="s">
        <v>9</v>
      </c>
      <c r="C1886" s="11" t="s">
        <v>179</v>
      </c>
      <c r="D1886" s="11" t="s">
        <v>180</v>
      </c>
      <c r="E1886" s="9" t="str">
        <f>+HYPERLINK("http://trademark.i-assist.jp/data/china/image_1908th/80050283.pdf", "80050283")</f>
        <v>80050283</v>
      </c>
      <c r="F1886" s="11" t="s">
        <v>152</v>
      </c>
      <c r="G1886" s="11" t="s">
        <v>153</v>
      </c>
      <c r="H1886" s="11" t="s">
        <v>5349</v>
      </c>
      <c r="I1886" s="11" t="s">
        <v>5192</v>
      </c>
    </row>
    <row r="1887" spans="1:9" x14ac:dyDescent="0.15">
      <c r="A1887" s="10">
        <v>1886</v>
      </c>
      <c r="B1887" s="11" t="s">
        <v>9</v>
      </c>
      <c r="C1887" s="11" t="s">
        <v>179</v>
      </c>
      <c r="D1887" s="11" t="s">
        <v>180</v>
      </c>
      <c r="E1887" s="9" t="str">
        <f>+HYPERLINK("http://trademark.i-assist.jp/data/china/image_1908th/80050302.pdf", "80050302")</f>
        <v>80050302</v>
      </c>
      <c r="F1887" s="11" t="s">
        <v>5350</v>
      </c>
      <c r="G1887" s="11" t="s">
        <v>5280</v>
      </c>
      <c r="H1887" s="11" t="s">
        <v>5351</v>
      </c>
      <c r="I1887" s="11" t="s">
        <v>5192</v>
      </c>
    </row>
    <row r="1888" spans="1:9" x14ac:dyDescent="0.15">
      <c r="A1888" s="10">
        <v>1887</v>
      </c>
      <c r="B1888" s="11" t="s">
        <v>9</v>
      </c>
      <c r="C1888" s="11" t="s">
        <v>179</v>
      </c>
      <c r="D1888" s="11" t="s">
        <v>180</v>
      </c>
      <c r="E1888" s="9" t="str">
        <f>+HYPERLINK("http://trademark.i-assist.jp/data/china/image_1908th/80050364.pdf", "80050364")</f>
        <v>80050364</v>
      </c>
      <c r="F1888" s="11" t="s">
        <v>5352</v>
      </c>
      <c r="G1888" s="11" t="s">
        <v>5353</v>
      </c>
      <c r="H1888" s="11" t="s">
        <v>5354</v>
      </c>
      <c r="I1888" s="11" t="s">
        <v>5192</v>
      </c>
    </row>
    <row r="1889" spans="1:9" x14ac:dyDescent="0.15">
      <c r="A1889" s="10">
        <v>1888</v>
      </c>
      <c r="B1889" s="11" t="s">
        <v>9</v>
      </c>
      <c r="C1889" s="11" t="s">
        <v>179</v>
      </c>
      <c r="D1889" s="11" t="s">
        <v>180</v>
      </c>
      <c r="E1889" s="9" t="str">
        <f>+HYPERLINK("http://trademark.i-assist.jp/data/china/image_1908th/80050390.pdf", "80050390")</f>
        <v>80050390</v>
      </c>
      <c r="F1889" s="11" t="s">
        <v>5355</v>
      </c>
      <c r="G1889" s="11" t="s">
        <v>36</v>
      </c>
      <c r="H1889" s="11" t="s">
        <v>5356</v>
      </c>
      <c r="I1889" s="11" t="s">
        <v>5192</v>
      </c>
    </row>
    <row r="1890" spans="1:9" x14ac:dyDescent="0.15">
      <c r="A1890" s="10">
        <v>1889</v>
      </c>
      <c r="B1890" s="11" t="s">
        <v>9</v>
      </c>
      <c r="C1890" s="11" t="s">
        <v>179</v>
      </c>
      <c r="D1890" s="11" t="s">
        <v>180</v>
      </c>
      <c r="E1890" s="9" t="str">
        <f>+HYPERLINK("http://trademark.i-assist.jp/data/china/image_1908th/80050404.pdf", "80050404")</f>
        <v>80050404</v>
      </c>
      <c r="F1890" s="11" t="s">
        <v>5357</v>
      </c>
      <c r="G1890" s="11" t="s">
        <v>5358</v>
      </c>
      <c r="H1890" s="11" t="s">
        <v>5359</v>
      </c>
      <c r="I1890" s="11" t="s">
        <v>5192</v>
      </c>
    </row>
    <row r="1891" spans="1:9" x14ac:dyDescent="0.15">
      <c r="A1891" s="10">
        <v>1890</v>
      </c>
      <c r="B1891" s="11" t="s">
        <v>9</v>
      </c>
      <c r="C1891" s="11" t="s">
        <v>179</v>
      </c>
      <c r="D1891" s="11" t="s">
        <v>180</v>
      </c>
      <c r="E1891" s="9" t="str">
        <f>+HYPERLINK("http://trademark.i-assist.jp/data/china/image_1908th/80050430.pdf", "80050430")</f>
        <v>80050430</v>
      </c>
      <c r="F1891" s="11" t="s">
        <v>5360</v>
      </c>
      <c r="G1891" s="11" t="s">
        <v>5361</v>
      </c>
      <c r="H1891" s="11" t="s">
        <v>5362</v>
      </c>
      <c r="I1891" s="11" t="s">
        <v>5192</v>
      </c>
    </row>
    <row r="1892" spans="1:9" x14ac:dyDescent="0.15">
      <c r="A1892" s="10">
        <v>1891</v>
      </c>
      <c r="B1892" s="11" t="s">
        <v>9</v>
      </c>
      <c r="C1892" s="11" t="s">
        <v>179</v>
      </c>
      <c r="D1892" s="11" t="s">
        <v>180</v>
      </c>
      <c r="E1892" s="9" t="str">
        <f>+HYPERLINK("http://trademark.i-assist.jp/data/china/image_1908th/80050537.pdf", "80050537")</f>
        <v>80050537</v>
      </c>
      <c r="F1892" s="11" t="s">
        <v>5363</v>
      </c>
      <c r="G1892" s="11" t="s">
        <v>5364</v>
      </c>
      <c r="H1892" s="11" t="s">
        <v>5365</v>
      </c>
      <c r="I1892" s="11" t="s">
        <v>5192</v>
      </c>
    </row>
    <row r="1893" spans="1:9" x14ac:dyDescent="0.15">
      <c r="A1893" s="10">
        <v>1892</v>
      </c>
      <c r="B1893" s="11" t="s">
        <v>9</v>
      </c>
      <c r="C1893" s="11" t="s">
        <v>179</v>
      </c>
      <c r="D1893" s="11" t="s">
        <v>180</v>
      </c>
      <c r="E1893" s="9" t="str">
        <f>+HYPERLINK("http://trademark.i-assist.jp/data/china/image_1908th/80050564.pdf", "80050564")</f>
        <v>80050564</v>
      </c>
      <c r="F1893" s="11" t="s">
        <v>5366</v>
      </c>
      <c r="G1893" s="11" t="s">
        <v>5367</v>
      </c>
      <c r="H1893" s="11" t="s">
        <v>5368</v>
      </c>
      <c r="I1893" s="11" t="s">
        <v>5192</v>
      </c>
    </row>
    <row r="1894" spans="1:9" x14ac:dyDescent="0.15">
      <c r="A1894" s="10">
        <v>1893</v>
      </c>
      <c r="B1894" s="11" t="s">
        <v>9</v>
      </c>
      <c r="C1894" s="11" t="s">
        <v>179</v>
      </c>
      <c r="D1894" s="11" t="s">
        <v>180</v>
      </c>
      <c r="E1894" s="9" t="str">
        <f>+HYPERLINK("http://trademark.i-assist.jp/data/china/image_1908th/80050567.pdf", "80050567")</f>
        <v>80050567</v>
      </c>
      <c r="F1894" s="11" t="s">
        <v>5369</v>
      </c>
      <c r="G1894" s="11" t="s">
        <v>5370</v>
      </c>
      <c r="H1894" s="11" t="s">
        <v>5371</v>
      </c>
      <c r="I1894" s="11" t="s">
        <v>5192</v>
      </c>
    </row>
    <row r="1895" spans="1:9" x14ac:dyDescent="0.15">
      <c r="A1895" s="10">
        <v>1894</v>
      </c>
      <c r="B1895" s="11" t="s">
        <v>9</v>
      </c>
      <c r="C1895" s="11" t="s">
        <v>179</v>
      </c>
      <c r="D1895" s="11" t="s">
        <v>180</v>
      </c>
      <c r="E1895" s="9" t="str">
        <f>+HYPERLINK("http://trademark.i-assist.jp/data/china/image_1908th/80050590.pdf", "80050590")</f>
        <v>80050590</v>
      </c>
      <c r="F1895" s="11" t="s">
        <v>5372</v>
      </c>
      <c r="G1895" s="11" t="s">
        <v>5373</v>
      </c>
      <c r="H1895" s="11" t="s">
        <v>5374</v>
      </c>
      <c r="I1895" s="11" t="s">
        <v>5192</v>
      </c>
    </row>
    <row r="1896" spans="1:9" x14ac:dyDescent="0.15">
      <c r="A1896" s="10">
        <v>1895</v>
      </c>
      <c r="B1896" s="11" t="s">
        <v>9</v>
      </c>
      <c r="C1896" s="11" t="s">
        <v>179</v>
      </c>
      <c r="D1896" s="11" t="s">
        <v>180</v>
      </c>
      <c r="E1896" s="9" t="str">
        <f>+HYPERLINK("http://trademark.i-assist.jp/data/china/image_1908th/80050787.pdf", "80050787")</f>
        <v>80050787</v>
      </c>
      <c r="F1896" s="11" t="s">
        <v>5375</v>
      </c>
      <c r="G1896" s="11" t="s">
        <v>5376</v>
      </c>
      <c r="H1896" s="11" t="s">
        <v>5377</v>
      </c>
      <c r="I1896" s="11" t="s">
        <v>5192</v>
      </c>
    </row>
    <row r="1897" spans="1:9" x14ac:dyDescent="0.15">
      <c r="A1897" s="10">
        <v>1896</v>
      </c>
      <c r="B1897" s="11" t="s">
        <v>9</v>
      </c>
      <c r="C1897" s="11" t="s">
        <v>179</v>
      </c>
      <c r="D1897" s="11" t="s">
        <v>180</v>
      </c>
      <c r="E1897" s="9" t="str">
        <f>+HYPERLINK("http://trademark.i-assist.jp/data/china/image_1908th/80050803.pdf", "80050803")</f>
        <v>80050803</v>
      </c>
      <c r="F1897" s="11" t="s">
        <v>5378</v>
      </c>
      <c r="G1897" s="11" t="s">
        <v>5379</v>
      </c>
      <c r="H1897" s="11" t="s">
        <v>5380</v>
      </c>
      <c r="I1897" s="11" t="s">
        <v>5192</v>
      </c>
    </row>
    <row r="1898" spans="1:9" x14ac:dyDescent="0.15">
      <c r="A1898" s="10">
        <v>1897</v>
      </c>
      <c r="B1898" s="11" t="s">
        <v>9</v>
      </c>
      <c r="C1898" s="11" t="s">
        <v>179</v>
      </c>
      <c r="D1898" s="11" t="s">
        <v>180</v>
      </c>
      <c r="E1898" s="9" t="str">
        <f>+HYPERLINK("http://trademark.i-assist.jp/data/china/image_1908th/80050908.pdf", "80050908")</f>
        <v>80050908</v>
      </c>
      <c r="F1898" s="11" t="s">
        <v>5381</v>
      </c>
      <c r="G1898" s="11" t="s">
        <v>5382</v>
      </c>
      <c r="H1898" s="11" t="s">
        <v>5383</v>
      </c>
      <c r="I1898" s="11" t="s">
        <v>5192</v>
      </c>
    </row>
    <row r="1899" spans="1:9" x14ac:dyDescent="0.15">
      <c r="A1899" s="10">
        <v>1898</v>
      </c>
      <c r="B1899" s="11" t="s">
        <v>9</v>
      </c>
      <c r="C1899" s="11" t="s">
        <v>179</v>
      </c>
      <c r="D1899" s="11" t="s">
        <v>180</v>
      </c>
      <c r="E1899" s="9" t="str">
        <f>+HYPERLINK("http://trademark.i-assist.jp/data/china/image_1908th/80051108.pdf", "80051108")</f>
        <v>80051108</v>
      </c>
      <c r="F1899" s="11" t="s">
        <v>5384</v>
      </c>
      <c r="G1899" s="11" t="s">
        <v>4974</v>
      </c>
      <c r="H1899" s="11" t="s">
        <v>5385</v>
      </c>
      <c r="I1899" s="11" t="s">
        <v>5192</v>
      </c>
    </row>
    <row r="1900" spans="1:9" x14ac:dyDescent="0.15">
      <c r="A1900" s="10">
        <v>1899</v>
      </c>
      <c r="B1900" s="11" t="s">
        <v>9</v>
      </c>
      <c r="C1900" s="11" t="s">
        <v>179</v>
      </c>
      <c r="D1900" s="11" t="s">
        <v>180</v>
      </c>
      <c r="E1900" s="9" t="str">
        <f>+HYPERLINK("http://trademark.i-assist.jp/data/china/image_1908th/80051252.pdf", "80051252")</f>
        <v>80051252</v>
      </c>
      <c r="F1900" s="11" t="s">
        <v>5386</v>
      </c>
      <c r="G1900" s="11" t="s">
        <v>5387</v>
      </c>
      <c r="H1900" s="11" t="s">
        <v>5388</v>
      </c>
      <c r="I1900" s="11" t="s">
        <v>5192</v>
      </c>
    </row>
    <row r="1901" spans="1:9" x14ac:dyDescent="0.15">
      <c r="A1901" s="10">
        <v>1900</v>
      </c>
      <c r="B1901" s="11" t="s">
        <v>9</v>
      </c>
      <c r="C1901" s="11" t="s">
        <v>179</v>
      </c>
      <c r="D1901" s="11" t="s">
        <v>180</v>
      </c>
      <c r="E1901" s="9" t="str">
        <f>+HYPERLINK("http://trademark.i-assist.jp/data/china/image_1908th/80051352.pdf", "80051352")</f>
        <v>80051352</v>
      </c>
      <c r="F1901" s="11" t="s">
        <v>5389</v>
      </c>
      <c r="G1901" s="11" t="s">
        <v>5307</v>
      </c>
      <c r="H1901" s="11" t="s">
        <v>5390</v>
      </c>
      <c r="I1901" s="11" t="s">
        <v>5192</v>
      </c>
    </row>
    <row r="1902" spans="1:9" x14ac:dyDescent="0.15">
      <c r="A1902" s="10">
        <v>1901</v>
      </c>
      <c r="B1902" s="11" t="s">
        <v>9</v>
      </c>
      <c r="C1902" s="11" t="s">
        <v>179</v>
      </c>
      <c r="D1902" s="11" t="s">
        <v>180</v>
      </c>
      <c r="E1902" s="9" t="str">
        <f>+HYPERLINK("http://trademark.i-assist.jp/data/china/image_1908th/80051473.pdf", "80051473")</f>
        <v>80051473</v>
      </c>
      <c r="F1902" s="11" t="s">
        <v>5391</v>
      </c>
      <c r="G1902" s="11" t="s">
        <v>5392</v>
      </c>
      <c r="H1902" s="11" t="s">
        <v>5393</v>
      </c>
      <c r="I1902" s="11" t="s">
        <v>5192</v>
      </c>
    </row>
    <row r="1903" spans="1:9" x14ac:dyDescent="0.15">
      <c r="A1903" s="10">
        <v>1902</v>
      </c>
      <c r="B1903" s="11" t="s">
        <v>9</v>
      </c>
      <c r="C1903" s="11" t="s">
        <v>179</v>
      </c>
      <c r="D1903" s="11" t="s">
        <v>180</v>
      </c>
      <c r="E1903" s="9" t="str">
        <f>+HYPERLINK("http://trademark.i-assist.jp/data/china/image_1908th/80051484.pdf", "80051484")</f>
        <v>80051484</v>
      </c>
      <c r="F1903" s="11" t="s">
        <v>5394</v>
      </c>
      <c r="G1903" s="11" t="s">
        <v>5395</v>
      </c>
      <c r="H1903" s="11" t="s">
        <v>5396</v>
      </c>
      <c r="I1903" s="11" t="s">
        <v>5192</v>
      </c>
    </row>
    <row r="1904" spans="1:9" x14ac:dyDescent="0.15">
      <c r="A1904" s="10">
        <v>1903</v>
      </c>
      <c r="B1904" s="11" t="s">
        <v>9</v>
      </c>
      <c r="C1904" s="11" t="s">
        <v>179</v>
      </c>
      <c r="D1904" s="11" t="s">
        <v>180</v>
      </c>
      <c r="E1904" s="9" t="str">
        <f>+HYPERLINK("http://trademark.i-assist.jp/data/china/image_1908th/80051616.pdf", "80051616")</f>
        <v>80051616</v>
      </c>
      <c r="F1904" s="11" t="s">
        <v>5397</v>
      </c>
      <c r="G1904" s="11" t="s">
        <v>5398</v>
      </c>
      <c r="H1904" s="11" t="s">
        <v>5399</v>
      </c>
      <c r="I1904" s="11" t="s">
        <v>5192</v>
      </c>
    </row>
    <row r="1905" spans="1:9" x14ac:dyDescent="0.15">
      <c r="A1905" s="10">
        <v>1904</v>
      </c>
      <c r="B1905" s="11" t="s">
        <v>9</v>
      </c>
      <c r="C1905" s="11" t="s">
        <v>179</v>
      </c>
      <c r="D1905" s="11" t="s">
        <v>180</v>
      </c>
      <c r="E1905" s="9" t="str">
        <f>+HYPERLINK("http://trademark.i-assist.jp/data/china/image_1908th/80051672.pdf", "80051672")</f>
        <v>80051672</v>
      </c>
      <c r="F1905" s="11" t="s">
        <v>5400</v>
      </c>
      <c r="G1905" s="11" t="s">
        <v>5401</v>
      </c>
      <c r="H1905" s="11" t="s">
        <v>5402</v>
      </c>
      <c r="I1905" s="11" t="s">
        <v>5192</v>
      </c>
    </row>
    <row r="1906" spans="1:9" x14ac:dyDescent="0.15">
      <c r="A1906" s="10">
        <v>1905</v>
      </c>
      <c r="B1906" s="11" t="s">
        <v>9</v>
      </c>
      <c r="C1906" s="11" t="s">
        <v>179</v>
      </c>
      <c r="D1906" s="11" t="s">
        <v>180</v>
      </c>
      <c r="E1906" s="9" t="str">
        <f>+HYPERLINK("http://trademark.i-assist.jp/data/china/image_1908th/80051747.pdf", "80051747")</f>
        <v>80051747</v>
      </c>
      <c r="F1906" s="11" t="s">
        <v>5403</v>
      </c>
      <c r="G1906" s="11" t="s">
        <v>5404</v>
      </c>
      <c r="H1906" s="11" t="s">
        <v>5405</v>
      </c>
      <c r="I1906" s="11" t="s">
        <v>5192</v>
      </c>
    </row>
    <row r="1907" spans="1:9" x14ac:dyDescent="0.15">
      <c r="A1907" s="10">
        <v>1906</v>
      </c>
      <c r="B1907" s="11" t="s">
        <v>9</v>
      </c>
      <c r="C1907" s="11" t="s">
        <v>179</v>
      </c>
      <c r="D1907" s="11" t="s">
        <v>180</v>
      </c>
      <c r="E1907" s="9" t="str">
        <f>+HYPERLINK("http://trademark.i-assist.jp/data/china/image_1908th/80051840.pdf", "80051840")</f>
        <v>80051840</v>
      </c>
      <c r="F1907" s="11" t="s">
        <v>5406</v>
      </c>
      <c r="G1907" s="11" t="s">
        <v>5407</v>
      </c>
      <c r="H1907" s="11" t="s">
        <v>12</v>
      </c>
      <c r="I1907" s="11" t="s">
        <v>5192</v>
      </c>
    </row>
    <row r="1908" spans="1:9" x14ac:dyDescent="0.15">
      <c r="A1908" s="10">
        <v>1907</v>
      </c>
      <c r="B1908" s="11" t="s">
        <v>9</v>
      </c>
      <c r="C1908" s="11" t="s">
        <v>179</v>
      </c>
      <c r="D1908" s="11" t="s">
        <v>180</v>
      </c>
      <c r="E1908" s="9" t="str">
        <f>+HYPERLINK("http://trademark.i-assist.jp/data/china/image_1908th/80052061.pdf", "80052061")</f>
        <v>80052061</v>
      </c>
      <c r="F1908" s="11" t="s">
        <v>5408</v>
      </c>
      <c r="G1908" s="11" t="s">
        <v>5307</v>
      </c>
      <c r="H1908" s="11" t="s">
        <v>5409</v>
      </c>
      <c r="I1908" s="11" t="s">
        <v>5192</v>
      </c>
    </row>
    <row r="1909" spans="1:9" x14ac:dyDescent="0.15">
      <c r="A1909" s="10">
        <v>1908</v>
      </c>
      <c r="B1909" s="11" t="s">
        <v>9</v>
      </c>
      <c r="C1909" s="11" t="s">
        <v>179</v>
      </c>
      <c r="D1909" s="11" t="s">
        <v>180</v>
      </c>
      <c r="E1909" s="9" t="str">
        <f>+HYPERLINK("http://trademark.i-assist.jp/data/china/image_1908th/80052248.pdf", "80052248")</f>
        <v>80052248</v>
      </c>
      <c r="F1909" s="11" t="s">
        <v>5410</v>
      </c>
      <c r="G1909" s="11" t="s">
        <v>5411</v>
      </c>
      <c r="H1909" s="11" t="s">
        <v>5412</v>
      </c>
      <c r="I1909" s="11" t="s">
        <v>5192</v>
      </c>
    </row>
    <row r="1910" spans="1:9" x14ac:dyDescent="0.15">
      <c r="A1910" s="10">
        <v>1909</v>
      </c>
      <c r="B1910" s="11" t="s">
        <v>9</v>
      </c>
      <c r="C1910" s="11" t="s">
        <v>179</v>
      </c>
      <c r="D1910" s="11" t="s">
        <v>180</v>
      </c>
      <c r="E1910" s="9" t="str">
        <f>+HYPERLINK("http://trademark.i-assist.jp/data/china/image_1908th/80052321.pdf", "80052321")</f>
        <v>80052321</v>
      </c>
      <c r="F1910" s="11" t="s">
        <v>5413</v>
      </c>
      <c r="G1910" s="11" t="s">
        <v>4736</v>
      </c>
      <c r="H1910" s="11" t="s">
        <v>5414</v>
      </c>
      <c r="I1910" s="11" t="s">
        <v>5192</v>
      </c>
    </row>
    <row r="1911" spans="1:9" x14ac:dyDescent="0.15">
      <c r="A1911" s="10">
        <v>1910</v>
      </c>
      <c r="B1911" s="11" t="s">
        <v>9</v>
      </c>
      <c r="C1911" s="11" t="s">
        <v>179</v>
      </c>
      <c r="D1911" s="11" t="s">
        <v>180</v>
      </c>
      <c r="E1911" s="9" t="str">
        <f>+HYPERLINK("http://trademark.i-assist.jp/data/china/image_1908th/80052329.pdf", "80052329")</f>
        <v>80052329</v>
      </c>
      <c r="F1911" s="11" t="s">
        <v>5415</v>
      </c>
      <c r="G1911" s="11" t="s">
        <v>5260</v>
      </c>
      <c r="H1911" s="11" t="s">
        <v>5416</v>
      </c>
      <c r="I1911" s="11" t="s">
        <v>5192</v>
      </c>
    </row>
    <row r="1912" spans="1:9" x14ac:dyDescent="0.15">
      <c r="A1912" s="10">
        <v>1911</v>
      </c>
      <c r="B1912" s="11" t="s">
        <v>9</v>
      </c>
      <c r="C1912" s="11" t="s">
        <v>179</v>
      </c>
      <c r="D1912" s="11" t="s">
        <v>180</v>
      </c>
      <c r="E1912" s="9" t="str">
        <f>+HYPERLINK("http://trademark.i-assist.jp/data/china/image_1908th/80052362.pdf", "80052362")</f>
        <v>80052362</v>
      </c>
      <c r="F1912" s="11" t="s">
        <v>5417</v>
      </c>
      <c r="G1912" s="11" t="s">
        <v>5260</v>
      </c>
      <c r="H1912" s="11" t="s">
        <v>5418</v>
      </c>
      <c r="I1912" s="11" t="s">
        <v>5192</v>
      </c>
    </row>
    <row r="1913" spans="1:9" x14ac:dyDescent="0.15">
      <c r="A1913" s="10">
        <v>1912</v>
      </c>
      <c r="B1913" s="11" t="s">
        <v>9</v>
      </c>
      <c r="C1913" s="11" t="s">
        <v>179</v>
      </c>
      <c r="D1913" s="11" t="s">
        <v>180</v>
      </c>
      <c r="E1913" s="9" t="str">
        <f>+HYPERLINK("http://trademark.i-assist.jp/data/china/image_1908th/80052387.pdf", "80052387")</f>
        <v>80052387</v>
      </c>
      <c r="F1913" s="11" t="s">
        <v>5419</v>
      </c>
      <c r="G1913" s="11" t="s">
        <v>5260</v>
      </c>
      <c r="H1913" s="11" t="s">
        <v>5420</v>
      </c>
      <c r="I1913" s="11" t="s">
        <v>5192</v>
      </c>
    </row>
    <row r="1914" spans="1:9" x14ac:dyDescent="0.15">
      <c r="A1914" s="10">
        <v>1913</v>
      </c>
      <c r="B1914" s="11" t="s">
        <v>9</v>
      </c>
      <c r="C1914" s="11" t="s">
        <v>179</v>
      </c>
      <c r="D1914" s="11" t="s">
        <v>180</v>
      </c>
      <c r="E1914" s="9" t="str">
        <f>+HYPERLINK("http://trademark.i-assist.jp/data/china/image_1908th/80052661.pdf", "80052661")</f>
        <v>80052661</v>
      </c>
      <c r="F1914" s="11" t="s">
        <v>5421</v>
      </c>
      <c r="G1914" s="11" t="s">
        <v>5422</v>
      </c>
      <c r="H1914" s="11" t="s">
        <v>5423</v>
      </c>
      <c r="I1914" s="11" t="s">
        <v>5192</v>
      </c>
    </row>
    <row r="1915" spans="1:9" x14ac:dyDescent="0.15">
      <c r="A1915" s="10">
        <v>1914</v>
      </c>
      <c r="B1915" s="11" t="s">
        <v>9</v>
      </c>
      <c r="C1915" s="11" t="s">
        <v>179</v>
      </c>
      <c r="D1915" s="11" t="s">
        <v>180</v>
      </c>
      <c r="E1915" s="9" t="str">
        <f>+HYPERLINK("http://trademark.i-assist.jp/data/china/image_1908th/80052774.pdf", "80052774")</f>
        <v>80052774</v>
      </c>
      <c r="F1915" s="11" t="s">
        <v>5424</v>
      </c>
      <c r="G1915" s="11" t="s">
        <v>5292</v>
      </c>
      <c r="H1915" s="11" t="s">
        <v>5425</v>
      </c>
      <c r="I1915" s="11" t="s">
        <v>5192</v>
      </c>
    </row>
    <row r="1916" spans="1:9" x14ac:dyDescent="0.15">
      <c r="A1916" s="10">
        <v>1915</v>
      </c>
      <c r="B1916" s="11" t="s">
        <v>9</v>
      </c>
      <c r="C1916" s="11" t="s">
        <v>179</v>
      </c>
      <c r="D1916" s="11" t="s">
        <v>180</v>
      </c>
      <c r="E1916" s="9" t="str">
        <f>+HYPERLINK("http://trademark.i-assist.jp/data/china/image_1908th/80052841.pdf", "80052841")</f>
        <v>80052841</v>
      </c>
      <c r="F1916" s="11" t="s">
        <v>5426</v>
      </c>
      <c r="G1916" s="11" t="s">
        <v>5427</v>
      </c>
      <c r="H1916" s="11" t="s">
        <v>5428</v>
      </c>
      <c r="I1916" s="11" t="s">
        <v>5192</v>
      </c>
    </row>
    <row r="1917" spans="1:9" x14ac:dyDescent="0.15">
      <c r="A1917" s="10">
        <v>1916</v>
      </c>
      <c r="B1917" s="11" t="s">
        <v>9</v>
      </c>
      <c r="C1917" s="11" t="s">
        <v>179</v>
      </c>
      <c r="D1917" s="11" t="s">
        <v>180</v>
      </c>
      <c r="E1917" s="9" t="str">
        <f>+HYPERLINK("http://trademark.i-assist.jp/data/china/image_1908th/80052854.pdf", "80052854")</f>
        <v>80052854</v>
      </c>
      <c r="F1917" s="11" t="s">
        <v>5429</v>
      </c>
      <c r="G1917" s="11" t="s">
        <v>5430</v>
      </c>
      <c r="H1917" s="11" t="s">
        <v>5431</v>
      </c>
      <c r="I1917" s="11" t="s">
        <v>5192</v>
      </c>
    </row>
    <row r="1918" spans="1:9" x14ac:dyDescent="0.15">
      <c r="A1918" s="10">
        <v>1917</v>
      </c>
      <c r="B1918" s="11" t="s">
        <v>9</v>
      </c>
      <c r="C1918" s="11" t="s">
        <v>179</v>
      </c>
      <c r="D1918" s="11" t="s">
        <v>180</v>
      </c>
      <c r="E1918" s="9" t="str">
        <f>+HYPERLINK("http://trademark.i-assist.jp/data/china/image_1908th/80053024.pdf", "80053024")</f>
        <v>80053024</v>
      </c>
      <c r="F1918" s="11" t="s">
        <v>10</v>
      </c>
      <c r="G1918" s="11" t="s">
        <v>5432</v>
      </c>
      <c r="H1918" s="11" t="s">
        <v>5433</v>
      </c>
      <c r="I1918" s="11" t="s">
        <v>5192</v>
      </c>
    </row>
    <row r="1919" spans="1:9" x14ac:dyDescent="0.15">
      <c r="A1919" s="10">
        <v>1918</v>
      </c>
      <c r="B1919" s="11" t="s">
        <v>9</v>
      </c>
      <c r="C1919" s="11" t="s">
        <v>179</v>
      </c>
      <c r="D1919" s="11" t="s">
        <v>180</v>
      </c>
      <c r="E1919" s="9" t="str">
        <f>+HYPERLINK("http://trademark.i-assist.jp/data/china/image_1908th/80053072.pdf", "80053072")</f>
        <v>80053072</v>
      </c>
      <c r="F1919" s="11" t="s">
        <v>5434</v>
      </c>
      <c r="G1919" s="11" t="s">
        <v>5435</v>
      </c>
      <c r="H1919" s="11" t="s">
        <v>5436</v>
      </c>
      <c r="I1919" s="11" t="s">
        <v>5192</v>
      </c>
    </row>
    <row r="1920" spans="1:9" x14ac:dyDescent="0.15">
      <c r="A1920" s="10">
        <v>1919</v>
      </c>
      <c r="B1920" s="11" t="s">
        <v>9</v>
      </c>
      <c r="C1920" s="11" t="s">
        <v>179</v>
      </c>
      <c r="D1920" s="11" t="s">
        <v>180</v>
      </c>
      <c r="E1920" s="9" t="str">
        <f>+HYPERLINK("http://trademark.i-assist.jp/data/china/image_1908th/80053105.pdf", "80053105")</f>
        <v>80053105</v>
      </c>
      <c r="F1920" s="11" t="s">
        <v>5437</v>
      </c>
      <c r="G1920" s="11" t="s">
        <v>5438</v>
      </c>
      <c r="H1920" s="11" t="s">
        <v>5439</v>
      </c>
      <c r="I1920" s="11" t="s">
        <v>5192</v>
      </c>
    </row>
    <row r="1921" spans="1:9" x14ac:dyDescent="0.15">
      <c r="A1921" s="10">
        <v>1920</v>
      </c>
      <c r="B1921" s="11" t="s">
        <v>9</v>
      </c>
      <c r="C1921" s="11" t="s">
        <v>179</v>
      </c>
      <c r="D1921" s="11" t="s">
        <v>180</v>
      </c>
      <c r="E1921" s="9" t="str">
        <f>+HYPERLINK("http://trademark.i-assist.jp/data/china/image_1908th/80053156.pdf", "80053156")</f>
        <v>80053156</v>
      </c>
      <c r="F1921" s="11" t="s">
        <v>5440</v>
      </c>
      <c r="G1921" s="11" t="s">
        <v>5292</v>
      </c>
      <c r="H1921" s="11" t="s">
        <v>5441</v>
      </c>
      <c r="I1921" s="11" t="s">
        <v>5192</v>
      </c>
    </row>
    <row r="1922" spans="1:9" x14ac:dyDescent="0.15">
      <c r="A1922" s="10">
        <v>1921</v>
      </c>
      <c r="B1922" s="11" t="s">
        <v>9</v>
      </c>
      <c r="C1922" s="11" t="s">
        <v>179</v>
      </c>
      <c r="D1922" s="11" t="s">
        <v>180</v>
      </c>
      <c r="E1922" s="9" t="str">
        <f>+HYPERLINK("http://trademark.i-assist.jp/data/china/image_1908th/80053282.pdf", "80053282")</f>
        <v>80053282</v>
      </c>
      <c r="F1922" s="11" t="s">
        <v>10</v>
      </c>
      <c r="G1922" s="11" t="s">
        <v>110</v>
      </c>
      <c r="H1922" s="11" t="s">
        <v>5442</v>
      </c>
      <c r="I1922" s="11" t="s">
        <v>5192</v>
      </c>
    </row>
    <row r="1923" spans="1:9" x14ac:dyDescent="0.15">
      <c r="A1923" s="10">
        <v>1922</v>
      </c>
      <c r="B1923" s="11" t="s">
        <v>9</v>
      </c>
      <c r="C1923" s="11" t="s">
        <v>179</v>
      </c>
      <c r="D1923" s="11" t="s">
        <v>180</v>
      </c>
      <c r="E1923" s="9" t="str">
        <f>+HYPERLINK("http://trademark.i-assist.jp/data/china/image_1908th/80053290.pdf", "80053290")</f>
        <v>80053290</v>
      </c>
      <c r="F1923" s="11" t="s">
        <v>5443</v>
      </c>
      <c r="G1923" s="11" t="s">
        <v>5444</v>
      </c>
      <c r="H1923" s="11" t="s">
        <v>5445</v>
      </c>
      <c r="I1923" s="11" t="s">
        <v>5192</v>
      </c>
    </row>
    <row r="1924" spans="1:9" x14ac:dyDescent="0.15">
      <c r="A1924" s="10">
        <v>1923</v>
      </c>
      <c r="B1924" s="11" t="s">
        <v>9</v>
      </c>
      <c r="C1924" s="11" t="s">
        <v>179</v>
      </c>
      <c r="D1924" s="11" t="s">
        <v>180</v>
      </c>
      <c r="E1924" s="9" t="str">
        <f>+HYPERLINK("http://trademark.i-assist.jp/data/china/image_1908th/80053328.pdf", "80053328")</f>
        <v>80053328</v>
      </c>
      <c r="F1924" s="11" t="s">
        <v>5446</v>
      </c>
      <c r="G1924" s="11" t="s">
        <v>5447</v>
      </c>
      <c r="H1924" s="11" t="s">
        <v>5448</v>
      </c>
      <c r="I1924" s="11" t="s">
        <v>5192</v>
      </c>
    </row>
    <row r="1925" spans="1:9" x14ac:dyDescent="0.15">
      <c r="A1925" s="10">
        <v>1924</v>
      </c>
      <c r="B1925" s="11" t="s">
        <v>9</v>
      </c>
      <c r="C1925" s="11" t="s">
        <v>179</v>
      </c>
      <c r="D1925" s="11" t="s">
        <v>180</v>
      </c>
      <c r="E1925" s="9" t="str">
        <f>+HYPERLINK("http://trademark.i-assist.jp/data/china/image_1908th/80053639.pdf", "80053639")</f>
        <v>80053639</v>
      </c>
      <c r="F1925" s="11" t="s">
        <v>5449</v>
      </c>
      <c r="G1925" s="11" t="s">
        <v>5450</v>
      </c>
      <c r="H1925" s="11" t="s">
        <v>5451</v>
      </c>
      <c r="I1925" s="11" t="s">
        <v>5192</v>
      </c>
    </row>
    <row r="1926" spans="1:9" x14ac:dyDescent="0.15">
      <c r="A1926" s="10">
        <v>1925</v>
      </c>
      <c r="B1926" s="11" t="s">
        <v>9</v>
      </c>
      <c r="C1926" s="11" t="s">
        <v>179</v>
      </c>
      <c r="D1926" s="11" t="s">
        <v>180</v>
      </c>
      <c r="E1926" s="9" t="str">
        <f>+HYPERLINK("http://trademark.i-assist.jp/data/china/image_1908th/80053690.pdf", "80053690")</f>
        <v>80053690</v>
      </c>
      <c r="F1926" s="11" t="s">
        <v>5452</v>
      </c>
      <c r="G1926" s="11" t="s">
        <v>5453</v>
      </c>
      <c r="H1926" s="11" t="s">
        <v>5454</v>
      </c>
      <c r="I1926" s="11" t="s">
        <v>5192</v>
      </c>
    </row>
    <row r="1927" spans="1:9" x14ac:dyDescent="0.15">
      <c r="A1927" s="10">
        <v>1926</v>
      </c>
      <c r="B1927" s="11" t="s">
        <v>9</v>
      </c>
      <c r="C1927" s="11" t="s">
        <v>179</v>
      </c>
      <c r="D1927" s="11" t="s">
        <v>180</v>
      </c>
      <c r="E1927" s="9" t="str">
        <f>+HYPERLINK("http://trademark.i-assist.jp/data/china/image_1908th/80053812.pdf", "80053812")</f>
        <v>80053812</v>
      </c>
      <c r="F1927" s="11" t="s">
        <v>5455</v>
      </c>
      <c r="G1927" s="11" t="s">
        <v>5456</v>
      </c>
      <c r="H1927" s="11" t="s">
        <v>5457</v>
      </c>
      <c r="I1927" s="11" t="s">
        <v>5192</v>
      </c>
    </row>
    <row r="1928" spans="1:9" x14ac:dyDescent="0.15">
      <c r="A1928" s="10">
        <v>1927</v>
      </c>
      <c r="B1928" s="11" t="s">
        <v>9</v>
      </c>
      <c r="C1928" s="11" t="s">
        <v>179</v>
      </c>
      <c r="D1928" s="11" t="s">
        <v>180</v>
      </c>
      <c r="E1928" s="9" t="str">
        <f>+HYPERLINK("http://trademark.i-assist.jp/data/china/image_1908th/80053959.pdf", "80053959")</f>
        <v>80053959</v>
      </c>
      <c r="F1928" s="11" t="s">
        <v>5458</v>
      </c>
      <c r="G1928" s="11" t="s">
        <v>5459</v>
      </c>
      <c r="H1928" s="11" t="s">
        <v>5460</v>
      </c>
      <c r="I1928" s="11" t="s">
        <v>5192</v>
      </c>
    </row>
    <row r="1929" spans="1:9" x14ac:dyDescent="0.15">
      <c r="A1929" s="10">
        <v>1928</v>
      </c>
      <c r="B1929" s="11" t="s">
        <v>9</v>
      </c>
      <c r="C1929" s="11" t="s">
        <v>179</v>
      </c>
      <c r="D1929" s="11" t="s">
        <v>180</v>
      </c>
      <c r="E1929" s="9" t="str">
        <f>+HYPERLINK("http://trademark.i-assist.jp/data/china/image_1908th/80053984.pdf", "80053984")</f>
        <v>80053984</v>
      </c>
      <c r="F1929" s="11" t="s">
        <v>5461</v>
      </c>
      <c r="G1929" s="11" t="s">
        <v>5347</v>
      </c>
      <c r="H1929" s="11" t="s">
        <v>5462</v>
      </c>
      <c r="I1929" s="11" t="s">
        <v>5192</v>
      </c>
    </row>
    <row r="1930" spans="1:9" x14ac:dyDescent="0.15">
      <c r="A1930" s="10">
        <v>1929</v>
      </c>
      <c r="B1930" s="11" t="s">
        <v>9</v>
      </c>
      <c r="C1930" s="11" t="s">
        <v>179</v>
      </c>
      <c r="D1930" s="11" t="s">
        <v>180</v>
      </c>
      <c r="E1930" s="9" t="str">
        <f>+HYPERLINK("http://trademark.i-assist.jp/data/china/image_1908th/80054148.pdf", "80054148")</f>
        <v>80054148</v>
      </c>
      <c r="F1930" s="11" t="s">
        <v>5463</v>
      </c>
      <c r="G1930" s="11" t="s">
        <v>5364</v>
      </c>
      <c r="H1930" s="11" t="s">
        <v>5464</v>
      </c>
      <c r="I1930" s="11" t="s">
        <v>5192</v>
      </c>
    </row>
    <row r="1931" spans="1:9" x14ac:dyDescent="0.15">
      <c r="A1931" s="10">
        <v>1930</v>
      </c>
      <c r="B1931" s="11" t="s">
        <v>9</v>
      </c>
      <c r="C1931" s="11" t="s">
        <v>179</v>
      </c>
      <c r="D1931" s="11" t="s">
        <v>180</v>
      </c>
      <c r="E1931" s="9" t="str">
        <f>+HYPERLINK("http://trademark.i-assist.jp/data/china/image_1908th/80054186.pdf", "80054186")</f>
        <v>80054186</v>
      </c>
      <c r="F1931" s="11" t="s">
        <v>5465</v>
      </c>
      <c r="G1931" s="11" t="s">
        <v>5466</v>
      </c>
      <c r="H1931" s="11" t="s">
        <v>5467</v>
      </c>
      <c r="I1931" s="11" t="s">
        <v>5192</v>
      </c>
    </row>
    <row r="1932" spans="1:9" x14ac:dyDescent="0.15">
      <c r="A1932" s="10">
        <v>1931</v>
      </c>
      <c r="B1932" s="11" t="s">
        <v>9</v>
      </c>
      <c r="C1932" s="11" t="s">
        <v>179</v>
      </c>
      <c r="D1932" s="11" t="s">
        <v>180</v>
      </c>
      <c r="E1932" s="9" t="str">
        <f>+HYPERLINK("http://trademark.i-assist.jp/data/china/image_1908th/80054289.pdf", "80054289")</f>
        <v>80054289</v>
      </c>
      <c r="F1932" s="11" t="s">
        <v>5468</v>
      </c>
      <c r="G1932" s="11" t="s">
        <v>5469</v>
      </c>
      <c r="H1932" s="11" t="s">
        <v>5470</v>
      </c>
      <c r="I1932" s="11" t="s">
        <v>5192</v>
      </c>
    </row>
    <row r="1933" spans="1:9" x14ac:dyDescent="0.15">
      <c r="A1933" s="10">
        <v>1932</v>
      </c>
      <c r="B1933" s="11" t="s">
        <v>9</v>
      </c>
      <c r="C1933" s="11" t="s">
        <v>179</v>
      </c>
      <c r="D1933" s="11" t="s">
        <v>180</v>
      </c>
      <c r="E1933" s="9" t="str">
        <f>+HYPERLINK("http://trademark.i-assist.jp/data/china/image_1908th/80054340.pdf", "80054340")</f>
        <v>80054340</v>
      </c>
      <c r="F1933" s="11" t="s">
        <v>5471</v>
      </c>
      <c r="G1933" s="11" t="s">
        <v>5295</v>
      </c>
      <c r="H1933" s="11" t="s">
        <v>5472</v>
      </c>
      <c r="I1933" s="11" t="s">
        <v>5192</v>
      </c>
    </row>
    <row r="1934" spans="1:9" x14ac:dyDescent="0.15">
      <c r="A1934" s="10">
        <v>1933</v>
      </c>
      <c r="B1934" s="11" t="s">
        <v>9</v>
      </c>
      <c r="C1934" s="11" t="s">
        <v>179</v>
      </c>
      <c r="D1934" s="11" t="s">
        <v>180</v>
      </c>
      <c r="E1934" s="9" t="str">
        <f>+HYPERLINK("http://trademark.i-assist.jp/data/china/image_1908th/80054348.pdf", "80054348")</f>
        <v>80054348</v>
      </c>
      <c r="F1934" s="11" t="s">
        <v>5473</v>
      </c>
      <c r="G1934" s="11" t="s">
        <v>5474</v>
      </c>
      <c r="H1934" s="11" t="s">
        <v>5475</v>
      </c>
      <c r="I1934" s="11" t="s">
        <v>5192</v>
      </c>
    </row>
    <row r="1935" spans="1:9" x14ac:dyDescent="0.15">
      <c r="A1935" s="10">
        <v>1934</v>
      </c>
      <c r="B1935" s="11" t="s">
        <v>9</v>
      </c>
      <c r="C1935" s="11" t="s">
        <v>179</v>
      </c>
      <c r="D1935" s="11" t="s">
        <v>180</v>
      </c>
      <c r="E1935" s="9" t="str">
        <f>+HYPERLINK("http://trademark.i-assist.jp/data/china/image_1908th/80054524.pdf", "80054524")</f>
        <v>80054524</v>
      </c>
      <c r="F1935" s="11" t="s">
        <v>5476</v>
      </c>
      <c r="G1935" s="11" t="s">
        <v>5477</v>
      </c>
      <c r="H1935" s="11" t="s">
        <v>5478</v>
      </c>
      <c r="I1935" s="11" t="s">
        <v>5192</v>
      </c>
    </row>
    <row r="1936" spans="1:9" x14ac:dyDescent="0.15">
      <c r="A1936" s="10">
        <v>1935</v>
      </c>
      <c r="B1936" s="11" t="s">
        <v>9</v>
      </c>
      <c r="C1936" s="11" t="s">
        <v>179</v>
      </c>
      <c r="D1936" s="11" t="s">
        <v>180</v>
      </c>
      <c r="E1936" s="9" t="str">
        <f>+HYPERLINK("http://trademark.i-assist.jp/data/china/image_1908th/80054764.pdf", "80054764")</f>
        <v>80054764</v>
      </c>
      <c r="F1936" s="11" t="s">
        <v>5479</v>
      </c>
      <c r="G1936" s="11" t="s">
        <v>5201</v>
      </c>
      <c r="H1936" s="11" t="s">
        <v>5480</v>
      </c>
      <c r="I1936" s="11" t="s">
        <v>5192</v>
      </c>
    </row>
    <row r="1937" spans="1:9" x14ac:dyDescent="0.15">
      <c r="A1937" s="10">
        <v>1936</v>
      </c>
      <c r="B1937" s="11" t="s">
        <v>9</v>
      </c>
      <c r="C1937" s="11" t="s">
        <v>179</v>
      </c>
      <c r="D1937" s="11" t="s">
        <v>180</v>
      </c>
      <c r="E1937" s="9" t="str">
        <f>+HYPERLINK("http://trademark.i-assist.jp/data/china/image_1908th/80054817.pdf", "80054817")</f>
        <v>80054817</v>
      </c>
      <c r="F1937" s="11" t="s">
        <v>5481</v>
      </c>
      <c r="G1937" s="11" t="s">
        <v>4974</v>
      </c>
      <c r="H1937" s="11" t="s">
        <v>5482</v>
      </c>
      <c r="I1937" s="11" t="s">
        <v>5192</v>
      </c>
    </row>
    <row r="1938" spans="1:9" x14ac:dyDescent="0.15">
      <c r="A1938" s="10">
        <v>1937</v>
      </c>
      <c r="B1938" s="11" t="s">
        <v>9</v>
      </c>
      <c r="C1938" s="11" t="s">
        <v>179</v>
      </c>
      <c r="D1938" s="11" t="s">
        <v>180</v>
      </c>
      <c r="E1938" s="9" t="str">
        <f>+HYPERLINK("http://trademark.i-assist.jp/data/china/image_1908th/80054861.pdf", "80054861")</f>
        <v>80054861</v>
      </c>
      <c r="F1938" s="11" t="s">
        <v>5483</v>
      </c>
      <c r="G1938" s="11" t="s">
        <v>5484</v>
      </c>
      <c r="H1938" s="11" t="s">
        <v>5485</v>
      </c>
      <c r="I1938" s="11" t="s">
        <v>5192</v>
      </c>
    </row>
    <row r="1939" spans="1:9" x14ac:dyDescent="0.15">
      <c r="A1939" s="10">
        <v>1938</v>
      </c>
      <c r="B1939" s="11" t="s">
        <v>9</v>
      </c>
      <c r="C1939" s="11" t="s">
        <v>179</v>
      </c>
      <c r="D1939" s="11" t="s">
        <v>180</v>
      </c>
      <c r="E1939" s="9" t="str">
        <f>+HYPERLINK("http://trademark.i-assist.jp/data/china/image_1908th/80054893.pdf", "80054893")</f>
        <v>80054893</v>
      </c>
      <c r="F1939" s="11" t="s">
        <v>5486</v>
      </c>
      <c r="G1939" s="11" t="s">
        <v>5487</v>
      </c>
      <c r="H1939" s="11" t="s">
        <v>5488</v>
      </c>
      <c r="I1939" s="11" t="s">
        <v>5192</v>
      </c>
    </row>
    <row r="1940" spans="1:9" x14ac:dyDescent="0.15">
      <c r="A1940" s="10">
        <v>1939</v>
      </c>
      <c r="B1940" s="11" t="s">
        <v>9</v>
      </c>
      <c r="C1940" s="11" t="s">
        <v>179</v>
      </c>
      <c r="D1940" s="11" t="s">
        <v>180</v>
      </c>
      <c r="E1940" s="9" t="str">
        <f>+HYPERLINK("http://trademark.i-assist.jp/data/china/image_1908th/80055236.pdf", "80055236")</f>
        <v>80055236</v>
      </c>
      <c r="F1940" s="11" t="s">
        <v>5489</v>
      </c>
      <c r="G1940" s="11" t="s">
        <v>5490</v>
      </c>
      <c r="H1940" s="11" t="s">
        <v>5491</v>
      </c>
      <c r="I1940" s="11" t="s">
        <v>5192</v>
      </c>
    </row>
    <row r="1941" spans="1:9" x14ac:dyDescent="0.15">
      <c r="A1941" s="10">
        <v>1940</v>
      </c>
      <c r="B1941" s="11" t="s">
        <v>9</v>
      </c>
      <c r="C1941" s="11" t="s">
        <v>179</v>
      </c>
      <c r="D1941" s="11" t="s">
        <v>180</v>
      </c>
      <c r="E1941" s="9" t="str">
        <f>+HYPERLINK("http://trademark.i-assist.jp/data/china/image_1908th/80055290.pdf", "80055290")</f>
        <v>80055290</v>
      </c>
      <c r="F1941" s="11" t="s">
        <v>5492</v>
      </c>
      <c r="G1941" s="11" t="s">
        <v>5493</v>
      </c>
      <c r="H1941" s="11" t="s">
        <v>5494</v>
      </c>
      <c r="I1941" s="11" t="s">
        <v>5192</v>
      </c>
    </row>
    <row r="1942" spans="1:9" x14ac:dyDescent="0.15">
      <c r="A1942" s="10">
        <v>1941</v>
      </c>
      <c r="B1942" s="11" t="s">
        <v>9</v>
      </c>
      <c r="C1942" s="11" t="s">
        <v>179</v>
      </c>
      <c r="D1942" s="11" t="s">
        <v>180</v>
      </c>
      <c r="E1942" s="9" t="str">
        <f>+HYPERLINK("http://trademark.i-assist.jp/data/china/image_1908th/80055410.pdf", "80055410")</f>
        <v>80055410</v>
      </c>
      <c r="F1942" s="11" t="s">
        <v>5495</v>
      </c>
      <c r="G1942" s="11" t="s">
        <v>5496</v>
      </c>
      <c r="H1942" s="11" t="s">
        <v>5497</v>
      </c>
      <c r="I1942" s="11" t="s">
        <v>5192</v>
      </c>
    </row>
    <row r="1943" spans="1:9" x14ac:dyDescent="0.15">
      <c r="A1943" s="10">
        <v>1942</v>
      </c>
      <c r="B1943" s="11" t="s">
        <v>9</v>
      </c>
      <c r="C1943" s="11" t="s">
        <v>179</v>
      </c>
      <c r="D1943" s="11" t="s">
        <v>180</v>
      </c>
      <c r="E1943" s="9" t="str">
        <f>+HYPERLINK("http://trademark.i-assist.jp/data/china/image_1908th/80055505.pdf", "80055505")</f>
        <v>80055505</v>
      </c>
      <c r="F1943" s="11" t="s">
        <v>5498</v>
      </c>
      <c r="G1943" s="11" t="s">
        <v>5499</v>
      </c>
      <c r="H1943" s="11" t="s">
        <v>5500</v>
      </c>
      <c r="I1943" s="11" t="s">
        <v>5192</v>
      </c>
    </row>
    <row r="1944" spans="1:9" x14ac:dyDescent="0.15">
      <c r="A1944" s="10">
        <v>1943</v>
      </c>
      <c r="B1944" s="11" t="s">
        <v>9</v>
      </c>
      <c r="C1944" s="11" t="s">
        <v>179</v>
      </c>
      <c r="D1944" s="11" t="s">
        <v>180</v>
      </c>
      <c r="E1944" s="9" t="str">
        <f>+HYPERLINK("http://trademark.i-assist.jp/data/china/image_1908th/80055520.pdf", "80055520")</f>
        <v>80055520</v>
      </c>
      <c r="F1944" s="11" t="s">
        <v>5501</v>
      </c>
      <c r="G1944" s="11" t="s">
        <v>5502</v>
      </c>
      <c r="H1944" s="11" t="s">
        <v>5503</v>
      </c>
      <c r="I1944" s="11" t="s">
        <v>5192</v>
      </c>
    </row>
    <row r="1945" spans="1:9" x14ac:dyDescent="0.15">
      <c r="A1945" s="10">
        <v>1944</v>
      </c>
      <c r="B1945" s="11" t="s">
        <v>9</v>
      </c>
      <c r="C1945" s="11" t="s">
        <v>179</v>
      </c>
      <c r="D1945" s="11" t="s">
        <v>180</v>
      </c>
      <c r="E1945" s="9" t="str">
        <f>+HYPERLINK("http://trademark.i-assist.jp/data/china/image_1908th/80055575.pdf", "80055575")</f>
        <v>80055575</v>
      </c>
      <c r="F1945" s="11" t="s">
        <v>5504</v>
      </c>
      <c r="G1945" s="11" t="s">
        <v>5505</v>
      </c>
      <c r="H1945" s="11" t="s">
        <v>5506</v>
      </c>
      <c r="I1945" s="11" t="s">
        <v>5192</v>
      </c>
    </row>
    <row r="1946" spans="1:9" x14ac:dyDescent="0.15">
      <c r="A1946" s="10">
        <v>1945</v>
      </c>
      <c r="B1946" s="11" t="s">
        <v>9</v>
      </c>
      <c r="C1946" s="11" t="s">
        <v>179</v>
      </c>
      <c r="D1946" s="11" t="s">
        <v>180</v>
      </c>
      <c r="E1946" s="9" t="str">
        <f>+HYPERLINK("http://trademark.i-assist.jp/data/china/image_1908th/80055598.pdf", "80055598")</f>
        <v>80055598</v>
      </c>
      <c r="F1946" s="11" t="s">
        <v>5507</v>
      </c>
      <c r="G1946" s="11" t="s">
        <v>5295</v>
      </c>
      <c r="H1946" s="11" t="s">
        <v>5508</v>
      </c>
      <c r="I1946" s="11" t="s">
        <v>5192</v>
      </c>
    </row>
    <row r="1947" spans="1:9" x14ac:dyDescent="0.15">
      <c r="A1947" s="10">
        <v>1946</v>
      </c>
      <c r="B1947" s="11" t="s">
        <v>9</v>
      </c>
      <c r="C1947" s="11" t="s">
        <v>179</v>
      </c>
      <c r="D1947" s="11" t="s">
        <v>180</v>
      </c>
      <c r="E1947" s="9" t="str">
        <f>+HYPERLINK("http://trademark.i-assist.jp/data/china/image_1908th/80055620.pdf", "80055620")</f>
        <v>80055620</v>
      </c>
      <c r="F1947" s="11" t="s">
        <v>5509</v>
      </c>
      <c r="G1947" s="11" t="s">
        <v>5510</v>
      </c>
      <c r="H1947" s="11" t="s">
        <v>5511</v>
      </c>
      <c r="I1947" s="11" t="s">
        <v>5192</v>
      </c>
    </row>
    <row r="1948" spans="1:9" x14ac:dyDescent="0.15">
      <c r="A1948" s="10">
        <v>1947</v>
      </c>
      <c r="B1948" s="11" t="s">
        <v>9</v>
      </c>
      <c r="C1948" s="11" t="s">
        <v>179</v>
      </c>
      <c r="D1948" s="11" t="s">
        <v>180</v>
      </c>
      <c r="E1948" s="9" t="str">
        <f>+HYPERLINK("http://trademark.i-assist.jp/data/china/image_1908th/80055799.pdf", "80055799")</f>
        <v>80055799</v>
      </c>
      <c r="F1948" s="11" t="s">
        <v>5512</v>
      </c>
      <c r="G1948" s="11" t="s">
        <v>5513</v>
      </c>
      <c r="H1948" s="11" t="s">
        <v>5514</v>
      </c>
      <c r="I1948" s="11" t="s">
        <v>5192</v>
      </c>
    </row>
    <row r="1949" spans="1:9" x14ac:dyDescent="0.15">
      <c r="A1949" s="10">
        <v>1948</v>
      </c>
      <c r="B1949" s="11" t="s">
        <v>9</v>
      </c>
      <c r="C1949" s="11" t="s">
        <v>179</v>
      </c>
      <c r="D1949" s="11" t="s">
        <v>180</v>
      </c>
      <c r="E1949" s="9" t="str">
        <f>+HYPERLINK("http://trademark.i-assist.jp/data/china/image_1908th/80055864.pdf", "80055864")</f>
        <v>80055864</v>
      </c>
      <c r="F1949" s="11" t="s">
        <v>5515</v>
      </c>
      <c r="G1949" s="11" t="s">
        <v>5516</v>
      </c>
      <c r="H1949" s="11" t="s">
        <v>5517</v>
      </c>
      <c r="I1949" s="11" t="s">
        <v>5192</v>
      </c>
    </row>
    <row r="1950" spans="1:9" x14ac:dyDescent="0.15">
      <c r="A1950" s="10">
        <v>1949</v>
      </c>
      <c r="B1950" s="11" t="s">
        <v>9</v>
      </c>
      <c r="C1950" s="11" t="s">
        <v>179</v>
      </c>
      <c r="D1950" s="11" t="s">
        <v>180</v>
      </c>
      <c r="E1950" s="9" t="str">
        <f>+HYPERLINK("http://trademark.i-assist.jp/data/china/image_1908th/80055867.pdf", "80055867")</f>
        <v>80055867</v>
      </c>
      <c r="F1950" s="11" t="s">
        <v>5518</v>
      </c>
      <c r="G1950" s="11" t="s">
        <v>5304</v>
      </c>
      <c r="H1950" s="11" t="s">
        <v>5519</v>
      </c>
      <c r="I1950" s="11" t="s">
        <v>5192</v>
      </c>
    </row>
    <row r="1951" spans="1:9" x14ac:dyDescent="0.15">
      <c r="A1951" s="10">
        <v>1950</v>
      </c>
      <c r="B1951" s="11" t="s">
        <v>9</v>
      </c>
      <c r="C1951" s="11" t="s">
        <v>179</v>
      </c>
      <c r="D1951" s="11" t="s">
        <v>180</v>
      </c>
      <c r="E1951" s="9" t="str">
        <f>+HYPERLINK("http://trademark.i-assist.jp/data/china/image_1908th/80055973.pdf", "80055973")</f>
        <v>80055973</v>
      </c>
      <c r="F1951" s="11" t="s">
        <v>5520</v>
      </c>
      <c r="G1951" s="11" t="s">
        <v>5521</v>
      </c>
      <c r="H1951" s="11" t="s">
        <v>5522</v>
      </c>
      <c r="I1951" s="11" t="s">
        <v>5192</v>
      </c>
    </row>
    <row r="1952" spans="1:9" x14ac:dyDescent="0.15">
      <c r="A1952" s="10">
        <v>1951</v>
      </c>
      <c r="B1952" s="11" t="s">
        <v>9</v>
      </c>
      <c r="C1952" s="11" t="s">
        <v>179</v>
      </c>
      <c r="D1952" s="11" t="s">
        <v>180</v>
      </c>
      <c r="E1952" s="9" t="str">
        <f>+HYPERLINK("http://trademark.i-assist.jp/data/china/image_1908th/80056054.pdf", "80056054")</f>
        <v>80056054</v>
      </c>
      <c r="F1952" s="11" t="s">
        <v>5523</v>
      </c>
      <c r="G1952" s="11" t="s">
        <v>5524</v>
      </c>
      <c r="H1952" s="11" t="s">
        <v>5525</v>
      </c>
      <c r="I1952" s="11" t="s">
        <v>5192</v>
      </c>
    </row>
    <row r="1953" spans="1:9" x14ac:dyDescent="0.15">
      <c r="A1953" s="10">
        <v>1952</v>
      </c>
      <c r="B1953" s="11" t="s">
        <v>9</v>
      </c>
      <c r="C1953" s="11" t="s">
        <v>179</v>
      </c>
      <c r="D1953" s="11" t="s">
        <v>180</v>
      </c>
      <c r="E1953" s="9" t="str">
        <f>+HYPERLINK("http://trademark.i-assist.jp/data/china/image_1908th/80056173.pdf", "80056173")</f>
        <v>80056173</v>
      </c>
      <c r="F1953" s="11" t="s">
        <v>5526</v>
      </c>
      <c r="G1953" s="11" t="s">
        <v>5370</v>
      </c>
      <c r="H1953" s="11" t="s">
        <v>5527</v>
      </c>
      <c r="I1953" s="11" t="s">
        <v>5192</v>
      </c>
    </row>
    <row r="1954" spans="1:9" x14ac:dyDescent="0.15">
      <c r="A1954" s="10">
        <v>1953</v>
      </c>
      <c r="B1954" s="11" t="s">
        <v>9</v>
      </c>
      <c r="C1954" s="11" t="s">
        <v>179</v>
      </c>
      <c r="D1954" s="11" t="s">
        <v>180</v>
      </c>
      <c r="E1954" s="9" t="str">
        <f>+HYPERLINK("http://trademark.i-assist.jp/data/china/image_1908th/80056232.pdf", "80056232")</f>
        <v>80056232</v>
      </c>
      <c r="F1954" s="11" t="s">
        <v>5528</v>
      </c>
      <c r="G1954" s="11" t="s">
        <v>5529</v>
      </c>
      <c r="H1954" s="11" t="s">
        <v>5530</v>
      </c>
      <c r="I1954" s="11" t="s">
        <v>5192</v>
      </c>
    </row>
    <row r="1955" spans="1:9" x14ac:dyDescent="0.15">
      <c r="A1955" s="10">
        <v>1954</v>
      </c>
      <c r="B1955" s="11" t="s">
        <v>9</v>
      </c>
      <c r="C1955" s="11" t="s">
        <v>179</v>
      </c>
      <c r="D1955" s="11" t="s">
        <v>180</v>
      </c>
      <c r="E1955" s="9" t="str">
        <f>+HYPERLINK("http://trademark.i-assist.jp/data/china/image_1908th/80056339.pdf", "80056339")</f>
        <v>80056339</v>
      </c>
      <c r="F1955" s="11" t="s">
        <v>5531</v>
      </c>
      <c r="G1955" s="11" t="s">
        <v>5532</v>
      </c>
      <c r="H1955" s="11" t="s">
        <v>5533</v>
      </c>
      <c r="I1955" s="11" t="s">
        <v>5192</v>
      </c>
    </row>
    <row r="1956" spans="1:9" x14ac:dyDescent="0.15">
      <c r="A1956" s="10">
        <v>1955</v>
      </c>
      <c r="B1956" s="11" t="s">
        <v>9</v>
      </c>
      <c r="C1956" s="11" t="s">
        <v>179</v>
      </c>
      <c r="D1956" s="11" t="s">
        <v>180</v>
      </c>
      <c r="E1956" s="9" t="str">
        <f>+HYPERLINK("http://trademark.i-assist.jp/data/china/image_1908th/80056409.pdf", "80056409")</f>
        <v>80056409</v>
      </c>
      <c r="F1956" s="11" t="s">
        <v>5534</v>
      </c>
      <c r="G1956" s="11" t="s">
        <v>5535</v>
      </c>
      <c r="H1956" s="11" t="s">
        <v>5536</v>
      </c>
      <c r="I1956" s="11" t="s">
        <v>5192</v>
      </c>
    </row>
    <row r="1957" spans="1:9" x14ac:dyDescent="0.15">
      <c r="A1957" s="10">
        <v>1956</v>
      </c>
      <c r="B1957" s="11" t="s">
        <v>9</v>
      </c>
      <c r="C1957" s="11" t="s">
        <v>179</v>
      </c>
      <c r="D1957" s="11" t="s">
        <v>180</v>
      </c>
      <c r="E1957" s="9" t="str">
        <f>+HYPERLINK("http://trademark.i-assist.jp/data/china/image_1908th/80056508.pdf", "80056508")</f>
        <v>80056508</v>
      </c>
      <c r="F1957" s="11" t="s">
        <v>5537</v>
      </c>
      <c r="G1957" s="11" t="s">
        <v>5538</v>
      </c>
      <c r="H1957" s="11" t="s">
        <v>5539</v>
      </c>
      <c r="I1957" s="11" t="s">
        <v>5192</v>
      </c>
    </row>
    <row r="1958" spans="1:9" x14ac:dyDescent="0.15">
      <c r="A1958" s="10">
        <v>1957</v>
      </c>
      <c r="B1958" s="11" t="s">
        <v>9</v>
      </c>
      <c r="C1958" s="11" t="s">
        <v>179</v>
      </c>
      <c r="D1958" s="11" t="s">
        <v>180</v>
      </c>
      <c r="E1958" s="9" t="str">
        <f>+HYPERLINK("http://trademark.i-assist.jp/data/china/image_1908th/80056545.pdf", "80056545")</f>
        <v>80056545</v>
      </c>
      <c r="F1958" s="11" t="s">
        <v>5540</v>
      </c>
      <c r="G1958" s="11" t="s">
        <v>5260</v>
      </c>
      <c r="H1958" s="11" t="s">
        <v>5541</v>
      </c>
      <c r="I1958" s="11" t="s">
        <v>5192</v>
      </c>
    </row>
    <row r="1959" spans="1:9" x14ac:dyDescent="0.15">
      <c r="A1959" s="10">
        <v>1958</v>
      </c>
      <c r="B1959" s="11" t="s">
        <v>9</v>
      </c>
      <c r="C1959" s="11" t="s">
        <v>179</v>
      </c>
      <c r="D1959" s="11" t="s">
        <v>180</v>
      </c>
      <c r="E1959" s="9" t="str">
        <f>+HYPERLINK("http://trademark.i-assist.jp/data/china/image_1908th/80056650.pdf", "80056650")</f>
        <v>80056650</v>
      </c>
      <c r="F1959" s="11" t="s">
        <v>5542</v>
      </c>
      <c r="G1959" s="11" t="s">
        <v>5543</v>
      </c>
      <c r="H1959" s="11" t="s">
        <v>5544</v>
      </c>
      <c r="I1959" s="11" t="s">
        <v>5192</v>
      </c>
    </row>
    <row r="1960" spans="1:9" x14ac:dyDescent="0.15">
      <c r="A1960" s="10">
        <v>1959</v>
      </c>
      <c r="B1960" s="11" t="s">
        <v>9</v>
      </c>
      <c r="C1960" s="11" t="s">
        <v>179</v>
      </c>
      <c r="D1960" s="11" t="s">
        <v>180</v>
      </c>
      <c r="E1960" s="9" t="str">
        <f>+HYPERLINK("http://trademark.i-assist.jp/data/china/image_1908th/80056671.pdf", "80056671")</f>
        <v>80056671</v>
      </c>
      <c r="F1960" s="11" t="s">
        <v>5545</v>
      </c>
      <c r="G1960" s="11" t="s">
        <v>5286</v>
      </c>
      <c r="H1960" s="11" t="s">
        <v>5546</v>
      </c>
      <c r="I1960" s="11" t="s">
        <v>5192</v>
      </c>
    </row>
    <row r="1961" spans="1:9" x14ac:dyDescent="0.15">
      <c r="A1961" s="10">
        <v>1960</v>
      </c>
      <c r="B1961" s="11" t="s">
        <v>9</v>
      </c>
      <c r="C1961" s="11" t="s">
        <v>179</v>
      </c>
      <c r="D1961" s="11" t="s">
        <v>180</v>
      </c>
      <c r="E1961" s="9" t="str">
        <f>+HYPERLINK("http://trademark.i-assist.jp/data/china/image_1908th/80056730.pdf", "80056730")</f>
        <v>80056730</v>
      </c>
      <c r="F1961" s="11" t="s">
        <v>5547</v>
      </c>
      <c r="G1961" s="11" t="s">
        <v>5254</v>
      </c>
      <c r="H1961" s="11" t="s">
        <v>5548</v>
      </c>
      <c r="I1961" s="11" t="s">
        <v>5192</v>
      </c>
    </row>
    <row r="1962" spans="1:9" x14ac:dyDescent="0.15">
      <c r="A1962" s="10">
        <v>1961</v>
      </c>
      <c r="B1962" s="11" t="s">
        <v>9</v>
      </c>
      <c r="C1962" s="11" t="s">
        <v>179</v>
      </c>
      <c r="D1962" s="11" t="s">
        <v>180</v>
      </c>
      <c r="E1962" s="9" t="str">
        <f>+HYPERLINK("http://trademark.i-assist.jp/data/china/image_1908th/80056988.pdf", "80056988")</f>
        <v>80056988</v>
      </c>
      <c r="F1962" s="11" t="s">
        <v>5549</v>
      </c>
      <c r="G1962" s="11" t="s">
        <v>5550</v>
      </c>
      <c r="H1962" s="11" t="s">
        <v>5551</v>
      </c>
      <c r="I1962" s="11" t="s">
        <v>5192</v>
      </c>
    </row>
    <row r="1963" spans="1:9" x14ac:dyDescent="0.15">
      <c r="A1963" s="10">
        <v>1962</v>
      </c>
      <c r="B1963" s="11" t="s">
        <v>9</v>
      </c>
      <c r="C1963" s="11" t="s">
        <v>179</v>
      </c>
      <c r="D1963" s="11" t="s">
        <v>180</v>
      </c>
      <c r="E1963" s="9" t="str">
        <f>+HYPERLINK("http://trademark.i-assist.jp/data/china/image_1908th/80057242.pdf", "80057242")</f>
        <v>80057242</v>
      </c>
      <c r="F1963" s="11" t="s">
        <v>5552</v>
      </c>
      <c r="G1963" s="11" t="s">
        <v>5553</v>
      </c>
      <c r="H1963" s="11" t="s">
        <v>5554</v>
      </c>
      <c r="I1963" s="11" t="s">
        <v>5192</v>
      </c>
    </row>
    <row r="1964" spans="1:9" x14ac:dyDescent="0.15">
      <c r="A1964" s="10">
        <v>1963</v>
      </c>
      <c r="B1964" s="11" t="s">
        <v>9</v>
      </c>
      <c r="C1964" s="11" t="s">
        <v>179</v>
      </c>
      <c r="D1964" s="11" t="s">
        <v>180</v>
      </c>
      <c r="E1964" s="9" t="str">
        <f>+HYPERLINK("http://trademark.i-assist.jp/data/china/image_1908th/80057387.pdf", "80057387")</f>
        <v>80057387</v>
      </c>
      <c r="F1964" s="11" t="s">
        <v>5555</v>
      </c>
      <c r="G1964" s="11" t="s">
        <v>5556</v>
      </c>
      <c r="H1964" s="11" t="s">
        <v>5557</v>
      </c>
      <c r="I1964" s="11" t="s">
        <v>5192</v>
      </c>
    </row>
    <row r="1965" spans="1:9" x14ac:dyDescent="0.15">
      <c r="A1965" s="10">
        <v>1964</v>
      </c>
      <c r="B1965" s="11" t="s">
        <v>9</v>
      </c>
      <c r="C1965" s="11" t="s">
        <v>179</v>
      </c>
      <c r="D1965" s="11" t="s">
        <v>180</v>
      </c>
      <c r="E1965" s="9" t="str">
        <f>+HYPERLINK("http://trademark.i-assist.jp/data/china/image_1908th/80057534.pdf", "80057534")</f>
        <v>80057534</v>
      </c>
      <c r="F1965" s="11" t="s">
        <v>5558</v>
      </c>
      <c r="G1965" s="11" t="s">
        <v>5559</v>
      </c>
      <c r="H1965" s="11" t="s">
        <v>5560</v>
      </c>
      <c r="I1965" s="11" t="s">
        <v>5192</v>
      </c>
    </row>
    <row r="1966" spans="1:9" x14ac:dyDescent="0.15">
      <c r="A1966" s="10">
        <v>1965</v>
      </c>
      <c r="B1966" s="11" t="s">
        <v>9</v>
      </c>
      <c r="C1966" s="11" t="s">
        <v>179</v>
      </c>
      <c r="D1966" s="11" t="s">
        <v>180</v>
      </c>
      <c r="E1966" s="9" t="str">
        <f>+HYPERLINK("http://trademark.i-assist.jp/data/china/image_1908th/80057649.pdf", "80057649")</f>
        <v>80057649</v>
      </c>
      <c r="F1966" s="11" t="s">
        <v>5561</v>
      </c>
      <c r="G1966" s="11" t="s">
        <v>5562</v>
      </c>
      <c r="H1966" s="11" t="s">
        <v>5563</v>
      </c>
      <c r="I1966" s="11" t="s">
        <v>5192</v>
      </c>
    </row>
    <row r="1967" spans="1:9" x14ac:dyDescent="0.15">
      <c r="A1967" s="10">
        <v>1966</v>
      </c>
      <c r="B1967" s="11" t="s">
        <v>9</v>
      </c>
      <c r="C1967" s="11" t="s">
        <v>179</v>
      </c>
      <c r="D1967" s="11" t="s">
        <v>180</v>
      </c>
      <c r="E1967" s="9" t="str">
        <f>+HYPERLINK("http://trademark.i-assist.jp/data/china/image_1908th/80057875.pdf", "80057875")</f>
        <v>80057875</v>
      </c>
      <c r="F1967" s="11" t="s">
        <v>5564</v>
      </c>
      <c r="G1967" s="11" t="s">
        <v>5565</v>
      </c>
      <c r="H1967" s="11" t="s">
        <v>5566</v>
      </c>
      <c r="I1967" s="11" t="s">
        <v>5192</v>
      </c>
    </row>
    <row r="1968" spans="1:9" x14ac:dyDescent="0.15">
      <c r="A1968" s="10">
        <v>1967</v>
      </c>
      <c r="B1968" s="11" t="s">
        <v>9</v>
      </c>
      <c r="C1968" s="11" t="s">
        <v>179</v>
      </c>
      <c r="D1968" s="11" t="s">
        <v>180</v>
      </c>
      <c r="E1968" s="9" t="str">
        <f>+HYPERLINK("http://trademark.i-assist.jp/data/china/image_1908th/80058044.pdf", "80058044")</f>
        <v>80058044</v>
      </c>
      <c r="F1968" s="11" t="s">
        <v>10</v>
      </c>
      <c r="G1968" s="11" t="s">
        <v>5567</v>
      </c>
      <c r="H1968" s="11" t="s">
        <v>5568</v>
      </c>
      <c r="I1968" s="11" t="s">
        <v>5192</v>
      </c>
    </row>
    <row r="1969" spans="1:9" x14ac:dyDescent="0.15">
      <c r="A1969" s="10">
        <v>1968</v>
      </c>
      <c r="B1969" s="11" t="s">
        <v>9</v>
      </c>
      <c r="C1969" s="11" t="s">
        <v>179</v>
      </c>
      <c r="D1969" s="11" t="s">
        <v>180</v>
      </c>
      <c r="E1969" s="9" t="str">
        <f>+HYPERLINK("http://trademark.i-assist.jp/data/china/image_1908th/80058354.pdf", "80058354")</f>
        <v>80058354</v>
      </c>
      <c r="F1969" s="11" t="s">
        <v>5569</v>
      </c>
      <c r="G1969" s="11" t="s">
        <v>5570</v>
      </c>
      <c r="H1969" s="11" t="s">
        <v>5571</v>
      </c>
      <c r="I1969" s="11" t="s">
        <v>5192</v>
      </c>
    </row>
    <row r="1970" spans="1:9" x14ac:dyDescent="0.15">
      <c r="A1970" s="10">
        <v>1969</v>
      </c>
      <c r="B1970" s="11" t="s">
        <v>9</v>
      </c>
      <c r="C1970" s="11" t="s">
        <v>179</v>
      </c>
      <c r="D1970" s="11" t="s">
        <v>180</v>
      </c>
      <c r="E1970" s="9" t="str">
        <f>+HYPERLINK("http://trademark.i-assist.jp/data/china/image_1908th/80058460.pdf", "80058460")</f>
        <v>80058460</v>
      </c>
      <c r="F1970" s="11" t="s">
        <v>5572</v>
      </c>
      <c r="G1970" s="11" t="s">
        <v>5573</v>
      </c>
      <c r="H1970" s="11" t="s">
        <v>5574</v>
      </c>
      <c r="I1970" s="11" t="s">
        <v>5192</v>
      </c>
    </row>
    <row r="1971" spans="1:9" x14ac:dyDescent="0.15">
      <c r="A1971" s="10">
        <v>1970</v>
      </c>
      <c r="B1971" s="11" t="s">
        <v>9</v>
      </c>
      <c r="C1971" s="11" t="s">
        <v>179</v>
      </c>
      <c r="D1971" s="11" t="s">
        <v>180</v>
      </c>
      <c r="E1971" s="9" t="str">
        <f>+HYPERLINK("http://trademark.i-assist.jp/data/china/image_1908th/80058584.pdf", "80058584")</f>
        <v>80058584</v>
      </c>
      <c r="F1971" s="11" t="s">
        <v>5429</v>
      </c>
      <c r="G1971" s="11" t="s">
        <v>5430</v>
      </c>
      <c r="H1971" s="11" t="s">
        <v>5575</v>
      </c>
      <c r="I1971" s="11" t="s">
        <v>5192</v>
      </c>
    </row>
    <row r="1972" spans="1:9" x14ac:dyDescent="0.15">
      <c r="A1972" s="10">
        <v>1971</v>
      </c>
      <c r="B1972" s="11" t="s">
        <v>9</v>
      </c>
      <c r="C1972" s="11" t="s">
        <v>179</v>
      </c>
      <c r="D1972" s="11" t="s">
        <v>180</v>
      </c>
      <c r="E1972" s="9" t="str">
        <f>+HYPERLINK("http://trademark.i-assist.jp/data/china/image_1908th/80058653.pdf", "80058653")</f>
        <v>80058653</v>
      </c>
      <c r="F1972" s="11" t="s">
        <v>5576</v>
      </c>
      <c r="G1972" s="11" t="s">
        <v>5577</v>
      </c>
      <c r="H1972" s="11" t="s">
        <v>5578</v>
      </c>
      <c r="I1972" s="11" t="s">
        <v>5192</v>
      </c>
    </row>
    <row r="1973" spans="1:9" x14ac:dyDescent="0.15">
      <c r="A1973" s="10">
        <v>1972</v>
      </c>
      <c r="B1973" s="11" t="s">
        <v>9</v>
      </c>
      <c r="C1973" s="11" t="s">
        <v>179</v>
      </c>
      <c r="D1973" s="11" t="s">
        <v>180</v>
      </c>
      <c r="E1973" s="9" t="str">
        <f>+HYPERLINK("http://trademark.i-assist.jp/data/china/image_1908th/80058691.pdf", "80058691")</f>
        <v>80058691</v>
      </c>
      <c r="F1973" s="11" t="s">
        <v>5579</v>
      </c>
      <c r="G1973" s="11" t="s">
        <v>5580</v>
      </c>
      <c r="H1973" s="11" t="s">
        <v>5581</v>
      </c>
      <c r="I1973" s="11" t="s">
        <v>5192</v>
      </c>
    </row>
    <row r="1974" spans="1:9" x14ac:dyDescent="0.15">
      <c r="A1974" s="10">
        <v>1973</v>
      </c>
      <c r="B1974" s="11" t="s">
        <v>9</v>
      </c>
      <c r="C1974" s="11" t="s">
        <v>179</v>
      </c>
      <c r="D1974" s="11" t="s">
        <v>180</v>
      </c>
      <c r="E1974" s="9" t="str">
        <f>+HYPERLINK("http://trademark.i-assist.jp/data/china/image_1908th/80058834.pdf", "80058834")</f>
        <v>80058834</v>
      </c>
      <c r="F1974" s="11" t="s">
        <v>5582</v>
      </c>
      <c r="G1974" s="11" t="s">
        <v>5583</v>
      </c>
      <c r="H1974" s="11" t="s">
        <v>5584</v>
      </c>
      <c r="I1974" s="11" t="s">
        <v>5192</v>
      </c>
    </row>
    <row r="1975" spans="1:9" x14ac:dyDescent="0.15">
      <c r="A1975" s="10">
        <v>1974</v>
      </c>
      <c r="B1975" s="11" t="s">
        <v>9</v>
      </c>
      <c r="C1975" s="11" t="s">
        <v>179</v>
      </c>
      <c r="D1975" s="11" t="s">
        <v>180</v>
      </c>
      <c r="E1975" s="9" t="str">
        <f>+HYPERLINK("http://trademark.i-assist.jp/data/china/image_1908th/80058994.pdf", "80058994")</f>
        <v>80058994</v>
      </c>
      <c r="F1975" s="11" t="s">
        <v>5585</v>
      </c>
      <c r="G1975" s="11" t="s">
        <v>2341</v>
      </c>
      <c r="H1975" s="11" t="s">
        <v>5586</v>
      </c>
      <c r="I1975" s="11" t="s">
        <v>5192</v>
      </c>
    </row>
    <row r="1976" spans="1:9" x14ac:dyDescent="0.15">
      <c r="A1976" s="10">
        <v>1975</v>
      </c>
      <c r="B1976" s="11" t="s">
        <v>9</v>
      </c>
      <c r="C1976" s="11" t="s">
        <v>179</v>
      </c>
      <c r="D1976" s="11" t="s">
        <v>180</v>
      </c>
      <c r="E1976" s="9" t="str">
        <f>+HYPERLINK("http://trademark.i-assist.jp/data/china/image_1908th/80059340.pdf", "80059340")</f>
        <v>80059340</v>
      </c>
      <c r="F1976" s="11" t="s">
        <v>5587</v>
      </c>
      <c r="G1976" s="11" t="s">
        <v>5588</v>
      </c>
      <c r="H1976" s="11" t="s">
        <v>5589</v>
      </c>
      <c r="I1976" s="11" t="s">
        <v>5192</v>
      </c>
    </row>
    <row r="1977" spans="1:9" x14ac:dyDescent="0.15">
      <c r="A1977" s="10">
        <v>1976</v>
      </c>
      <c r="B1977" s="11" t="s">
        <v>9</v>
      </c>
      <c r="C1977" s="11" t="s">
        <v>179</v>
      </c>
      <c r="D1977" s="11" t="s">
        <v>180</v>
      </c>
      <c r="E1977" s="9" t="str">
        <f>+HYPERLINK("http://trademark.i-assist.jp/data/china/image_1908th/80059644.pdf", "80059644")</f>
        <v>80059644</v>
      </c>
      <c r="F1977" s="11" t="s">
        <v>5590</v>
      </c>
      <c r="G1977" s="11" t="s">
        <v>5591</v>
      </c>
      <c r="H1977" s="11" t="s">
        <v>5592</v>
      </c>
      <c r="I1977" s="11" t="s">
        <v>5192</v>
      </c>
    </row>
    <row r="1978" spans="1:9" x14ac:dyDescent="0.15">
      <c r="A1978" s="10">
        <v>1977</v>
      </c>
      <c r="B1978" s="11" t="s">
        <v>9</v>
      </c>
      <c r="C1978" s="11" t="s">
        <v>179</v>
      </c>
      <c r="D1978" s="11" t="s">
        <v>180</v>
      </c>
      <c r="E1978" s="9" t="str">
        <f>+HYPERLINK("http://trademark.i-assist.jp/data/china/image_1908th/80059805.pdf", "80059805")</f>
        <v>80059805</v>
      </c>
      <c r="F1978" s="11" t="s">
        <v>5593</v>
      </c>
      <c r="G1978" s="11" t="s">
        <v>5594</v>
      </c>
      <c r="H1978" s="11" t="s">
        <v>5595</v>
      </c>
      <c r="I1978" s="11" t="s">
        <v>5192</v>
      </c>
    </row>
    <row r="1979" spans="1:9" x14ac:dyDescent="0.15">
      <c r="A1979" s="10">
        <v>1978</v>
      </c>
      <c r="B1979" s="11" t="s">
        <v>9</v>
      </c>
      <c r="C1979" s="11" t="s">
        <v>179</v>
      </c>
      <c r="D1979" s="11" t="s">
        <v>180</v>
      </c>
      <c r="E1979" s="9" t="str">
        <f>+HYPERLINK("http://trademark.i-assist.jp/data/china/image_1908th/80059898.pdf", "80059898")</f>
        <v>80059898</v>
      </c>
      <c r="F1979" s="11" t="s">
        <v>5206</v>
      </c>
      <c r="G1979" s="11" t="s">
        <v>5207</v>
      </c>
      <c r="H1979" s="11" t="s">
        <v>5596</v>
      </c>
      <c r="I1979" s="11" t="s">
        <v>5192</v>
      </c>
    </row>
    <row r="1980" spans="1:9" x14ac:dyDescent="0.15">
      <c r="A1980" s="10">
        <v>1979</v>
      </c>
      <c r="B1980" s="11" t="s">
        <v>9</v>
      </c>
      <c r="C1980" s="11" t="s">
        <v>179</v>
      </c>
      <c r="D1980" s="11" t="s">
        <v>180</v>
      </c>
      <c r="E1980" s="9" t="str">
        <f>+HYPERLINK("http://trademark.i-assist.jp/data/china/image_1908th/80059918.pdf", "80059918")</f>
        <v>80059918</v>
      </c>
      <c r="F1980" s="11" t="s">
        <v>5597</v>
      </c>
      <c r="G1980" s="11" t="s">
        <v>5598</v>
      </c>
      <c r="H1980" s="11" t="s">
        <v>5599</v>
      </c>
      <c r="I1980" s="11" t="s">
        <v>5192</v>
      </c>
    </row>
    <row r="1981" spans="1:9" x14ac:dyDescent="0.15">
      <c r="A1981" s="10">
        <v>1980</v>
      </c>
      <c r="B1981" s="11" t="s">
        <v>9</v>
      </c>
      <c r="C1981" s="11" t="s">
        <v>179</v>
      </c>
      <c r="D1981" s="11" t="s">
        <v>180</v>
      </c>
      <c r="E1981" s="9" t="str">
        <f>+HYPERLINK("http://trademark.i-assist.jp/data/china/image_1908th/80059990.pdf", "80059990")</f>
        <v>80059990</v>
      </c>
      <c r="F1981" s="11" t="s">
        <v>5600</v>
      </c>
      <c r="G1981" s="11" t="s">
        <v>5601</v>
      </c>
      <c r="H1981" s="11" t="s">
        <v>5602</v>
      </c>
      <c r="I1981" s="11" t="s">
        <v>5192</v>
      </c>
    </row>
    <row r="1982" spans="1:9" x14ac:dyDescent="0.15">
      <c r="A1982" s="10">
        <v>1981</v>
      </c>
      <c r="B1982" s="11" t="s">
        <v>9</v>
      </c>
      <c r="C1982" s="11" t="s">
        <v>179</v>
      </c>
      <c r="D1982" s="11" t="s">
        <v>180</v>
      </c>
      <c r="E1982" s="9" t="str">
        <f>+HYPERLINK("http://trademark.i-assist.jp/data/china/image_1908th/80060067.pdf", "80060067")</f>
        <v>80060067</v>
      </c>
      <c r="F1982" s="11" t="s">
        <v>5603</v>
      </c>
      <c r="G1982" s="11" t="s">
        <v>5604</v>
      </c>
      <c r="H1982" s="11" t="s">
        <v>5605</v>
      </c>
      <c r="I1982" s="11" t="s">
        <v>5192</v>
      </c>
    </row>
    <row r="1983" spans="1:9" x14ac:dyDescent="0.15">
      <c r="A1983" s="10">
        <v>1982</v>
      </c>
      <c r="B1983" s="11" t="s">
        <v>9</v>
      </c>
      <c r="C1983" s="11" t="s">
        <v>179</v>
      </c>
      <c r="D1983" s="11" t="s">
        <v>180</v>
      </c>
      <c r="E1983" s="9" t="str">
        <f>+HYPERLINK("http://trademark.i-assist.jp/data/china/image_1908th/80060151.pdf", "80060151")</f>
        <v>80060151</v>
      </c>
      <c r="F1983" s="11" t="s">
        <v>5606</v>
      </c>
      <c r="G1983" s="11" t="s">
        <v>5607</v>
      </c>
      <c r="H1983" s="11" t="s">
        <v>5608</v>
      </c>
      <c r="I1983" s="11" t="s">
        <v>5192</v>
      </c>
    </row>
    <row r="1984" spans="1:9" x14ac:dyDescent="0.15">
      <c r="A1984" s="10">
        <v>1983</v>
      </c>
      <c r="B1984" s="11" t="s">
        <v>9</v>
      </c>
      <c r="C1984" s="11" t="s">
        <v>179</v>
      </c>
      <c r="D1984" s="11" t="s">
        <v>180</v>
      </c>
      <c r="E1984" s="9" t="str">
        <f>+HYPERLINK("http://trademark.i-assist.jp/data/china/image_1908th/80060237.pdf", "80060237")</f>
        <v>80060237</v>
      </c>
      <c r="F1984" s="11" t="s">
        <v>5609</v>
      </c>
      <c r="G1984" s="11" t="s">
        <v>5610</v>
      </c>
      <c r="H1984" s="11" t="s">
        <v>5611</v>
      </c>
      <c r="I1984" s="11" t="s">
        <v>5192</v>
      </c>
    </row>
    <row r="1985" spans="1:9" x14ac:dyDescent="0.15">
      <c r="A1985" s="10">
        <v>1984</v>
      </c>
      <c r="B1985" s="11" t="s">
        <v>9</v>
      </c>
      <c r="C1985" s="11" t="s">
        <v>179</v>
      </c>
      <c r="D1985" s="11" t="s">
        <v>180</v>
      </c>
      <c r="E1985" s="9" t="str">
        <f>+HYPERLINK("http://trademark.i-assist.jp/data/china/image_1908th/80060351.pdf", "80060351")</f>
        <v>80060351</v>
      </c>
      <c r="F1985" s="11" t="s">
        <v>5612</v>
      </c>
      <c r="G1985" s="11" t="s">
        <v>5613</v>
      </c>
      <c r="H1985" s="11" t="s">
        <v>5614</v>
      </c>
      <c r="I1985" s="11" t="s">
        <v>5192</v>
      </c>
    </row>
    <row r="1986" spans="1:9" x14ac:dyDescent="0.15">
      <c r="A1986" s="10">
        <v>1985</v>
      </c>
      <c r="B1986" s="11" t="s">
        <v>9</v>
      </c>
      <c r="C1986" s="11" t="s">
        <v>179</v>
      </c>
      <c r="D1986" s="11" t="s">
        <v>180</v>
      </c>
      <c r="E1986" s="9" t="str">
        <f>+HYPERLINK("http://trademark.i-assist.jp/data/china/image_1908th/80060483.pdf", "80060483")</f>
        <v>80060483</v>
      </c>
      <c r="F1986" s="11" t="s">
        <v>5615</v>
      </c>
      <c r="G1986" s="11" t="s">
        <v>5210</v>
      </c>
      <c r="H1986" s="11" t="s">
        <v>5616</v>
      </c>
      <c r="I1986" s="11" t="s">
        <v>5192</v>
      </c>
    </row>
    <row r="1987" spans="1:9" x14ac:dyDescent="0.15">
      <c r="A1987" s="10">
        <v>1986</v>
      </c>
      <c r="B1987" s="11" t="s">
        <v>9</v>
      </c>
      <c r="C1987" s="11" t="s">
        <v>179</v>
      </c>
      <c r="D1987" s="11" t="s">
        <v>180</v>
      </c>
      <c r="E1987" s="9" t="str">
        <f>+HYPERLINK("http://trademark.i-assist.jp/data/china/image_1908th/80060701.pdf", "80060701")</f>
        <v>80060701</v>
      </c>
      <c r="F1987" s="11" t="s">
        <v>10</v>
      </c>
      <c r="G1987" s="11" t="s">
        <v>5617</v>
      </c>
      <c r="H1987" s="11" t="s">
        <v>5618</v>
      </c>
      <c r="I1987" s="11" t="s">
        <v>5192</v>
      </c>
    </row>
    <row r="1988" spans="1:9" x14ac:dyDescent="0.15">
      <c r="A1988" s="10">
        <v>1987</v>
      </c>
      <c r="B1988" s="11" t="s">
        <v>9</v>
      </c>
      <c r="C1988" s="11" t="s">
        <v>179</v>
      </c>
      <c r="D1988" s="11" t="s">
        <v>180</v>
      </c>
      <c r="E1988" s="9" t="str">
        <f>+HYPERLINK("http://trademark.i-assist.jp/data/china/image_1908th/80060938.pdf", "80060938")</f>
        <v>80060938</v>
      </c>
      <c r="F1988" s="11" t="s">
        <v>5619</v>
      </c>
      <c r="G1988" s="11" t="s">
        <v>5620</v>
      </c>
      <c r="H1988" s="11" t="s">
        <v>5621</v>
      </c>
      <c r="I1988" s="11" t="s">
        <v>5192</v>
      </c>
    </row>
    <row r="1989" spans="1:9" x14ac:dyDescent="0.15">
      <c r="A1989" s="10">
        <v>1988</v>
      </c>
      <c r="B1989" s="11" t="s">
        <v>9</v>
      </c>
      <c r="C1989" s="11" t="s">
        <v>179</v>
      </c>
      <c r="D1989" s="11" t="s">
        <v>180</v>
      </c>
      <c r="E1989" s="9" t="str">
        <f>+HYPERLINK("http://trademark.i-assist.jp/data/china/image_1908th/80061040.pdf", "80061040")</f>
        <v>80061040</v>
      </c>
      <c r="F1989" s="11" t="s">
        <v>5622</v>
      </c>
      <c r="G1989" s="11" t="s">
        <v>5260</v>
      </c>
      <c r="H1989" s="11" t="s">
        <v>5623</v>
      </c>
      <c r="I1989" s="11" t="s">
        <v>5192</v>
      </c>
    </row>
    <row r="1990" spans="1:9" x14ac:dyDescent="0.15">
      <c r="A1990" s="10">
        <v>1989</v>
      </c>
      <c r="B1990" s="11" t="s">
        <v>9</v>
      </c>
      <c r="C1990" s="11" t="s">
        <v>179</v>
      </c>
      <c r="D1990" s="11" t="s">
        <v>180</v>
      </c>
      <c r="E1990" s="9" t="str">
        <f>+HYPERLINK("http://trademark.i-assist.jp/data/china/image_1908th/80061164.pdf", "80061164")</f>
        <v>80061164</v>
      </c>
      <c r="F1990" s="11" t="s">
        <v>5624</v>
      </c>
      <c r="G1990" s="11" t="s">
        <v>5625</v>
      </c>
      <c r="H1990" s="11" t="s">
        <v>5626</v>
      </c>
      <c r="I1990" s="11" t="s">
        <v>5192</v>
      </c>
    </row>
    <row r="1991" spans="1:9" x14ac:dyDescent="0.15">
      <c r="A1991" s="10">
        <v>1990</v>
      </c>
      <c r="B1991" s="11" t="s">
        <v>9</v>
      </c>
      <c r="C1991" s="11" t="s">
        <v>179</v>
      </c>
      <c r="D1991" s="11" t="s">
        <v>180</v>
      </c>
      <c r="E1991" s="9" t="str">
        <f>+HYPERLINK("http://trademark.i-assist.jp/data/china/image_1908th/80061218.pdf", "80061218")</f>
        <v>80061218</v>
      </c>
      <c r="F1991" s="11" t="s">
        <v>5627</v>
      </c>
      <c r="G1991" s="11" t="s">
        <v>5628</v>
      </c>
      <c r="H1991" s="11" t="s">
        <v>5629</v>
      </c>
      <c r="I1991" s="11" t="s">
        <v>5192</v>
      </c>
    </row>
    <row r="1992" spans="1:9" x14ac:dyDescent="0.15">
      <c r="A1992" s="10">
        <v>1991</v>
      </c>
      <c r="B1992" s="11" t="s">
        <v>9</v>
      </c>
      <c r="C1992" s="11" t="s">
        <v>179</v>
      </c>
      <c r="D1992" s="11" t="s">
        <v>180</v>
      </c>
      <c r="E1992" s="9" t="str">
        <f>+HYPERLINK("http://trademark.i-assist.jp/data/china/image_1908th/80061244.pdf", "80061244")</f>
        <v>80061244</v>
      </c>
      <c r="F1992" s="11" t="s">
        <v>5630</v>
      </c>
      <c r="G1992" s="11" t="s">
        <v>5631</v>
      </c>
      <c r="H1992" s="11" t="s">
        <v>5632</v>
      </c>
      <c r="I1992" s="11" t="s">
        <v>5192</v>
      </c>
    </row>
    <row r="1993" spans="1:9" x14ac:dyDescent="0.15">
      <c r="A1993" s="10">
        <v>1992</v>
      </c>
      <c r="B1993" s="11" t="s">
        <v>9</v>
      </c>
      <c r="C1993" s="11" t="s">
        <v>179</v>
      </c>
      <c r="D1993" s="11" t="s">
        <v>180</v>
      </c>
      <c r="E1993" s="9" t="str">
        <f>+HYPERLINK("http://trademark.i-assist.jp/data/china/image_1908th/80061260.pdf", "80061260")</f>
        <v>80061260</v>
      </c>
      <c r="F1993" s="11" t="s">
        <v>5633</v>
      </c>
      <c r="G1993" s="11" t="s">
        <v>2042</v>
      </c>
      <c r="H1993" s="11" t="s">
        <v>5634</v>
      </c>
      <c r="I1993" s="11" t="s">
        <v>5192</v>
      </c>
    </row>
    <row r="1994" spans="1:9" x14ac:dyDescent="0.15">
      <c r="A1994" s="10">
        <v>1993</v>
      </c>
      <c r="B1994" s="11" t="s">
        <v>9</v>
      </c>
      <c r="C1994" s="11" t="s">
        <v>179</v>
      </c>
      <c r="D1994" s="11" t="s">
        <v>180</v>
      </c>
      <c r="E1994" s="9" t="str">
        <f>+HYPERLINK("http://trademark.i-assist.jp/data/china/image_1908th/80061452.pdf", "80061452")</f>
        <v>80061452</v>
      </c>
      <c r="F1994" s="11" t="s">
        <v>5635</v>
      </c>
      <c r="G1994" s="11" t="s">
        <v>5496</v>
      </c>
      <c r="H1994" s="11" t="s">
        <v>5636</v>
      </c>
      <c r="I1994" s="11" t="s">
        <v>5192</v>
      </c>
    </row>
    <row r="1995" spans="1:9" x14ac:dyDescent="0.15">
      <c r="A1995" s="10">
        <v>1994</v>
      </c>
      <c r="B1995" s="11" t="s">
        <v>9</v>
      </c>
      <c r="C1995" s="11" t="s">
        <v>179</v>
      </c>
      <c r="D1995" s="11" t="s">
        <v>180</v>
      </c>
      <c r="E1995" s="9" t="str">
        <f>+HYPERLINK("http://trademark.i-assist.jp/data/china/image_1908th/80061774.pdf", "80061774")</f>
        <v>80061774</v>
      </c>
      <c r="F1995" s="11" t="s">
        <v>5637</v>
      </c>
      <c r="G1995" s="11" t="s">
        <v>5638</v>
      </c>
      <c r="H1995" s="11" t="s">
        <v>5639</v>
      </c>
      <c r="I1995" s="11" t="s">
        <v>5192</v>
      </c>
    </row>
    <row r="1996" spans="1:9" x14ac:dyDescent="0.15">
      <c r="A1996" s="10">
        <v>1995</v>
      </c>
      <c r="B1996" s="11" t="s">
        <v>9</v>
      </c>
      <c r="C1996" s="11" t="s">
        <v>179</v>
      </c>
      <c r="D1996" s="11" t="s">
        <v>180</v>
      </c>
      <c r="E1996" s="9" t="str">
        <f>+HYPERLINK("http://trademark.i-assist.jp/data/china/image_1908th/80061925.pdf", "80061925")</f>
        <v>80061925</v>
      </c>
      <c r="F1996" s="11" t="s">
        <v>5640</v>
      </c>
      <c r="G1996" s="11" t="s">
        <v>5641</v>
      </c>
      <c r="H1996" s="11" t="s">
        <v>5642</v>
      </c>
      <c r="I1996" s="11" t="s">
        <v>5192</v>
      </c>
    </row>
    <row r="1997" spans="1:9" x14ac:dyDescent="0.15">
      <c r="A1997" s="10">
        <v>1996</v>
      </c>
      <c r="B1997" s="11" t="s">
        <v>9</v>
      </c>
      <c r="C1997" s="11" t="s">
        <v>179</v>
      </c>
      <c r="D1997" s="11" t="s">
        <v>180</v>
      </c>
      <c r="E1997" s="9" t="str">
        <f>+HYPERLINK("http://trademark.i-assist.jp/data/china/image_1908th/80062012.pdf", "80062012")</f>
        <v>80062012</v>
      </c>
      <c r="F1997" s="11" t="s">
        <v>5375</v>
      </c>
      <c r="G1997" s="11" t="s">
        <v>5376</v>
      </c>
      <c r="H1997" s="11" t="s">
        <v>5643</v>
      </c>
      <c r="I1997" s="11" t="s">
        <v>5192</v>
      </c>
    </row>
    <row r="1998" spans="1:9" x14ac:dyDescent="0.15">
      <c r="A1998" s="10">
        <v>1997</v>
      </c>
      <c r="B1998" s="11" t="s">
        <v>9</v>
      </c>
      <c r="C1998" s="11" t="s">
        <v>179</v>
      </c>
      <c r="D1998" s="11" t="s">
        <v>180</v>
      </c>
      <c r="E1998" s="9" t="str">
        <f>+HYPERLINK("http://trademark.i-assist.jp/data/china/image_1908th/80062260.pdf", "80062260")</f>
        <v>80062260</v>
      </c>
      <c r="F1998" s="11" t="s">
        <v>5644</v>
      </c>
      <c r="G1998" s="11" t="s">
        <v>5645</v>
      </c>
      <c r="H1998" s="11" t="s">
        <v>5646</v>
      </c>
      <c r="I1998" s="11" t="s">
        <v>5192</v>
      </c>
    </row>
    <row r="1999" spans="1:9" x14ac:dyDescent="0.15">
      <c r="A1999" s="10">
        <v>1998</v>
      </c>
      <c r="B1999" s="11" t="s">
        <v>9</v>
      </c>
      <c r="C1999" s="11" t="s">
        <v>179</v>
      </c>
      <c r="D1999" s="11" t="s">
        <v>180</v>
      </c>
      <c r="E1999" s="9" t="str">
        <f>+HYPERLINK("http://trademark.i-assist.jp/data/china/image_1908th/80062270.pdf", "80062270")</f>
        <v>80062270</v>
      </c>
      <c r="F1999" s="11" t="s">
        <v>5647</v>
      </c>
      <c r="G1999" s="11" t="s">
        <v>5648</v>
      </c>
      <c r="H1999" s="11" t="s">
        <v>5649</v>
      </c>
      <c r="I1999" s="11" t="s">
        <v>5192</v>
      </c>
    </row>
    <row r="2000" spans="1:9" x14ac:dyDescent="0.15">
      <c r="A2000" s="10">
        <v>1999</v>
      </c>
      <c r="B2000" s="11" t="s">
        <v>9</v>
      </c>
      <c r="C2000" s="11" t="s">
        <v>179</v>
      </c>
      <c r="D2000" s="11" t="s">
        <v>180</v>
      </c>
      <c r="E2000" s="9" t="str">
        <f>+HYPERLINK("http://trademark.i-assist.jp/data/china/image_1908th/80062406.pdf", "80062406")</f>
        <v>80062406</v>
      </c>
      <c r="F2000" s="11" t="s">
        <v>5650</v>
      </c>
      <c r="G2000" s="11" t="s">
        <v>5651</v>
      </c>
      <c r="H2000" s="11" t="s">
        <v>5652</v>
      </c>
      <c r="I2000" s="11" t="s">
        <v>5192</v>
      </c>
    </row>
    <row r="2001" spans="1:9" x14ac:dyDescent="0.15">
      <c r="A2001" s="10">
        <v>2000</v>
      </c>
      <c r="B2001" s="11" t="s">
        <v>9</v>
      </c>
      <c r="C2001" s="11" t="s">
        <v>179</v>
      </c>
      <c r="D2001" s="11" t="s">
        <v>180</v>
      </c>
      <c r="E2001" s="9" t="str">
        <f>+HYPERLINK("http://trademark.i-assist.jp/data/china/image_1908th/80062410.pdf", "80062410")</f>
        <v>80062410</v>
      </c>
      <c r="F2001" s="11" t="s">
        <v>5653</v>
      </c>
      <c r="G2001" s="11" t="s">
        <v>5654</v>
      </c>
      <c r="H2001" s="11" t="s">
        <v>5655</v>
      </c>
      <c r="I2001" s="11" t="s">
        <v>5192</v>
      </c>
    </row>
    <row r="2002" spans="1:9" x14ac:dyDescent="0.15">
      <c r="A2002" s="10">
        <v>2001</v>
      </c>
      <c r="B2002" s="11" t="s">
        <v>9</v>
      </c>
      <c r="C2002" s="11" t="s">
        <v>179</v>
      </c>
      <c r="D2002" s="11" t="s">
        <v>180</v>
      </c>
      <c r="E2002" s="9" t="str">
        <f>+HYPERLINK("http://trademark.i-assist.jp/data/china/image_1908th/80062605.pdf", "80062605")</f>
        <v>80062605</v>
      </c>
      <c r="F2002" s="11" t="s">
        <v>5656</v>
      </c>
      <c r="G2002" s="11" t="s">
        <v>5313</v>
      </c>
      <c r="H2002" s="11" t="s">
        <v>5657</v>
      </c>
      <c r="I2002" s="11" t="s">
        <v>5192</v>
      </c>
    </row>
    <row r="2003" spans="1:9" x14ac:dyDescent="0.15">
      <c r="A2003" s="10">
        <v>2002</v>
      </c>
      <c r="B2003" s="11" t="s">
        <v>9</v>
      </c>
      <c r="C2003" s="11" t="s">
        <v>179</v>
      </c>
      <c r="D2003" s="11" t="s">
        <v>180</v>
      </c>
      <c r="E2003" s="9" t="str">
        <f>+HYPERLINK("http://trademark.i-assist.jp/data/china/image_1908th/80062613.pdf", "80062613")</f>
        <v>80062613</v>
      </c>
      <c r="F2003" s="11" t="s">
        <v>5658</v>
      </c>
      <c r="G2003" s="11" t="s">
        <v>5659</v>
      </c>
      <c r="H2003" s="11" t="s">
        <v>5660</v>
      </c>
      <c r="I2003" s="11" t="s">
        <v>5192</v>
      </c>
    </row>
    <row r="2004" spans="1:9" x14ac:dyDescent="0.15">
      <c r="A2004" s="10">
        <v>2003</v>
      </c>
      <c r="B2004" s="11" t="s">
        <v>9</v>
      </c>
      <c r="C2004" s="11" t="s">
        <v>179</v>
      </c>
      <c r="D2004" s="11" t="s">
        <v>180</v>
      </c>
      <c r="E2004" s="9" t="str">
        <f>+HYPERLINK("http://trademark.i-assist.jp/data/china/image_1908th/80062742.pdf", "80062742")</f>
        <v>80062742</v>
      </c>
      <c r="F2004" s="11" t="s">
        <v>5661</v>
      </c>
      <c r="G2004" s="11" t="s">
        <v>5239</v>
      </c>
      <c r="H2004" s="11" t="s">
        <v>5662</v>
      </c>
      <c r="I2004" s="11" t="s">
        <v>5192</v>
      </c>
    </row>
    <row r="2005" spans="1:9" x14ac:dyDescent="0.15">
      <c r="A2005" s="10">
        <v>2004</v>
      </c>
      <c r="B2005" s="11" t="s">
        <v>9</v>
      </c>
      <c r="C2005" s="11" t="s">
        <v>179</v>
      </c>
      <c r="D2005" s="11" t="s">
        <v>180</v>
      </c>
      <c r="E2005" s="9" t="str">
        <f>+HYPERLINK("http://trademark.i-assist.jp/data/china/image_1908th/80062801.pdf", "80062801")</f>
        <v>80062801</v>
      </c>
      <c r="F2005" s="11" t="s">
        <v>5663</v>
      </c>
      <c r="G2005" s="11" t="s">
        <v>5664</v>
      </c>
      <c r="H2005" s="11" t="s">
        <v>5665</v>
      </c>
      <c r="I2005" s="11" t="s">
        <v>5192</v>
      </c>
    </row>
    <row r="2006" spans="1:9" x14ac:dyDescent="0.15">
      <c r="A2006" s="10">
        <v>2005</v>
      </c>
      <c r="B2006" s="11" t="s">
        <v>9</v>
      </c>
      <c r="C2006" s="11" t="s">
        <v>179</v>
      </c>
      <c r="D2006" s="11" t="s">
        <v>180</v>
      </c>
      <c r="E2006" s="9" t="str">
        <f>+HYPERLINK("http://trademark.i-assist.jp/data/china/image_1908th/80062825.pdf", "80062825")</f>
        <v>80062825</v>
      </c>
      <c r="F2006" s="11" t="s">
        <v>5666</v>
      </c>
      <c r="G2006" s="11" t="s">
        <v>5667</v>
      </c>
      <c r="H2006" s="11" t="s">
        <v>5668</v>
      </c>
      <c r="I2006" s="11" t="s">
        <v>5192</v>
      </c>
    </row>
    <row r="2007" spans="1:9" x14ac:dyDescent="0.15">
      <c r="A2007" s="10">
        <v>2006</v>
      </c>
      <c r="B2007" s="11" t="s">
        <v>9</v>
      </c>
      <c r="C2007" s="11" t="s">
        <v>179</v>
      </c>
      <c r="D2007" s="11" t="s">
        <v>180</v>
      </c>
      <c r="E2007" s="9" t="str">
        <f>+HYPERLINK("http://trademark.i-assist.jp/data/china/image_1908th/80062925.pdf", "80062925")</f>
        <v>80062925</v>
      </c>
      <c r="F2007" s="11" t="s">
        <v>5669</v>
      </c>
      <c r="G2007" s="11" t="s">
        <v>5204</v>
      </c>
      <c r="H2007" s="11" t="s">
        <v>5670</v>
      </c>
      <c r="I2007" s="11" t="s">
        <v>5192</v>
      </c>
    </row>
    <row r="2008" spans="1:9" x14ac:dyDescent="0.15">
      <c r="A2008" s="10">
        <v>2007</v>
      </c>
      <c r="B2008" s="11" t="s">
        <v>9</v>
      </c>
      <c r="C2008" s="11" t="s">
        <v>179</v>
      </c>
      <c r="D2008" s="11" t="s">
        <v>180</v>
      </c>
      <c r="E2008" s="9" t="str">
        <f>+HYPERLINK("http://trademark.i-assist.jp/data/china/image_1908th/80062931.pdf", "80062931")</f>
        <v>80062931</v>
      </c>
      <c r="F2008" s="11" t="s">
        <v>5671</v>
      </c>
      <c r="G2008" s="11" t="s">
        <v>5570</v>
      </c>
      <c r="H2008" s="11" t="s">
        <v>5672</v>
      </c>
      <c r="I2008" s="11" t="s">
        <v>5192</v>
      </c>
    </row>
    <row r="2009" spans="1:9" x14ac:dyDescent="0.15">
      <c r="A2009" s="10">
        <v>2008</v>
      </c>
      <c r="B2009" s="11" t="s">
        <v>9</v>
      </c>
      <c r="C2009" s="11" t="s">
        <v>179</v>
      </c>
      <c r="D2009" s="11" t="s">
        <v>180</v>
      </c>
      <c r="E2009" s="9" t="str">
        <f>+HYPERLINK("http://trademark.i-assist.jp/data/china/image_1908th/80062951.pdf", "80062951")</f>
        <v>80062951</v>
      </c>
      <c r="F2009" s="11" t="s">
        <v>5673</v>
      </c>
      <c r="G2009" s="11" t="s">
        <v>5674</v>
      </c>
      <c r="H2009" s="11" t="s">
        <v>5675</v>
      </c>
      <c r="I2009" s="11" t="s">
        <v>5192</v>
      </c>
    </row>
    <row r="2010" spans="1:9" x14ac:dyDescent="0.15">
      <c r="A2010" s="10">
        <v>2009</v>
      </c>
      <c r="B2010" s="11" t="s">
        <v>9</v>
      </c>
      <c r="C2010" s="11" t="s">
        <v>179</v>
      </c>
      <c r="D2010" s="11" t="s">
        <v>180</v>
      </c>
      <c r="E2010" s="9" t="str">
        <f>+HYPERLINK("http://trademark.i-assist.jp/data/china/image_1908th/80062962.pdf", "80062962")</f>
        <v>80062962</v>
      </c>
      <c r="F2010" s="11" t="s">
        <v>5676</v>
      </c>
      <c r="G2010" s="11" t="s">
        <v>5677</v>
      </c>
      <c r="H2010" s="11" t="s">
        <v>5678</v>
      </c>
      <c r="I2010" s="11" t="s">
        <v>5192</v>
      </c>
    </row>
    <row r="2011" spans="1:9" x14ac:dyDescent="0.15">
      <c r="A2011" s="10">
        <v>2010</v>
      </c>
      <c r="B2011" s="11" t="s">
        <v>9</v>
      </c>
      <c r="C2011" s="11" t="s">
        <v>179</v>
      </c>
      <c r="D2011" s="11" t="s">
        <v>180</v>
      </c>
      <c r="E2011" s="9" t="str">
        <f>+HYPERLINK("http://trademark.i-assist.jp/data/china/image_1908th/80063181.pdf", "80063181")</f>
        <v>80063181</v>
      </c>
      <c r="F2011" s="11" t="s">
        <v>5679</v>
      </c>
      <c r="G2011" s="11" t="s">
        <v>5680</v>
      </c>
      <c r="H2011" s="11" t="s">
        <v>5681</v>
      </c>
      <c r="I2011" s="11" t="s">
        <v>5192</v>
      </c>
    </row>
    <row r="2012" spans="1:9" x14ac:dyDescent="0.15">
      <c r="A2012" s="10">
        <v>2011</v>
      </c>
      <c r="B2012" s="11" t="s">
        <v>9</v>
      </c>
      <c r="C2012" s="11" t="s">
        <v>179</v>
      </c>
      <c r="D2012" s="11" t="s">
        <v>180</v>
      </c>
      <c r="E2012" s="9" t="str">
        <f>+HYPERLINK("http://trademark.i-assist.jp/data/china/image_1908th/80063195.pdf", "80063195")</f>
        <v>80063195</v>
      </c>
      <c r="F2012" s="11" t="s">
        <v>5682</v>
      </c>
      <c r="G2012" s="11" t="s">
        <v>5683</v>
      </c>
      <c r="H2012" s="11" t="s">
        <v>5684</v>
      </c>
      <c r="I2012" s="11" t="s">
        <v>5192</v>
      </c>
    </row>
    <row r="2013" spans="1:9" x14ac:dyDescent="0.15">
      <c r="A2013" s="10">
        <v>2012</v>
      </c>
      <c r="B2013" s="11" t="s">
        <v>9</v>
      </c>
      <c r="C2013" s="11" t="s">
        <v>179</v>
      </c>
      <c r="D2013" s="11" t="s">
        <v>180</v>
      </c>
      <c r="E2013" s="9" t="str">
        <f>+HYPERLINK("http://trademark.i-assist.jp/data/china/image_1908th/80063256.pdf", "80063256")</f>
        <v>80063256</v>
      </c>
      <c r="F2013" s="11" t="s">
        <v>5685</v>
      </c>
      <c r="G2013" s="11" t="s">
        <v>3528</v>
      </c>
      <c r="H2013" s="11" t="s">
        <v>5686</v>
      </c>
      <c r="I2013" s="11" t="s">
        <v>5192</v>
      </c>
    </row>
    <row r="2014" spans="1:9" x14ac:dyDescent="0.15">
      <c r="A2014" s="10">
        <v>2013</v>
      </c>
      <c r="B2014" s="11" t="s">
        <v>9</v>
      </c>
      <c r="C2014" s="11" t="s">
        <v>179</v>
      </c>
      <c r="D2014" s="11" t="s">
        <v>180</v>
      </c>
      <c r="E2014" s="9" t="str">
        <f>+HYPERLINK("http://trademark.i-assist.jp/data/china/image_1908th/80064171.pdf", "80064171")</f>
        <v>80064171</v>
      </c>
      <c r="F2014" s="11" t="s">
        <v>5687</v>
      </c>
      <c r="G2014" s="11" t="s">
        <v>5292</v>
      </c>
      <c r="H2014" s="11" t="s">
        <v>5688</v>
      </c>
      <c r="I2014" s="11" t="s">
        <v>5192</v>
      </c>
    </row>
    <row r="2015" spans="1:9" x14ac:dyDescent="0.15">
      <c r="A2015" s="10">
        <v>2014</v>
      </c>
      <c r="B2015" s="11" t="s">
        <v>9</v>
      </c>
      <c r="C2015" s="11" t="s">
        <v>179</v>
      </c>
      <c r="D2015" s="11" t="s">
        <v>180</v>
      </c>
      <c r="E2015" s="9" t="str">
        <f>+HYPERLINK("http://trademark.i-assist.jp/data/china/image_1908th/80064194.pdf", "80064194")</f>
        <v>80064194</v>
      </c>
      <c r="F2015" s="11" t="s">
        <v>5689</v>
      </c>
      <c r="G2015" s="11" t="s">
        <v>5690</v>
      </c>
      <c r="H2015" s="11" t="s">
        <v>5691</v>
      </c>
      <c r="I2015" s="11" t="s">
        <v>5192</v>
      </c>
    </row>
    <row r="2016" spans="1:9" x14ac:dyDescent="0.15">
      <c r="A2016" s="10">
        <v>2015</v>
      </c>
      <c r="B2016" s="11" t="s">
        <v>9</v>
      </c>
      <c r="C2016" s="11" t="s">
        <v>179</v>
      </c>
      <c r="D2016" s="11" t="s">
        <v>180</v>
      </c>
      <c r="E2016" s="9" t="str">
        <f>+HYPERLINK("http://trademark.i-assist.jp/data/china/image_1908th/80064902.pdf", "80064902")</f>
        <v>80064902</v>
      </c>
      <c r="F2016" s="11" t="s">
        <v>5692</v>
      </c>
      <c r="G2016" s="11" t="s">
        <v>5693</v>
      </c>
      <c r="H2016" s="11" t="s">
        <v>5694</v>
      </c>
      <c r="I2016" s="11" t="s">
        <v>5192</v>
      </c>
    </row>
    <row r="2017" spans="1:9" x14ac:dyDescent="0.15">
      <c r="A2017" s="10">
        <v>2016</v>
      </c>
      <c r="B2017" s="11" t="s">
        <v>9</v>
      </c>
      <c r="C2017" s="11" t="s">
        <v>179</v>
      </c>
      <c r="D2017" s="11" t="s">
        <v>180</v>
      </c>
      <c r="E2017" s="9" t="str">
        <f>+HYPERLINK("http://trademark.i-assist.jp/data/china/image_1908th/80064904.pdf", "80064904")</f>
        <v>80064904</v>
      </c>
      <c r="F2017" s="11" t="s">
        <v>5695</v>
      </c>
      <c r="G2017" s="11" t="s">
        <v>5696</v>
      </c>
      <c r="H2017" s="11" t="s">
        <v>5697</v>
      </c>
      <c r="I2017" s="11" t="s">
        <v>5192</v>
      </c>
    </row>
    <row r="2018" spans="1:9" x14ac:dyDescent="0.15">
      <c r="A2018" s="10">
        <v>2017</v>
      </c>
      <c r="B2018" s="11" t="s">
        <v>9</v>
      </c>
      <c r="C2018" s="11" t="s">
        <v>179</v>
      </c>
      <c r="D2018" s="11" t="s">
        <v>180</v>
      </c>
      <c r="E2018" s="9" t="str">
        <f>+HYPERLINK("http://trademark.i-assist.jp/data/china/image_1908th/80064953.pdf", "80064953")</f>
        <v>80064953</v>
      </c>
      <c r="F2018" s="11" t="s">
        <v>5698</v>
      </c>
      <c r="G2018" s="11" t="s">
        <v>5699</v>
      </c>
      <c r="H2018" s="11" t="s">
        <v>5700</v>
      </c>
      <c r="I2018" s="11" t="s">
        <v>5192</v>
      </c>
    </row>
    <row r="2019" spans="1:9" x14ac:dyDescent="0.15">
      <c r="A2019" s="10">
        <v>2018</v>
      </c>
      <c r="B2019" s="11" t="s">
        <v>9</v>
      </c>
      <c r="C2019" s="11" t="s">
        <v>179</v>
      </c>
      <c r="D2019" s="11" t="s">
        <v>180</v>
      </c>
      <c r="E2019" s="9" t="str">
        <f>+HYPERLINK("http://trademark.i-assist.jp/data/china/image_1908th/80065045.pdf", "80065045")</f>
        <v>80065045</v>
      </c>
      <c r="F2019" s="11" t="s">
        <v>5701</v>
      </c>
      <c r="G2019" s="11" t="s">
        <v>110</v>
      </c>
      <c r="H2019" s="11" t="s">
        <v>5702</v>
      </c>
      <c r="I2019" s="11" t="s">
        <v>5192</v>
      </c>
    </row>
    <row r="2020" spans="1:9" x14ac:dyDescent="0.15">
      <c r="A2020" s="10">
        <v>2019</v>
      </c>
      <c r="B2020" s="11" t="s">
        <v>9</v>
      </c>
      <c r="C2020" s="11" t="s">
        <v>179</v>
      </c>
      <c r="D2020" s="11" t="s">
        <v>180</v>
      </c>
      <c r="E2020" s="9" t="str">
        <f>+HYPERLINK("http://trademark.i-assist.jp/data/china/image_1908th/80065330.pdf", "80065330")</f>
        <v>80065330</v>
      </c>
      <c r="F2020" s="11" t="s">
        <v>5703</v>
      </c>
      <c r="G2020" s="11" t="s">
        <v>5704</v>
      </c>
      <c r="H2020" s="11" t="s">
        <v>5705</v>
      </c>
      <c r="I2020" s="11" t="s">
        <v>5192</v>
      </c>
    </row>
    <row r="2021" spans="1:9" x14ac:dyDescent="0.15">
      <c r="A2021" s="10">
        <v>2020</v>
      </c>
      <c r="B2021" s="11" t="s">
        <v>9</v>
      </c>
      <c r="C2021" s="11" t="s">
        <v>179</v>
      </c>
      <c r="D2021" s="11" t="s">
        <v>180</v>
      </c>
      <c r="E2021" s="9" t="str">
        <f>+HYPERLINK("http://trademark.i-assist.jp/data/china/image_1908th/80065394.pdf", "80065394")</f>
        <v>80065394</v>
      </c>
      <c r="F2021" s="11" t="s">
        <v>5706</v>
      </c>
      <c r="G2021" s="11" t="s">
        <v>5707</v>
      </c>
      <c r="H2021" s="11" t="s">
        <v>5708</v>
      </c>
      <c r="I2021" s="11" t="s">
        <v>5192</v>
      </c>
    </row>
    <row r="2022" spans="1:9" x14ac:dyDescent="0.15">
      <c r="A2022" s="10">
        <v>2021</v>
      </c>
      <c r="B2022" s="11" t="s">
        <v>9</v>
      </c>
      <c r="C2022" s="11" t="s">
        <v>179</v>
      </c>
      <c r="D2022" s="11" t="s">
        <v>180</v>
      </c>
      <c r="E2022" s="9" t="str">
        <f>+HYPERLINK("http://trademark.i-assist.jp/data/china/image_1908th/80065466.pdf", "80065466")</f>
        <v>80065466</v>
      </c>
      <c r="F2022" s="11" t="s">
        <v>5709</v>
      </c>
      <c r="G2022" s="11" t="s">
        <v>5710</v>
      </c>
      <c r="H2022" s="11" t="s">
        <v>5711</v>
      </c>
      <c r="I2022" s="11" t="s">
        <v>5192</v>
      </c>
    </row>
    <row r="2023" spans="1:9" x14ac:dyDescent="0.15">
      <c r="A2023" s="10">
        <v>2022</v>
      </c>
      <c r="B2023" s="11" t="s">
        <v>9</v>
      </c>
      <c r="C2023" s="11" t="s">
        <v>179</v>
      </c>
      <c r="D2023" s="11" t="s">
        <v>180</v>
      </c>
      <c r="E2023" s="9" t="str">
        <f>+HYPERLINK("http://trademark.i-assist.jp/data/china/image_1908th/80065571.pdf", "80065571")</f>
        <v>80065571</v>
      </c>
      <c r="F2023" s="11" t="s">
        <v>5712</v>
      </c>
      <c r="G2023" s="11" t="s">
        <v>5713</v>
      </c>
      <c r="H2023" s="11" t="s">
        <v>5714</v>
      </c>
      <c r="I2023" s="11" t="s">
        <v>5192</v>
      </c>
    </row>
    <row r="2024" spans="1:9" x14ac:dyDescent="0.15">
      <c r="A2024" s="10">
        <v>2023</v>
      </c>
      <c r="B2024" s="11" t="s">
        <v>9</v>
      </c>
      <c r="C2024" s="11" t="s">
        <v>179</v>
      </c>
      <c r="D2024" s="11" t="s">
        <v>180</v>
      </c>
      <c r="E2024" s="9" t="str">
        <f>+HYPERLINK("http://trademark.i-assist.jp/data/china/image_1908th/80065642.pdf", "80065642")</f>
        <v>80065642</v>
      </c>
      <c r="F2024" s="11" t="s">
        <v>5715</v>
      </c>
      <c r="G2024" s="11" t="s">
        <v>5716</v>
      </c>
      <c r="H2024" s="11" t="s">
        <v>5717</v>
      </c>
      <c r="I2024" s="11" t="s">
        <v>5192</v>
      </c>
    </row>
    <row r="2025" spans="1:9" x14ac:dyDescent="0.15">
      <c r="A2025" s="10">
        <v>2024</v>
      </c>
      <c r="B2025" s="11" t="s">
        <v>9</v>
      </c>
      <c r="C2025" s="11" t="s">
        <v>179</v>
      </c>
      <c r="D2025" s="11" t="s">
        <v>180</v>
      </c>
      <c r="E2025" s="9" t="str">
        <f>+HYPERLINK("http://trademark.i-assist.jp/data/china/image_1908th/80066162.pdf", "80066162")</f>
        <v>80066162</v>
      </c>
      <c r="F2025" s="11" t="s">
        <v>5718</v>
      </c>
      <c r="G2025" s="11" t="s">
        <v>5307</v>
      </c>
      <c r="H2025" s="11" t="s">
        <v>5719</v>
      </c>
      <c r="I2025" s="11" t="s">
        <v>5192</v>
      </c>
    </row>
    <row r="2026" spans="1:9" x14ac:dyDescent="0.15">
      <c r="A2026" s="10">
        <v>2025</v>
      </c>
      <c r="B2026" s="11" t="s">
        <v>9</v>
      </c>
      <c r="C2026" s="11" t="s">
        <v>179</v>
      </c>
      <c r="D2026" s="11" t="s">
        <v>180</v>
      </c>
      <c r="E2026" s="9" t="str">
        <f>+HYPERLINK("http://trademark.i-assist.jp/data/china/image_1908th/80066165.pdf", "80066165")</f>
        <v>80066165</v>
      </c>
      <c r="F2026" s="11" t="s">
        <v>5720</v>
      </c>
      <c r="G2026" s="11" t="s">
        <v>5260</v>
      </c>
      <c r="H2026" s="11" t="s">
        <v>5721</v>
      </c>
      <c r="I2026" s="11" t="s">
        <v>5192</v>
      </c>
    </row>
    <row r="2027" spans="1:9" x14ac:dyDescent="0.15">
      <c r="A2027" s="10">
        <v>2026</v>
      </c>
      <c r="B2027" s="11" t="s">
        <v>9</v>
      </c>
      <c r="C2027" s="11" t="s">
        <v>179</v>
      </c>
      <c r="D2027" s="11" t="s">
        <v>180</v>
      </c>
      <c r="E2027" s="9" t="str">
        <f>+HYPERLINK("http://trademark.i-assist.jp/data/china/image_1908th/80066170.pdf", "80066170")</f>
        <v>80066170</v>
      </c>
      <c r="F2027" s="11" t="s">
        <v>5722</v>
      </c>
      <c r="G2027" s="11" t="s">
        <v>5260</v>
      </c>
      <c r="H2027" s="11" t="s">
        <v>5723</v>
      </c>
      <c r="I2027" s="11" t="s">
        <v>5192</v>
      </c>
    </row>
    <row r="2028" spans="1:9" x14ac:dyDescent="0.15">
      <c r="A2028" s="10">
        <v>2027</v>
      </c>
      <c r="B2028" s="11" t="s">
        <v>9</v>
      </c>
      <c r="C2028" s="11" t="s">
        <v>179</v>
      </c>
      <c r="D2028" s="11" t="s">
        <v>180</v>
      </c>
      <c r="E2028" s="9" t="str">
        <f>+HYPERLINK("http://trademark.i-assist.jp/data/china/image_1908th/80066375.pdf", "80066375")</f>
        <v>80066375</v>
      </c>
      <c r="F2028" s="11" t="s">
        <v>5724</v>
      </c>
      <c r="G2028" s="11" t="s">
        <v>5725</v>
      </c>
      <c r="H2028" s="11" t="s">
        <v>5726</v>
      </c>
      <c r="I2028" s="11" t="s">
        <v>5192</v>
      </c>
    </row>
    <row r="2029" spans="1:9" x14ac:dyDescent="0.15">
      <c r="A2029" s="10">
        <v>2028</v>
      </c>
      <c r="B2029" s="11" t="s">
        <v>9</v>
      </c>
      <c r="C2029" s="11" t="s">
        <v>179</v>
      </c>
      <c r="D2029" s="11" t="s">
        <v>180</v>
      </c>
      <c r="E2029" s="9" t="str">
        <f>+HYPERLINK("http://trademark.i-assist.jp/data/china/image_1908th/80066525.pdf", "80066525")</f>
        <v>80066525</v>
      </c>
      <c r="F2029" s="11" t="s">
        <v>5727</v>
      </c>
      <c r="G2029" s="11" t="s">
        <v>5728</v>
      </c>
      <c r="H2029" s="11" t="s">
        <v>5729</v>
      </c>
      <c r="I2029" s="11" t="s">
        <v>5192</v>
      </c>
    </row>
    <row r="2030" spans="1:9" x14ac:dyDescent="0.15">
      <c r="A2030" s="10">
        <v>2029</v>
      </c>
      <c r="B2030" s="11" t="s">
        <v>9</v>
      </c>
      <c r="C2030" s="11" t="s">
        <v>179</v>
      </c>
      <c r="D2030" s="11" t="s">
        <v>180</v>
      </c>
      <c r="E2030" s="9" t="str">
        <f>+HYPERLINK("http://trademark.i-assist.jp/data/china/image_1908th/80066550.pdf", "80066550")</f>
        <v>80066550</v>
      </c>
      <c r="F2030" s="11" t="s">
        <v>5730</v>
      </c>
      <c r="G2030" s="11" t="s">
        <v>5731</v>
      </c>
      <c r="H2030" s="11" t="s">
        <v>5732</v>
      </c>
      <c r="I2030" s="11" t="s">
        <v>5192</v>
      </c>
    </row>
    <row r="2031" spans="1:9" x14ac:dyDescent="0.15">
      <c r="A2031" s="10">
        <v>2030</v>
      </c>
      <c r="B2031" s="11" t="s">
        <v>9</v>
      </c>
      <c r="C2031" s="11" t="s">
        <v>179</v>
      </c>
      <c r="D2031" s="11" t="s">
        <v>180</v>
      </c>
      <c r="E2031" s="9" t="str">
        <f>+HYPERLINK("http://trademark.i-assist.jp/data/china/image_1908th/80066936.pdf", "80066936")</f>
        <v>80066936</v>
      </c>
      <c r="F2031" s="11" t="s">
        <v>10</v>
      </c>
      <c r="G2031" s="11" t="s">
        <v>5733</v>
      </c>
      <c r="H2031" s="11" t="s">
        <v>5734</v>
      </c>
      <c r="I2031" s="11" t="s">
        <v>5192</v>
      </c>
    </row>
    <row r="2032" spans="1:9" x14ac:dyDescent="0.15">
      <c r="A2032" s="10">
        <v>2031</v>
      </c>
      <c r="B2032" s="11" t="s">
        <v>9</v>
      </c>
      <c r="C2032" s="11" t="s">
        <v>179</v>
      </c>
      <c r="D2032" s="11" t="s">
        <v>180</v>
      </c>
      <c r="E2032" s="9" t="str">
        <f>+HYPERLINK("http://trademark.i-assist.jp/data/china/image_1908th/80066998.pdf", "80066998")</f>
        <v>80066998</v>
      </c>
      <c r="F2032" s="11" t="s">
        <v>5735</v>
      </c>
      <c r="G2032" s="11" t="s">
        <v>5370</v>
      </c>
      <c r="H2032" s="11" t="s">
        <v>5736</v>
      </c>
      <c r="I2032" s="11" t="s">
        <v>5192</v>
      </c>
    </row>
    <row r="2033" spans="1:9" x14ac:dyDescent="0.15">
      <c r="A2033" s="10">
        <v>2032</v>
      </c>
      <c r="B2033" s="11" t="s">
        <v>9</v>
      </c>
      <c r="C2033" s="11" t="s">
        <v>179</v>
      </c>
      <c r="D2033" s="11" t="s">
        <v>180</v>
      </c>
      <c r="E2033" s="9" t="str">
        <f>+HYPERLINK("http://trademark.i-assist.jp/data/china/image_1908th/80067031.pdf", "80067031")</f>
        <v>80067031</v>
      </c>
      <c r="F2033" s="11" t="s">
        <v>5737</v>
      </c>
      <c r="G2033" s="11" t="s">
        <v>5738</v>
      </c>
      <c r="H2033" s="11" t="s">
        <v>5739</v>
      </c>
      <c r="I2033" s="11" t="s">
        <v>5192</v>
      </c>
    </row>
    <row r="2034" spans="1:9" x14ac:dyDescent="0.15">
      <c r="A2034" s="10">
        <v>2033</v>
      </c>
      <c r="B2034" s="11" t="s">
        <v>9</v>
      </c>
      <c r="C2034" s="11" t="s">
        <v>179</v>
      </c>
      <c r="D2034" s="11" t="s">
        <v>180</v>
      </c>
      <c r="E2034" s="9" t="str">
        <f>+HYPERLINK("http://trademark.i-assist.jp/data/china/image_1908th/80067109.pdf", "80067109")</f>
        <v>80067109</v>
      </c>
      <c r="F2034" s="11" t="s">
        <v>5740</v>
      </c>
      <c r="G2034" s="11" t="s">
        <v>5741</v>
      </c>
      <c r="H2034" s="11" t="s">
        <v>5742</v>
      </c>
      <c r="I2034" s="11" t="s">
        <v>5192</v>
      </c>
    </row>
    <row r="2035" spans="1:9" x14ac:dyDescent="0.15">
      <c r="A2035" s="10">
        <v>2034</v>
      </c>
      <c r="B2035" s="11" t="s">
        <v>9</v>
      </c>
      <c r="C2035" s="11" t="s">
        <v>179</v>
      </c>
      <c r="D2035" s="11" t="s">
        <v>180</v>
      </c>
      <c r="E2035" s="9" t="str">
        <f>+HYPERLINK("http://trademark.i-assist.jp/data/china/image_1908th/80067142.pdf", "80067142")</f>
        <v>80067142</v>
      </c>
      <c r="F2035" s="11" t="s">
        <v>10</v>
      </c>
      <c r="G2035" s="11" t="s">
        <v>5743</v>
      </c>
      <c r="H2035" s="11" t="s">
        <v>5744</v>
      </c>
      <c r="I2035" s="11" t="s">
        <v>5192</v>
      </c>
    </row>
    <row r="2036" spans="1:9" x14ac:dyDescent="0.15">
      <c r="A2036" s="10">
        <v>2035</v>
      </c>
      <c r="B2036" s="11" t="s">
        <v>9</v>
      </c>
      <c r="C2036" s="11" t="s">
        <v>179</v>
      </c>
      <c r="D2036" s="11" t="s">
        <v>180</v>
      </c>
      <c r="E2036" s="9" t="str">
        <f>+HYPERLINK("http://trademark.i-assist.jp/data/china/image_1908th/80067198.pdf", "80067198")</f>
        <v>80067198</v>
      </c>
      <c r="F2036" s="11" t="s">
        <v>5745</v>
      </c>
      <c r="G2036" s="11" t="s">
        <v>5746</v>
      </c>
      <c r="H2036" s="11" t="s">
        <v>5747</v>
      </c>
      <c r="I2036" s="11" t="s">
        <v>5192</v>
      </c>
    </row>
    <row r="2037" spans="1:9" x14ac:dyDescent="0.15">
      <c r="A2037" s="10">
        <v>2036</v>
      </c>
      <c r="B2037" s="11" t="s">
        <v>9</v>
      </c>
      <c r="C2037" s="11" t="s">
        <v>179</v>
      </c>
      <c r="D2037" s="11" t="s">
        <v>180</v>
      </c>
      <c r="E2037" s="9" t="str">
        <f>+HYPERLINK("http://trademark.i-assist.jp/data/china/image_1908th/80067329.pdf", "80067329")</f>
        <v>80067329</v>
      </c>
      <c r="F2037" s="11" t="s">
        <v>5748</v>
      </c>
      <c r="G2037" s="11" t="s">
        <v>5749</v>
      </c>
      <c r="H2037" s="11" t="s">
        <v>5750</v>
      </c>
      <c r="I2037" s="11" t="s">
        <v>5192</v>
      </c>
    </row>
    <row r="2038" spans="1:9" x14ac:dyDescent="0.15">
      <c r="A2038" s="10">
        <v>2037</v>
      </c>
      <c r="B2038" s="11" t="s">
        <v>9</v>
      </c>
      <c r="C2038" s="11" t="s">
        <v>179</v>
      </c>
      <c r="D2038" s="11" t="s">
        <v>180</v>
      </c>
      <c r="E2038" s="9" t="str">
        <f>+HYPERLINK("http://trademark.i-assist.jp/data/china/image_1908th/80067491.pdf", "80067491")</f>
        <v>80067491</v>
      </c>
      <c r="F2038" s="11" t="s">
        <v>5751</v>
      </c>
      <c r="G2038" s="11" t="s">
        <v>5752</v>
      </c>
      <c r="H2038" s="11" t="s">
        <v>5753</v>
      </c>
      <c r="I2038" s="11" t="s">
        <v>5192</v>
      </c>
    </row>
    <row r="2039" spans="1:9" x14ac:dyDescent="0.15">
      <c r="A2039" s="10">
        <v>2038</v>
      </c>
      <c r="B2039" s="11" t="s">
        <v>9</v>
      </c>
      <c r="C2039" s="11" t="s">
        <v>179</v>
      </c>
      <c r="D2039" s="11" t="s">
        <v>180</v>
      </c>
      <c r="E2039" s="9" t="str">
        <f>+HYPERLINK("http://trademark.i-assist.jp/data/china/image_1908th/80067584.pdf", "80067584")</f>
        <v>80067584</v>
      </c>
      <c r="F2039" s="11" t="s">
        <v>5754</v>
      </c>
      <c r="G2039" s="11" t="s">
        <v>5277</v>
      </c>
      <c r="H2039" s="11" t="s">
        <v>5755</v>
      </c>
      <c r="I2039" s="11" t="s">
        <v>5192</v>
      </c>
    </row>
    <row r="2040" spans="1:9" x14ac:dyDescent="0.15">
      <c r="A2040" s="10">
        <v>2039</v>
      </c>
      <c r="B2040" s="11" t="s">
        <v>9</v>
      </c>
      <c r="C2040" s="11" t="s">
        <v>179</v>
      </c>
      <c r="D2040" s="11" t="s">
        <v>180</v>
      </c>
      <c r="E2040" s="9" t="str">
        <f>+HYPERLINK("http://trademark.i-assist.jp/data/china/image_1908th/80067771.pdf", "80067771")</f>
        <v>80067771</v>
      </c>
      <c r="F2040" s="11" t="s">
        <v>5756</v>
      </c>
      <c r="G2040" s="11" t="s">
        <v>5757</v>
      </c>
      <c r="H2040" s="11" t="s">
        <v>5758</v>
      </c>
      <c r="I2040" s="11" t="s">
        <v>5192</v>
      </c>
    </row>
    <row r="2041" spans="1:9" x14ac:dyDescent="0.15">
      <c r="A2041" s="10">
        <v>2040</v>
      </c>
      <c r="B2041" s="11" t="s">
        <v>9</v>
      </c>
      <c r="C2041" s="11" t="s">
        <v>179</v>
      </c>
      <c r="D2041" s="11" t="s">
        <v>180</v>
      </c>
      <c r="E2041" s="9" t="str">
        <f>+HYPERLINK("http://trademark.i-assist.jp/data/china/image_1908th/80068428.pdf", "80068428")</f>
        <v>80068428</v>
      </c>
      <c r="F2041" s="11" t="s">
        <v>5759</v>
      </c>
      <c r="G2041" s="11" t="s">
        <v>5760</v>
      </c>
      <c r="H2041" s="11" t="s">
        <v>5761</v>
      </c>
      <c r="I2041" s="11" t="s">
        <v>5192</v>
      </c>
    </row>
    <row r="2042" spans="1:9" x14ac:dyDescent="0.15">
      <c r="A2042" s="10">
        <v>2041</v>
      </c>
      <c r="B2042" s="11" t="s">
        <v>9</v>
      </c>
      <c r="C2042" s="11" t="s">
        <v>179</v>
      </c>
      <c r="D2042" s="11" t="s">
        <v>180</v>
      </c>
      <c r="E2042" s="9" t="str">
        <f>+HYPERLINK("http://trademark.i-assist.jp/data/china/image_1908th/80068556.pdf", "80068556")</f>
        <v>80068556</v>
      </c>
      <c r="F2042" s="11" t="s">
        <v>5762</v>
      </c>
      <c r="G2042" s="11" t="s">
        <v>5763</v>
      </c>
      <c r="H2042" s="11" t="s">
        <v>5764</v>
      </c>
      <c r="I2042" s="11" t="s">
        <v>5192</v>
      </c>
    </row>
    <row r="2043" spans="1:9" x14ac:dyDescent="0.15">
      <c r="A2043" s="10">
        <v>2042</v>
      </c>
      <c r="B2043" s="11" t="s">
        <v>9</v>
      </c>
      <c r="C2043" s="11" t="s">
        <v>179</v>
      </c>
      <c r="D2043" s="11" t="s">
        <v>180</v>
      </c>
      <c r="E2043" s="9" t="str">
        <f>+HYPERLINK("http://trademark.i-assist.jp/data/china/image_1908th/80068565.pdf", "80068565")</f>
        <v>80068565</v>
      </c>
      <c r="F2043" s="11" t="s">
        <v>5765</v>
      </c>
      <c r="G2043" s="11" t="s">
        <v>5766</v>
      </c>
      <c r="H2043" s="11" t="s">
        <v>5767</v>
      </c>
      <c r="I2043" s="11" t="s">
        <v>5192</v>
      </c>
    </row>
    <row r="2044" spans="1:9" x14ac:dyDescent="0.15">
      <c r="A2044" s="10">
        <v>2043</v>
      </c>
      <c r="B2044" s="11" t="s">
        <v>9</v>
      </c>
      <c r="C2044" s="11" t="s">
        <v>179</v>
      </c>
      <c r="D2044" s="11" t="s">
        <v>180</v>
      </c>
      <c r="E2044" s="9" t="str">
        <f>+HYPERLINK("http://trademark.i-assist.jp/data/china/image_1908th/80068878.pdf", "80068878")</f>
        <v>80068878</v>
      </c>
      <c r="F2044" s="11" t="s">
        <v>5768</v>
      </c>
      <c r="G2044" s="11" t="s">
        <v>4614</v>
      </c>
      <c r="H2044" s="11" t="s">
        <v>5769</v>
      </c>
      <c r="I2044" s="11" t="s">
        <v>5192</v>
      </c>
    </row>
    <row r="2045" spans="1:9" x14ac:dyDescent="0.15">
      <c r="A2045" s="10">
        <v>2044</v>
      </c>
      <c r="B2045" s="11" t="s">
        <v>9</v>
      </c>
      <c r="C2045" s="11" t="s">
        <v>179</v>
      </c>
      <c r="D2045" s="11" t="s">
        <v>180</v>
      </c>
      <c r="E2045" s="9" t="str">
        <f>+HYPERLINK("http://trademark.i-assist.jp/data/china/image_1908th/80068971.pdf", "80068971")</f>
        <v>80068971</v>
      </c>
      <c r="F2045" s="11" t="s">
        <v>5770</v>
      </c>
      <c r="G2045" s="11" t="s">
        <v>5771</v>
      </c>
      <c r="H2045" s="11" t="s">
        <v>5772</v>
      </c>
      <c r="I2045" s="11" t="s">
        <v>5192</v>
      </c>
    </row>
    <row r="2046" spans="1:9" x14ac:dyDescent="0.15">
      <c r="A2046" s="10">
        <v>2045</v>
      </c>
      <c r="B2046" s="11" t="s">
        <v>9</v>
      </c>
      <c r="C2046" s="11" t="s">
        <v>179</v>
      </c>
      <c r="D2046" s="11" t="s">
        <v>180</v>
      </c>
      <c r="E2046" s="9" t="str">
        <f>+HYPERLINK("http://trademark.i-assist.jp/data/china/image_1908th/80069530.pdf", "80069530")</f>
        <v>80069530</v>
      </c>
      <c r="F2046" s="11" t="s">
        <v>5773</v>
      </c>
      <c r="G2046" s="11" t="s">
        <v>5260</v>
      </c>
      <c r="H2046" s="11" t="s">
        <v>5774</v>
      </c>
      <c r="I2046" s="11" t="s">
        <v>5192</v>
      </c>
    </row>
    <row r="2047" spans="1:9" x14ac:dyDescent="0.15">
      <c r="A2047" s="10">
        <v>2046</v>
      </c>
      <c r="B2047" s="11" t="s">
        <v>9</v>
      </c>
      <c r="C2047" s="11" t="s">
        <v>179</v>
      </c>
      <c r="D2047" s="11" t="s">
        <v>180</v>
      </c>
      <c r="E2047" s="9" t="str">
        <f>+HYPERLINK("http://trademark.i-assist.jp/data/china/image_1908th/80069647.pdf", "80069647")</f>
        <v>80069647</v>
      </c>
      <c r="F2047" s="11" t="s">
        <v>5775</v>
      </c>
      <c r="G2047" s="11" t="s">
        <v>5710</v>
      </c>
      <c r="H2047" s="11" t="s">
        <v>5776</v>
      </c>
      <c r="I2047" s="11" t="s">
        <v>5192</v>
      </c>
    </row>
    <row r="2048" spans="1:9" x14ac:dyDescent="0.15">
      <c r="A2048" s="10">
        <v>2047</v>
      </c>
      <c r="B2048" s="11" t="s">
        <v>9</v>
      </c>
      <c r="C2048" s="11" t="s">
        <v>179</v>
      </c>
      <c r="D2048" s="11" t="s">
        <v>180</v>
      </c>
      <c r="E2048" s="9" t="str">
        <f>+HYPERLINK("http://trademark.i-assist.jp/data/china/image_1908th/80069692.pdf", "80069692")</f>
        <v>80069692</v>
      </c>
      <c r="F2048" s="11" t="s">
        <v>5777</v>
      </c>
      <c r="G2048" s="11" t="s">
        <v>5778</v>
      </c>
      <c r="H2048" s="11" t="s">
        <v>5779</v>
      </c>
      <c r="I2048" s="11" t="s">
        <v>5192</v>
      </c>
    </row>
    <row r="2049" spans="1:9" x14ac:dyDescent="0.15">
      <c r="A2049" s="10">
        <v>2048</v>
      </c>
      <c r="B2049" s="11" t="s">
        <v>9</v>
      </c>
      <c r="C2049" s="11" t="s">
        <v>179</v>
      </c>
      <c r="D2049" s="11" t="s">
        <v>180</v>
      </c>
      <c r="E2049" s="9" t="str">
        <f>+HYPERLINK("http://trademark.i-assist.jp/data/china/image_1908th/80069838.pdf", "80069838")</f>
        <v>80069838</v>
      </c>
      <c r="F2049" s="11" t="s">
        <v>5780</v>
      </c>
      <c r="G2049" s="11" t="s">
        <v>5781</v>
      </c>
      <c r="H2049" s="11" t="s">
        <v>5782</v>
      </c>
      <c r="I2049" s="11" t="s">
        <v>5192</v>
      </c>
    </row>
    <row r="2050" spans="1:9" x14ac:dyDescent="0.15">
      <c r="A2050" s="10">
        <v>2049</v>
      </c>
      <c r="B2050" s="11" t="s">
        <v>9</v>
      </c>
      <c r="C2050" s="11" t="s">
        <v>179</v>
      </c>
      <c r="D2050" s="11" t="s">
        <v>180</v>
      </c>
      <c r="E2050" s="9" t="str">
        <f>+HYPERLINK("http://trademark.i-assist.jp/data/china/image_1908th/80069916.pdf", "80069916")</f>
        <v>80069916</v>
      </c>
      <c r="F2050" s="11" t="s">
        <v>5783</v>
      </c>
      <c r="G2050" s="11" t="s">
        <v>5784</v>
      </c>
      <c r="H2050" s="11" t="s">
        <v>5785</v>
      </c>
      <c r="I2050" s="11" t="s">
        <v>5192</v>
      </c>
    </row>
    <row r="2051" spans="1:9" x14ac:dyDescent="0.15">
      <c r="A2051" s="10">
        <v>2050</v>
      </c>
      <c r="B2051" s="11" t="s">
        <v>9</v>
      </c>
      <c r="C2051" s="11" t="s">
        <v>179</v>
      </c>
      <c r="D2051" s="11" t="s">
        <v>180</v>
      </c>
      <c r="E2051" s="9" t="str">
        <f>+HYPERLINK("http://trademark.i-assist.jp/data/china/image_1908th/80069956.pdf", "80069956")</f>
        <v>80069956</v>
      </c>
      <c r="F2051" s="11" t="s">
        <v>10</v>
      </c>
      <c r="G2051" s="11" t="s">
        <v>5786</v>
      </c>
      <c r="H2051" s="11" t="s">
        <v>5787</v>
      </c>
      <c r="I2051" s="11" t="s">
        <v>5192</v>
      </c>
    </row>
    <row r="2052" spans="1:9" x14ac:dyDescent="0.15">
      <c r="A2052" s="10">
        <v>2051</v>
      </c>
      <c r="B2052" s="11" t="s">
        <v>9</v>
      </c>
      <c r="C2052" s="11" t="s">
        <v>179</v>
      </c>
      <c r="D2052" s="11" t="s">
        <v>180</v>
      </c>
      <c r="E2052" s="9" t="str">
        <f>+HYPERLINK("http://trademark.i-assist.jp/data/china/image_1908th/80069981.pdf", "80069981")</f>
        <v>80069981</v>
      </c>
      <c r="F2052" s="11" t="s">
        <v>5788</v>
      </c>
      <c r="G2052" s="11" t="s">
        <v>5789</v>
      </c>
      <c r="H2052" s="11" t="s">
        <v>5790</v>
      </c>
      <c r="I2052" s="11" t="s">
        <v>5192</v>
      </c>
    </row>
    <row r="2053" spans="1:9" x14ac:dyDescent="0.15">
      <c r="A2053" s="10">
        <v>2052</v>
      </c>
      <c r="B2053" s="11" t="s">
        <v>9</v>
      </c>
      <c r="C2053" s="11" t="s">
        <v>179</v>
      </c>
      <c r="D2053" s="11" t="s">
        <v>180</v>
      </c>
      <c r="E2053" s="9" t="str">
        <f>+HYPERLINK("http://trademark.i-assist.jp/data/china/image_1908th/80070050.pdf", "80070050")</f>
        <v>80070050</v>
      </c>
      <c r="F2053" s="11" t="s">
        <v>5791</v>
      </c>
      <c r="G2053" s="11" t="s">
        <v>5304</v>
      </c>
      <c r="H2053" s="11" t="s">
        <v>5792</v>
      </c>
      <c r="I2053" s="11" t="s">
        <v>5192</v>
      </c>
    </row>
    <row r="2054" spans="1:9" x14ac:dyDescent="0.15">
      <c r="A2054" s="10">
        <v>2053</v>
      </c>
      <c r="B2054" s="11" t="s">
        <v>9</v>
      </c>
      <c r="C2054" s="11" t="s">
        <v>179</v>
      </c>
      <c r="D2054" s="11" t="s">
        <v>180</v>
      </c>
      <c r="E2054" s="9" t="str">
        <f>+HYPERLINK("http://trademark.i-assist.jp/data/china/image_1908th/80070709.pdf", "80070709")</f>
        <v>80070709</v>
      </c>
      <c r="F2054" s="11" t="s">
        <v>5793</v>
      </c>
      <c r="G2054" s="11" t="s">
        <v>5794</v>
      </c>
      <c r="H2054" s="11" t="s">
        <v>5795</v>
      </c>
      <c r="I2054" s="11" t="s">
        <v>5796</v>
      </c>
    </row>
    <row r="2055" spans="1:9" x14ac:dyDescent="0.15">
      <c r="A2055" s="10">
        <v>2054</v>
      </c>
      <c r="B2055" s="11" t="s">
        <v>9</v>
      </c>
      <c r="C2055" s="11" t="s">
        <v>179</v>
      </c>
      <c r="D2055" s="11" t="s">
        <v>180</v>
      </c>
      <c r="E2055" s="9" t="str">
        <f>+HYPERLINK("http://trademark.i-assist.jp/data/china/image_1908th/80070803.pdf", "80070803")</f>
        <v>80070803</v>
      </c>
      <c r="F2055" s="11" t="s">
        <v>5797</v>
      </c>
      <c r="G2055" s="11" t="s">
        <v>5798</v>
      </c>
      <c r="H2055" s="11" t="s">
        <v>5799</v>
      </c>
      <c r="I2055" s="11" t="s">
        <v>5796</v>
      </c>
    </row>
    <row r="2056" spans="1:9" x14ac:dyDescent="0.15">
      <c r="A2056" s="10">
        <v>2055</v>
      </c>
      <c r="B2056" s="11" t="s">
        <v>9</v>
      </c>
      <c r="C2056" s="11" t="s">
        <v>179</v>
      </c>
      <c r="D2056" s="11" t="s">
        <v>180</v>
      </c>
      <c r="E2056" s="9" t="str">
        <f>+HYPERLINK("http://trademark.i-assist.jp/data/china/image_1908th/80070886.pdf", "80070886")</f>
        <v>80070886</v>
      </c>
      <c r="F2056" s="11" t="s">
        <v>5800</v>
      </c>
      <c r="G2056" s="11" t="s">
        <v>5801</v>
      </c>
      <c r="H2056" s="11" t="s">
        <v>5802</v>
      </c>
      <c r="I2056" s="11" t="s">
        <v>5796</v>
      </c>
    </row>
    <row r="2057" spans="1:9" x14ac:dyDescent="0.15">
      <c r="A2057" s="10">
        <v>2056</v>
      </c>
      <c r="B2057" s="11" t="s">
        <v>9</v>
      </c>
      <c r="C2057" s="11" t="s">
        <v>179</v>
      </c>
      <c r="D2057" s="11" t="s">
        <v>180</v>
      </c>
      <c r="E2057" s="9" t="str">
        <f>+HYPERLINK("http://trademark.i-assist.jp/data/china/image_1908th/80071042.pdf", "80071042")</f>
        <v>80071042</v>
      </c>
      <c r="F2057" s="11" t="s">
        <v>5803</v>
      </c>
      <c r="G2057" s="11" t="s">
        <v>5804</v>
      </c>
      <c r="H2057" s="11" t="s">
        <v>5805</v>
      </c>
      <c r="I2057" s="11" t="s">
        <v>5796</v>
      </c>
    </row>
    <row r="2058" spans="1:9" x14ac:dyDescent="0.15">
      <c r="A2058" s="10">
        <v>2057</v>
      </c>
      <c r="B2058" s="11" t="s">
        <v>9</v>
      </c>
      <c r="C2058" s="11" t="s">
        <v>179</v>
      </c>
      <c r="D2058" s="11" t="s">
        <v>180</v>
      </c>
      <c r="E2058" s="9" t="str">
        <f>+HYPERLINK("http://trademark.i-assist.jp/data/china/image_1908th/80071119.pdf", "80071119")</f>
        <v>80071119</v>
      </c>
      <c r="F2058" s="11" t="s">
        <v>5806</v>
      </c>
      <c r="G2058" s="11" t="s">
        <v>5807</v>
      </c>
      <c r="H2058" s="11" t="s">
        <v>5808</v>
      </c>
      <c r="I2058" s="11" t="s">
        <v>5796</v>
      </c>
    </row>
    <row r="2059" spans="1:9" x14ac:dyDescent="0.15">
      <c r="A2059" s="10">
        <v>2058</v>
      </c>
      <c r="B2059" s="11" t="s">
        <v>9</v>
      </c>
      <c r="C2059" s="11" t="s">
        <v>179</v>
      </c>
      <c r="D2059" s="11" t="s">
        <v>180</v>
      </c>
      <c r="E2059" s="9" t="str">
        <f>+HYPERLINK("http://trademark.i-assist.jp/data/china/image_1908th/80071304.pdf", "80071304")</f>
        <v>80071304</v>
      </c>
      <c r="F2059" s="11" t="s">
        <v>5809</v>
      </c>
      <c r="G2059" s="11" t="s">
        <v>5810</v>
      </c>
      <c r="H2059" s="11" t="s">
        <v>5811</v>
      </c>
      <c r="I2059" s="11" t="s">
        <v>5796</v>
      </c>
    </row>
    <row r="2060" spans="1:9" x14ac:dyDescent="0.15">
      <c r="A2060" s="10">
        <v>2059</v>
      </c>
      <c r="B2060" s="11" t="s">
        <v>9</v>
      </c>
      <c r="C2060" s="11" t="s">
        <v>179</v>
      </c>
      <c r="D2060" s="11" t="s">
        <v>180</v>
      </c>
      <c r="E2060" s="9" t="str">
        <f>+HYPERLINK("http://trademark.i-assist.jp/data/china/image_1908th/80071847.pdf", "80071847")</f>
        <v>80071847</v>
      </c>
      <c r="F2060" s="11" t="s">
        <v>5812</v>
      </c>
      <c r="G2060" s="11" t="s">
        <v>4643</v>
      </c>
      <c r="H2060" s="11" t="s">
        <v>5813</v>
      </c>
      <c r="I2060" s="11" t="s">
        <v>5796</v>
      </c>
    </row>
    <row r="2061" spans="1:9" x14ac:dyDescent="0.15">
      <c r="A2061" s="10">
        <v>2060</v>
      </c>
      <c r="B2061" s="11" t="s">
        <v>9</v>
      </c>
      <c r="C2061" s="11" t="s">
        <v>179</v>
      </c>
      <c r="D2061" s="11" t="s">
        <v>180</v>
      </c>
      <c r="E2061" s="9" t="str">
        <f>+HYPERLINK("http://trademark.i-assist.jp/data/china/image_1908th/80071952.pdf", "80071952")</f>
        <v>80071952</v>
      </c>
      <c r="F2061" s="11" t="s">
        <v>5814</v>
      </c>
      <c r="G2061" s="11" t="s">
        <v>5242</v>
      </c>
      <c r="H2061" s="11" t="s">
        <v>5815</v>
      </c>
      <c r="I2061" s="11" t="s">
        <v>5796</v>
      </c>
    </row>
    <row r="2062" spans="1:9" x14ac:dyDescent="0.15">
      <c r="A2062" s="10">
        <v>2061</v>
      </c>
      <c r="B2062" s="11" t="s">
        <v>9</v>
      </c>
      <c r="C2062" s="11" t="s">
        <v>179</v>
      </c>
      <c r="D2062" s="11" t="s">
        <v>180</v>
      </c>
      <c r="E2062" s="9" t="str">
        <f>+HYPERLINK("http://trademark.i-assist.jp/data/china/image_1908th/80072139.pdf", "80072139")</f>
        <v>80072139</v>
      </c>
      <c r="F2062" s="11" t="s">
        <v>5816</v>
      </c>
      <c r="G2062" s="11" t="s">
        <v>5817</v>
      </c>
      <c r="H2062" s="11" t="s">
        <v>5818</v>
      </c>
      <c r="I2062" s="11" t="s">
        <v>5796</v>
      </c>
    </row>
    <row r="2063" spans="1:9" x14ac:dyDescent="0.15">
      <c r="A2063" s="10">
        <v>2062</v>
      </c>
      <c r="B2063" s="11" t="s">
        <v>9</v>
      </c>
      <c r="C2063" s="11" t="s">
        <v>179</v>
      </c>
      <c r="D2063" s="11" t="s">
        <v>180</v>
      </c>
      <c r="E2063" s="9" t="str">
        <f>+HYPERLINK("http://trademark.i-assist.jp/data/china/image_1908th/80072304.pdf", "80072304")</f>
        <v>80072304</v>
      </c>
      <c r="F2063" s="11" t="s">
        <v>5819</v>
      </c>
      <c r="G2063" s="11" t="s">
        <v>5820</v>
      </c>
      <c r="H2063" s="11" t="s">
        <v>5821</v>
      </c>
      <c r="I2063" s="11" t="s">
        <v>5796</v>
      </c>
    </row>
    <row r="2064" spans="1:9" x14ac:dyDescent="0.15">
      <c r="A2064" s="10">
        <v>2063</v>
      </c>
      <c r="B2064" s="11" t="s">
        <v>9</v>
      </c>
      <c r="C2064" s="11" t="s">
        <v>179</v>
      </c>
      <c r="D2064" s="11" t="s">
        <v>180</v>
      </c>
      <c r="E2064" s="9" t="str">
        <f>+HYPERLINK("http://trademark.i-assist.jp/data/china/image_1908th/80072320.pdf", "80072320")</f>
        <v>80072320</v>
      </c>
      <c r="F2064" s="11" t="s">
        <v>5822</v>
      </c>
      <c r="G2064" s="11" t="s">
        <v>5823</v>
      </c>
      <c r="H2064" s="11" t="s">
        <v>5824</v>
      </c>
      <c r="I2064" s="11" t="s">
        <v>5796</v>
      </c>
    </row>
    <row r="2065" spans="1:9" x14ac:dyDescent="0.15">
      <c r="A2065" s="10">
        <v>2064</v>
      </c>
      <c r="B2065" s="11" t="s">
        <v>9</v>
      </c>
      <c r="C2065" s="11" t="s">
        <v>179</v>
      </c>
      <c r="D2065" s="11" t="s">
        <v>180</v>
      </c>
      <c r="E2065" s="9" t="str">
        <f>+HYPERLINK("http://trademark.i-assist.jp/data/china/image_1908th/80072364.pdf", "80072364")</f>
        <v>80072364</v>
      </c>
      <c r="F2065" s="11" t="s">
        <v>5825</v>
      </c>
      <c r="G2065" s="11" t="s">
        <v>5826</v>
      </c>
      <c r="H2065" s="11" t="s">
        <v>5827</v>
      </c>
      <c r="I2065" s="11" t="s">
        <v>5796</v>
      </c>
    </row>
    <row r="2066" spans="1:9" x14ac:dyDescent="0.15">
      <c r="A2066" s="10">
        <v>2065</v>
      </c>
      <c r="B2066" s="11" t="s">
        <v>9</v>
      </c>
      <c r="C2066" s="11" t="s">
        <v>179</v>
      </c>
      <c r="D2066" s="11" t="s">
        <v>180</v>
      </c>
      <c r="E2066" s="9" t="str">
        <f>+HYPERLINK("http://trademark.i-assist.jp/data/china/image_1908th/80072389.pdf", "80072389")</f>
        <v>80072389</v>
      </c>
      <c r="F2066" s="11" t="s">
        <v>5828</v>
      </c>
      <c r="G2066" s="11" t="s">
        <v>5829</v>
      </c>
      <c r="H2066" s="11" t="s">
        <v>5830</v>
      </c>
      <c r="I2066" s="11" t="s">
        <v>5796</v>
      </c>
    </row>
    <row r="2067" spans="1:9" x14ac:dyDescent="0.15">
      <c r="A2067" s="10">
        <v>2066</v>
      </c>
      <c r="B2067" s="11" t="s">
        <v>9</v>
      </c>
      <c r="C2067" s="11" t="s">
        <v>179</v>
      </c>
      <c r="D2067" s="11" t="s">
        <v>180</v>
      </c>
      <c r="E2067" s="9" t="str">
        <f>+HYPERLINK("http://trademark.i-assist.jp/data/china/image_1908th/80072627.pdf", "80072627")</f>
        <v>80072627</v>
      </c>
      <c r="F2067" s="11" t="s">
        <v>5831</v>
      </c>
      <c r="G2067" s="11" t="s">
        <v>5832</v>
      </c>
      <c r="H2067" s="11" t="s">
        <v>5833</v>
      </c>
      <c r="I2067" s="11" t="s">
        <v>5796</v>
      </c>
    </row>
    <row r="2068" spans="1:9" x14ac:dyDescent="0.15">
      <c r="A2068" s="10">
        <v>2067</v>
      </c>
      <c r="B2068" s="11" t="s">
        <v>9</v>
      </c>
      <c r="C2068" s="11" t="s">
        <v>179</v>
      </c>
      <c r="D2068" s="11" t="s">
        <v>180</v>
      </c>
      <c r="E2068" s="9" t="str">
        <f>+HYPERLINK("http://trademark.i-assist.jp/data/china/image_1908th/80072664.pdf", "80072664")</f>
        <v>80072664</v>
      </c>
      <c r="F2068" s="11" t="s">
        <v>5834</v>
      </c>
      <c r="G2068" s="11" t="s">
        <v>5835</v>
      </c>
      <c r="H2068" s="11" t="s">
        <v>5836</v>
      </c>
      <c r="I2068" s="11" t="s">
        <v>5796</v>
      </c>
    </row>
    <row r="2069" spans="1:9" x14ac:dyDescent="0.15">
      <c r="A2069" s="10">
        <v>2068</v>
      </c>
      <c r="B2069" s="11" t="s">
        <v>9</v>
      </c>
      <c r="C2069" s="11" t="s">
        <v>179</v>
      </c>
      <c r="D2069" s="11" t="s">
        <v>180</v>
      </c>
      <c r="E2069" s="9" t="str">
        <f>+HYPERLINK("http://trademark.i-assist.jp/data/china/image_1908th/80072933.pdf", "80072933")</f>
        <v>80072933</v>
      </c>
      <c r="F2069" s="11" t="s">
        <v>5837</v>
      </c>
      <c r="G2069" s="11" t="s">
        <v>5832</v>
      </c>
      <c r="H2069" s="11" t="s">
        <v>5838</v>
      </c>
      <c r="I2069" s="11" t="s">
        <v>5796</v>
      </c>
    </row>
    <row r="2070" spans="1:9" x14ac:dyDescent="0.15">
      <c r="A2070" s="10">
        <v>2069</v>
      </c>
      <c r="B2070" s="11" t="s">
        <v>9</v>
      </c>
      <c r="C2070" s="11" t="s">
        <v>179</v>
      </c>
      <c r="D2070" s="11" t="s">
        <v>180</v>
      </c>
      <c r="E2070" s="9" t="str">
        <f>+HYPERLINK("http://trademark.i-assist.jp/data/china/image_1908th/80073362.pdf", "80073362")</f>
        <v>80073362</v>
      </c>
      <c r="F2070" s="11" t="s">
        <v>5839</v>
      </c>
      <c r="G2070" s="11" t="s">
        <v>5019</v>
      </c>
      <c r="H2070" s="11" t="s">
        <v>5840</v>
      </c>
      <c r="I2070" s="11" t="s">
        <v>5796</v>
      </c>
    </row>
    <row r="2071" spans="1:9" x14ac:dyDescent="0.15">
      <c r="A2071" s="10">
        <v>2070</v>
      </c>
      <c r="B2071" s="11" t="s">
        <v>9</v>
      </c>
      <c r="C2071" s="11" t="s">
        <v>179</v>
      </c>
      <c r="D2071" s="11" t="s">
        <v>180</v>
      </c>
      <c r="E2071" s="9" t="str">
        <f>+HYPERLINK("http://trademark.i-assist.jp/data/china/image_1908th/80073556.pdf", "80073556")</f>
        <v>80073556</v>
      </c>
      <c r="F2071" s="11" t="s">
        <v>5841</v>
      </c>
      <c r="G2071" s="11" t="s">
        <v>5842</v>
      </c>
      <c r="H2071" s="11" t="s">
        <v>5843</v>
      </c>
      <c r="I2071" s="11" t="s">
        <v>5796</v>
      </c>
    </row>
    <row r="2072" spans="1:9" x14ac:dyDescent="0.15">
      <c r="A2072" s="10">
        <v>2071</v>
      </c>
      <c r="B2072" s="11" t="s">
        <v>9</v>
      </c>
      <c r="C2072" s="11" t="s">
        <v>179</v>
      </c>
      <c r="D2072" s="11" t="s">
        <v>180</v>
      </c>
      <c r="E2072" s="9" t="str">
        <f>+HYPERLINK("http://trademark.i-assist.jp/data/china/image_1908th/80074007.pdf", "80074007")</f>
        <v>80074007</v>
      </c>
      <c r="F2072" s="11" t="s">
        <v>5844</v>
      </c>
      <c r="G2072" s="11" t="s">
        <v>5845</v>
      </c>
      <c r="H2072" s="11" t="s">
        <v>5846</v>
      </c>
      <c r="I2072" s="11" t="s">
        <v>5796</v>
      </c>
    </row>
    <row r="2073" spans="1:9" x14ac:dyDescent="0.15">
      <c r="A2073" s="10">
        <v>2072</v>
      </c>
      <c r="B2073" s="11" t="s">
        <v>9</v>
      </c>
      <c r="C2073" s="11" t="s">
        <v>179</v>
      </c>
      <c r="D2073" s="11" t="s">
        <v>180</v>
      </c>
      <c r="E2073" s="9" t="str">
        <f>+HYPERLINK("http://trademark.i-assist.jp/data/china/image_1908th/80074188.pdf", "80074188")</f>
        <v>80074188</v>
      </c>
      <c r="F2073" s="11" t="s">
        <v>5847</v>
      </c>
      <c r="G2073" s="11" t="s">
        <v>5848</v>
      </c>
      <c r="H2073" s="11" t="s">
        <v>5849</v>
      </c>
      <c r="I2073" s="11" t="s">
        <v>5796</v>
      </c>
    </row>
    <row r="2074" spans="1:9" x14ac:dyDescent="0.15">
      <c r="A2074" s="10">
        <v>2073</v>
      </c>
      <c r="B2074" s="11" t="s">
        <v>9</v>
      </c>
      <c r="C2074" s="11" t="s">
        <v>179</v>
      </c>
      <c r="D2074" s="11" t="s">
        <v>180</v>
      </c>
      <c r="E2074" s="9" t="str">
        <f>+HYPERLINK("http://trademark.i-assist.jp/data/china/image_1908th/80074426.pdf", "80074426")</f>
        <v>80074426</v>
      </c>
      <c r="F2074" s="11" t="s">
        <v>5850</v>
      </c>
      <c r="G2074" s="11" t="s">
        <v>5851</v>
      </c>
      <c r="H2074" s="11" t="s">
        <v>5852</v>
      </c>
      <c r="I2074" s="11" t="s">
        <v>5796</v>
      </c>
    </row>
    <row r="2075" spans="1:9" x14ac:dyDescent="0.15">
      <c r="A2075" s="10">
        <v>2074</v>
      </c>
      <c r="B2075" s="11" t="s">
        <v>9</v>
      </c>
      <c r="C2075" s="11" t="s">
        <v>179</v>
      </c>
      <c r="D2075" s="11" t="s">
        <v>180</v>
      </c>
      <c r="E2075" s="9" t="str">
        <f>+HYPERLINK("http://trademark.i-assist.jp/data/china/image_1908th/80074491.pdf", "80074491")</f>
        <v>80074491</v>
      </c>
      <c r="F2075" s="11" t="s">
        <v>5853</v>
      </c>
      <c r="G2075" s="11" t="s">
        <v>5854</v>
      </c>
      <c r="H2075" s="11" t="s">
        <v>5855</v>
      </c>
      <c r="I2075" s="11" t="s">
        <v>5796</v>
      </c>
    </row>
    <row r="2076" spans="1:9" x14ac:dyDescent="0.15">
      <c r="A2076" s="10">
        <v>2075</v>
      </c>
      <c r="B2076" s="11" t="s">
        <v>9</v>
      </c>
      <c r="C2076" s="11" t="s">
        <v>179</v>
      </c>
      <c r="D2076" s="11" t="s">
        <v>180</v>
      </c>
      <c r="E2076" s="9" t="str">
        <f>+HYPERLINK("http://trademark.i-assist.jp/data/china/image_1908th/80074497.pdf", "80074497")</f>
        <v>80074497</v>
      </c>
      <c r="F2076" s="11" t="s">
        <v>5856</v>
      </c>
      <c r="G2076" s="11" t="s">
        <v>5857</v>
      </c>
      <c r="H2076" s="11" t="s">
        <v>5858</v>
      </c>
      <c r="I2076" s="11" t="s">
        <v>5796</v>
      </c>
    </row>
    <row r="2077" spans="1:9" x14ac:dyDescent="0.15">
      <c r="A2077" s="10">
        <v>2076</v>
      </c>
      <c r="B2077" s="11" t="s">
        <v>9</v>
      </c>
      <c r="C2077" s="11" t="s">
        <v>179</v>
      </c>
      <c r="D2077" s="11" t="s">
        <v>180</v>
      </c>
      <c r="E2077" s="9" t="str">
        <f>+HYPERLINK("http://trademark.i-assist.jp/data/china/image_1908th/80074505.pdf", "80074505")</f>
        <v>80074505</v>
      </c>
      <c r="F2077" s="11" t="s">
        <v>5859</v>
      </c>
      <c r="G2077" s="11" t="s">
        <v>5857</v>
      </c>
      <c r="H2077" s="11" t="s">
        <v>5860</v>
      </c>
      <c r="I2077" s="11" t="s">
        <v>5796</v>
      </c>
    </row>
    <row r="2078" spans="1:9" x14ac:dyDescent="0.15">
      <c r="A2078" s="10">
        <v>2077</v>
      </c>
      <c r="B2078" s="11" t="s">
        <v>9</v>
      </c>
      <c r="C2078" s="11" t="s">
        <v>179</v>
      </c>
      <c r="D2078" s="11" t="s">
        <v>180</v>
      </c>
      <c r="E2078" s="9" t="str">
        <f>+HYPERLINK("http://trademark.i-assist.jp/data/china/image_1908th/80074537.pdf", "80074537")</f>
        <v>80074537</v>
      </c>
      <c r="F2078" s="11" t="s">
        <v>5861</v>
      </c>
      <c r="G2078" s="11" t="s">
        <v>5862</v>
      </c>
      <c r="H2078" s="11" t="s">
        <v>5863</v>
      </c>
      <c r="I2078" s="11" t="s">
        <v>5796</v>
      </c>
    </row>
    <row r="2079" spans="1:9" x14ac:dyDescent="0.15">
      <c r="A2079" s="10">
        <v>2078</v>
      </c>
      <c r="B2079" s="11" t="s">
        <v>9</v>
      </c>
      <c r="C2079" s="11" t="s">
        <v>179</v>
      </c>
      <c r="D2079" s="11" t="s">
        <v>180</v>
      </c>
      <c r="E2079" s="9" t="str">
        <f>+HYPERLINK("http://trademark.i-assist.jp/data/china/image_1908th/80074775.pdf", "80074775")</f>
        <v>80074775</v>
      </c>
      <c r="F2079" s="11" t="s">
        <v>5864</v>
      </c>
      <c r="G2079" s="11" t="s">
        <v>5865</v>
      </c>
      <c r="H2079" s="11" t="s">
        <v>5866</v>
      </c>
      <c r="I2079" s="11" t="s">
        <v>5796</v>
      </c>
    </row>
    <row r="2080" spans="1:9" x14ac:dyDescent="0.15">
      <c r="A2080" s="10">
        <v>2079</v>
      </c>
      <c r="B2080" s="11" t="s">
        <v>9</v>
      </c>
      <c r="C2080" s="11" t="s">
        <v>179</v>
      </c>
      <c r="D2080" s="11" t="s">
        <v>180</v>
      </c>
      <c r="E2080" s="9" t="str">
        <f>+HYPERLINK("http://trademark.i-assist.jp/data/china/image_1908th/80074874.pdf", "80074874")</f>
        <v>80074874</v>
      </c>
      <c r="F2080" s="11" t="s">
        <v>5867</v>
      </c>
      <c r="G2080" s="11" t="s">
        <v>5868</v>
      </c>
      <c r="H2080" s="11" t="s">
        <v>5869</v>
      </c>
      <c r="I2080" s="11" t="s">
        <v>5796</v>
      </c>
    </row>
    <row r="2081" spans="1:9" x14ac:dyDescent="0.15">
      <c r="A2081" s="10">
        <v>2080</v>
      </c>
      <c r="B2081" s="11" t="s">
        <v>9</v>
      </c>
      <c r="C2081" s="11" t="s">
        <v>179</v>
      </c>
      <c r="D2081" s="11" t="s">
        <v>180</v>
      </c>
      <c r="E2081" s="9" t="str">
        <f>+HYPERLINK("http://trademark.i-assist.jp/data/china/image_1908th/80074990.pdf", "80074990")</f>
        <v>80074990</v>
      </c>
      <c r="F2081" s="11" t="s">
        <v>5870</v>
      </c>
      <c r="G2081" s="11" t="s">
        <v>5871</v>
      </c>
      <c r="H2081" s="11" t="s">
        <v>5872</v>
      </c>
      <c r="I2081" s="11" t="s">
        <v>5796</v>
      </c>
    </row>
    <row r="2082" spans="1:9" x14ac:dyDescent="0.15">
      <c r="A2082" s="10">
        <v>2081</v>
      </c>
      <c r="B2082" s="11" t="s">
        <v>9</v>
      </c>
      <c r="C2082" s="11" t="s">
        <v>179</v>
      </c>
      <c r="D2082" s="11" t="s">
        <v>180</v>
      </c>
      <c r="E2082" s="9" t="str">
        <f>+HYPERLINK("http://trademark.i-assist.jp/data/china/image_1908th/80075239.pdf", "80075239")</f>
        <v>80075239</v>
      </c>
      <c r="F2082" s="11" t="s">
        <v>5873</v>
      </c>
      <c r="G2082" s="11" t="s">
        <v>5874</v>
      </c>
      <c r="H2082" s="11" t="s">
        <v>5875</v>
      </c>
      <c r="I2082" s="11" t="s">
        <v>5796</v>
      </c>
    </row>
    <row r="2083" spans="1:9" x14ac:dyDescent="0.15">
      <c r="A2083" s="10">
        <v>2082</v>
      </c>
      <c r="B2083" s="11" t="s">
        <v>9</v>
      </c>
      <c r="C2083" s="11" t="s">
        <v>179</v>
      </c>
      <c r="D2083" s="11" t="s">
        <v>180</v>
      </c>
      <c r="E2083" s="9" t="str">
        <f>+HYPERLINK("http://trademark.i-assist.jp/data/china/image_1908th/80075376.pdf", "80075376")</f>
        <v>80075376</v>
      </c>
      <c r="F2083" s="11" t="s">
        <v>5876</v>
      </c>
      <c r="G2083" s="11" t="s">
        <v>5877</v>
      </c>
      <c r="H2083" s="11" t="s">
        <v>5878</v>
      </c>
      <c r="I2083" s="11" t="s">
        <v>5796</v>
      </c>
    </row>
    <row r="2084" spans="1:9" x14ac:dyDescent="0.15">
      <c r="A2084" s="10">
        <v>2083</v>
      </c>
      <c r="B2084" s="11" t="s">
        <v>9</v>
      </c>
      <c r="C2084" s="11" t="s">
        <v>179</v>
      </c>
      <c r="D2084" s="11" t="s">
        <v>180</v>
      </c>
      <c r="E2084" s="9" t="str">
        <f>+HYPERLINK("http://trademark.i-assist.jp/data/china/image_1908th/80076215.pdf", "80076215")</f>
        <v>80076215</v>
      </c>
      <c r="F2084" s="11" t="s">
        <v>5879</v>
      </c>
      <c r="G2084" s="11" t="s">
        <v>5880</v>
      </c>
      <c r="H2084" s="11" t="s">
        <v>5881</v>
      </c>
      <c r="I2084" s="11" t="s">
        <v>5796</v>
      </c>
    </row>
    <row r="2085" spans="1:9" x14ac:dyDescent="0.15">
      <c r="A2085" s="10">
        <v>2084</v>
      </c>
      <c r="B2085" s="11" t="s">
        <v>9</v>
      </c>
      <c r="C2085" s="11" t="s">
        <v>179</v>
      </c>
      <c r="D2085" s="11" t="s">
        <v>180</v>
      </c>
      <c r="E2085" s="9" t="str">
        <f>+HYPERLINK("http://trademark.i-assist.jp/data/china/image_1908th/80076321.pdf", "80076321")</f>
        <v>80076321</v>
      </c>
      <c r="F2085" s="11" t="s">
        <v>5882</v>
      </c>
      <c r="G2085" s="11" t="s">
        <v>5883</v>
      </c>
      <c r="H2085" s="11" t="s">
        <v>5884</v>
      </c>
      <c r="I2085" s="11" t="s">
        <v>5796</v>
      </c>
    </row>
    <row r="2086" spans="1:9" x14ac:dyDescent="0.15">
      <c r="A2086" s="10">
        <v>2085</v>
      </c>
      <c r="B2086" s="11" t="s">
        <v>9</v>
      </c>
      <c r="C2086" s="11" t="s">
        <v>179</v>
      </c>
      <c r="D2086" s="11" t="s">
        <v>180</v>
      </c>
      <c r="E2086" s="9" t="str">
        <f>+HYPERLINK("http://trademark.i-assist.jp/data/china/image_1908th/80076469.pdf", "80076469")</f>
        <v>80076469</v>
      </c>
      <c r="F2086" s="11" t="s">
        <v>5885</v>
      </c>
      <c r="G2086" s="11" t="s">
        <v>5886</v>
      </c>
      <c r="H2086" s="11" t="s">
        <v>11</v>
      </c>
      <c r="I2086" s="11" t="s">
        <v>5796</v>
      </c>
    </row>
    <row r="2087" spans="1:9" x14ac:dyDescent="0.15">
      <c r="A2087" s="10">
        <v>2086</v>
      </c>
      <c r="B2087" s="11" t="s">
        <v>9</v>
      </c>
      <c r="C2087" s="11" t="s">
        <v>179</v>
      </c>
      <c r="D2087" s="11" t="s">
        <v>180</v>
      </c>
      <c r="E2087" s="9" t="str">
        <f>+HYPERLINK("http://trademark.i-assist.jp/data/china/image_1908th/80076607.pdf", "80076607")</f>
        <v>80076607</v>
      </c>
      <c r="F2087" s="11" t="s">
        <v>5887</v>
      </c>
      <c r="G2087" s="11" t="s">
        <v>16</v>
      </c>
      <c r="H2087" s="11" t="s">
        <v>5888</v>
      </c>
      <c r="I2087" s="11" t="s">
        <v>5796</v>
      </c>
    </row>
    <row r="2088" spans="1:9" x14ac:dyDescent="0.15">
      <c r="A2088" s="10">
        <v>2087</v>
      </c>
      <c r="B2088" s="11" t="s">
        <v>9</v>
      </c>
      <c r="C2088" s="11" t="s">
        <v>179</v>
      </c>
      <c r="D2088" s="11" t="s">
        <v>180</v>
      </c>
      <c r="E2088" s="9" t="str">
        <f>+HYPERLINK("http://trademark.i-assist.jp/data/china/image_1908th/80077017.pdf", "80077017")</f>
        <v>80077017</v>
      </c>
      <c r="F2088" s="11" t="s">
        <v>5889</v>
      </c>
      <c r="G2088" s="11" t="s">
        <v>5890</v>
      </c>
      <c r="H2088" s="11" t="s">
        <v>5891</v>
      </c>
      <c r="I2088" s="11" t="s">
        <v>5796</v>
      </c>
    </row>
    <row r="2089" spans="1:9" x14ac:dyDescent="0.15">
      <c r="A2089" s="10">
        <v>2088</v>
      </c>
      <c r="B2089" s="11" t="s">
        <v>9</v>
      </c>
      <c r="C2089" s="11" t="s">
        <v>179</v>
      </c>
      <c r="D2089" s="11" t="s">
        <v>180</v>
      </c>
      <c r="E2089" s="9" t="str">
        <f>+HYPERLINK("http://trademark.i-assist.jp/data/china/image_1908th/80077195.pdf", "80077195")</f>
        <v>80077195</v>
      </c>
      <c r="F2089" s="11" t="s">
        <v>5892</v>
      </c>
      <c r="G2089" s="11" t="s">
        <v>5893</v>
      </c>
      <c r="H2089" s="11" t="s">
        <v>5894</v>
      </c>
      <c r="I2089" s="11" t="s">
        <v>5796</v>
      </c>
    </row>
    <row r="2090" spans="1:9" x14ac:dyDescent="0.15">
      <c r="A2090" s="10">
        <v>2089</v>
      </c>
      <c r="B2090" s="11" t="s">
        <v>9</v>
      </c>
      <c r="C2090" s="11" t="s">
        <v>179</v>
      </c>
      <c r="D2090" s="11" t="s">
        <v>180</v>
      </c>
      <c r="E2090" s="9" t="str">
        <f>+HYPERLINK("http://trademark.i-assist.jp/data/china/image_1908th/80077306.pdf", "80077306")</f>
        <v>80077306</v>
      </c>
      <c r="F2090" s="11" t="s">
        <v>5895</v>
      </c>
      <c r="G2090" s="11" t="s">
        <v>5896</v>
      </c>
      <c r="H2090" s="11" t="s">
        <v>5897</v>
      </c>
      <c r="I2090" s="11" t="s">
        <v>5796</v>
      </c>
    </row>
    <row r="2091" spans="1:9" x14ac:dyDescent="0.15">
      <c r="A2091" s="10">
        <v>2090</v>
      </c>
      <c r="B2091" s="11" t="s">
        <v>9</v>
      </c>
      <c r="C2091" s="11" t="s">
        <v>179</v>
      </c>
      <c r="D2091" s="11" t="s">
        <v>180</v>
      </c>
      <c r="E2091" s="9" t="str">
        <f>+HYPERLINK("http://trademark.i-assist.jp/data/china/image_1908th/80077331.pdf", "80077331")</f>
        <v>80077331</v>
      </c>
      <c r="F2091" s="11" t="s">
        <v>5898</v>
      </c>
      <c r="G2091" s="11" t="s">
        <v>5899</v>
      </c>
      <c r="H2091" s="11" t="s">
        <v>5900</v>
      </c>
      <c r="I2091" s="11" t="s">
        <v>5796</v>
      </c>
    </row>
    <row r="2092" spans="1:9" x14ac:dyDescent="0.15">
      <c r="A2092" s="10">
        <v>2091</v>
      </c>
      <c r="B2092" s="11" t="s">
        <v>9</v>
      </c>
      <c r="C2092" s="11" t="s">
        <v>179</v>
      </c>
      <c r="D2092" s="11" t="s">
        <v>180</v>
      </c>
      <c r="E2092" s="9" t="str">
        <f>+HYPERLINK("http://trademark.i-assist.jp/data/china/image_1908th/80077799.pdf", "80077799")</f>
        <v>80077799</v>
      </c>
      <c r="F2092" s="11" t="s">
        <v>10</v>
      </c>
      <c r="G2092" s="11" t="s">
        <v>5901</v>
      </c>
      <c r="H2092" s="11" t="s">
        <v>5902</v>
      </c>
      <c r="I2092" s="11" t="s">
        <v>5796</v>
      </c>
    </row>
    <row r="2093" spans="1:9" x14ac:dyDescent="0.15">
      <c r="A2093" s="10">
        <v>2092</v>
      </c>
      <c r="B2093" s="11" t="s">
        <v>9</v>
      </c>
      <c r="C2093" s="11" t="s">
        <v>179</v>
      </c>
      <c r="D2093" s="11" t="s">
        <v>180</v>
      </c>
      <c r="E2093" s="9" t="str">
        <f>+HYPERLINK("http://trademark.i-assist.jp/data/china/image_1908th/80078521.pdf", "80078521")</f>
        <v>80078521</v>
      </c>
      <c r="F2093" s="11" t="s">
        <v>5903</v>
      </c>
      <c r="G2093" s="11" t="s">
        <v>5904</v>
      </c>
      <c r="H2093" s="11" t="s">
        <v>5905</v>
      </c>
      <c r="I2093" s="11" t="s">
        <v>5796</v>
      </c>
    </row>
    <row r="2094" spans="1:9" x14ac:dyDescent="0.15">
      <c r="A2094" s="10">
        <v>2093</v>
      </c>
      <c r="B2094" s="11" t="s">
        <v>9</v>
      </c>
      <c r="C2094" s="11" t="s">
        <v>179</v>
      </c>
      <c r="D2094" s="11" t="s">
        <v>180</v>
      </c>
      <c r="E2094" s="9" t="str">
        <f>+HYPERLINK("http://trademark.i-assist.jp/data/china/image_1908th/80078888.pdf", "80078888")</f>
        <v>80078888</v>
      </c>
      <c r="F2094" s="11" t="s">
        <v>5906</v>
      </c>
      <c r="G2094" s="11" t="s">
        <v>1657</v>
      </c>
      <c r="H2094" s="11" t="s">
        <v>5907</v>
      </c>
      <c r="I2094" s="11" t="s">
        <v>5796</v>
      </c>
    </row>
    <row r="2095" spans="1:9" x14ac:dyDescent="0.15">
      <c r="A2095" s="10">
        <v>2094</v>
      </c>
      <c r="B2095" s="11" t="s">
        <v>9</v>
      </c>
      <c r="C2095" s="11" t="s">
        <v>179</v>
      </c>
      <c r="D2095" s="11" t="s">
        <v>180</v>
      </c>
      <c r="E2095" s="9" t="str">
        <f>+HYPERLINK("http://trademark.i-assist.jp/data/china/image_1908th/80078955.pdf", "80078955")</f>
        <v>80078955</v>
      </c>
      <c r="F2095" s="11" t="s">
        <v>5908</v>
      </c>
      <c r="G2095" s="11" t="s">
        <v>5909</v>
      </c>
      <c r="H2095" s="11" t="s">
        <v>5910</v>
      </c>
      <c r="I2095" s="11" t="s">
        <v>5796</v>
      </c>
    </row>
    <row r="2096" spans="1:9" x14ac:dyDescent="0.15">
      <c r="A2096" s="10">
        <v>2095</v>
      </c>
      <c r="B2096" s="11" t="s">
        <v>9</v>
      </c>
      <c r="C2096" s="11" t="s">
        <v>179</v>
      </c>
      <c r="D2096" s="11" t="s">
        <v>180</v>
      </c>
      <c r="E2096" s="9" t="str">
        <f>+HYPERLINK("http://trademark.i-assist.jp/data/china/image_1908th/80079078.pdf", "80079078")</f>
        <v>80079078</v>
      </c>
      <c r="F2096" s="11" t="s">
        <v>5911</v>
      </c>
      <c r="G2096" s="11" t="s">
        <v>5912</v>
      </c>
      <c r="H2096" s="11" t="s">
        <v>5913</v>
      </c>
      <c r="I2096" s="11" t="s">
        <v>5796</v>
      </c>
    </row>
    <row r="2097" spans="1:9" x14ac:dyDescent="0.15">
      <c r="A2097" s="10">
        <v>2096</v>
      </c>
      <c r="B2097" s="11" t="s">
        <v>9</v>
      </c>
      <c r="C2097" s="11" t="s">
        <v>179</v>
      </c>
      <c r="D2097" s="11" t="s">
        <v>180</v>
      </c>
      <c r="E2097" s="9" t="str">
        <f>+HYPERLINK("http://trademark.i-assist.jp/data/china/image_1908th/80079767.pdf", "80079767")</f>
        <v>80079767</v>
      </c>
      <c r="F2097" s="11" t="s">
        <v>10</v>
      </c>
      <c r="G2097" s="11" t="s">
        <v>142</v>
      </c>
      <c r="H2097" s="11" t="s">
        <v>5914</v>
      </c>
      <c r="I2097" s="11" t="s">
        <v>5796</v>
      </c>
    </row>
    <row r="2098" spans="1:9" x14ac:dyDescent="0.15">
      <c r="A2098" s="10">
        <v>2097</v>
      </c>
      <c r="B2098" s="11" t="s">
        <v>9</v>
      </c>
      <c r="C2098" s="11" t="s">
        <v>179</v>
      </c>
      <c r="D2098" s="11" t="s">
        <v>180</v>
      </c>
      <c r="E2098" s="9" t="str">
        <f>+HYPERLINK("http://trademark.i-assist.jp/data/china/image_1908th/80079886.pdf", "80079886")</f>
        <v>80079886</v>
      </c>
      <c r="F2098" s="11" t="s">
        <v>5915</v>
      </c>
      <c r="G2098" s="11" t="s">
        <v>5916</v>
      </c>
      <c r="H2098" s="11" t="s">
        <v>5917</v>
      </c>
      <c r="I2098" s="11" t="s">
        <v>5796</v>
      </c>
    </row>
    <row r="2099" spans="1:9" x14ac:dyDescent="0.15">
      <c r="A2099" s="10">
        <v>2098</v>
      </c>
      <c r="B2099" s="11" t="s">
        <v>9</v>
      </c>
      <c r="C2099" s="11" t="s">
        <v>179</v>
      </c>
      <c r="D2099" s="11" t="s">
        <v>180</v>
      </c>
      <c r="E2099" s="9" t="str">
        <f>+HYPERLINK("http://trademark.i-assist.jp/data/china/image_1908th/80079889.pdf", "80079889")</f>
        <v>80079889</v>
      </c>
      <c r="F2099" s="11" t="s">
        <v>5918</v>
      </c>
      <c r="G2099" s="11" t="s">
        <v>5919</v>
      </c>
      <c r="H2099" s="11" t="s">
        <v>5920</v>
      </c>
      <c r="I2099" s="11" t="s">
        <v>5796</v>
      </c>
    </row>
    <row r="2100" spans="1:9" x14ac:dyDescent="0.15">
      <c r="A2100" s="10">
        <v>2099</v>
      </c>
      <c r="B2100" s="11" t="s">
        <v>9</v>
      </c>
      <c r="C2100" s="11" t="s">
        <v>179</v>
      </c>
      <c r="D2100" s="11" t="s">
        <v>180</v>
      </c>
      <c r="E2100" s="9" t="str">
        <f>+HYPERLINK("http://trademark.i-assist.jp/data/china/image_1908th/80080164.pdf", "80080164")</f>
        <v>80080164</v>
      </c>
      <c r="F2100" s="11" t="s">
        <v>5921</v>
      </c>
      <c r="G2100" s="11" t="s">
        <v>5922</v>
      </c>
      <c r="H2100" s="11" t="s">
        <v>5923</v>
      </c>
      <c r="I2100" s="11" t="s">
        <v>5796</v>
      </c>
    </row>
    <row r="2101" spans="1:9" x14ac:dyDescent="0.15">
      <c r="A2101" s="10">
        <v>2100</v>
      </c>
      <c r="B2101" s="11" t="s">
        <v>9</v>
      </c>
      <c r="C2101" s="11" t="s">
        <v>179</v>
      </c>
      <c r="D2101" s="11" t="s">
        <v>180</v>
      </c>
      <c r="E2101" s="9" t="str">
        <f>+HYPERLINK("http://trademark.i-assist.jp/data/china/image_1908th/80080263.pdf", "80080263")</f>
        <v>80080263</v>
      </c>
      <c r="F2101" s="11" t="s">
        <v>5924</v>
      </c>
      <c r="G2101" s="11" t="s">
        <v>5925</v>
      </c>
      <c r="H2101" s="11" t="s">
        <v>5926</v>
      </c>
      <c r="I2101" s="11" t="s">
        <v>5796</v>
      </c>
    </row>
    <row r="2102" spans="1:9" x14ac:dyDescent="0.15">
      <c r="A2102" s="10">
        <v>2101</v>
      </c>
      <c r="B2102" s="11" t="s">
        <v>9</v>
      </c>
      <c r="C2102" s="11" t="s">
        <v>179</v>
      </c>
      <c r="D2102" s="11" t="s">
        <v>180</v>
      </c>
      <c r="E2102" s="9" t="str">
        <f>+HYPERLINK("http://trademark.i-assist.jp/data/china/image_1908th/80080320.pdf", "80080320")</f>
        <v>80080320</v>
      </c>
      <c r="F2102" s="11" t="s">
        <v>5927</v>
      </c>
      <c r="G2102" s="11" t="s">
        <v>5019</v>
      </c>
      <c r="H2102" s="11" t="s">
        <v>5928</v>
      </c>
      <c r="I2102" s="11" t="s">
        <v>5796</v>
      </c>
    </row>
    <row r="2103" spans="1:9" x14ac:dyDescent="0.15">
      <c r="A2103" s="10">
        <v>2102</v>
      </c>
      <c r="B2103" s="11" t="s">
        <v>9</v>
      </c>
      <c r="C2103" s="11" t="s">
        <v>179</v>
      </c>
      <c r="D2103" s="11" t="s">
        <v>180</v>
      </c>
      <c r="E2103" s="9" t="str">
        <f>+HYPERLINK("http://trademark.i-assist.jp/data/china/image_1908th/80080612.pdf", "80080612")</f>
        <v>80080612</v>
      </c>
      <c r="F2103" s="11" t="s">
        <v>5929</v>
      </c>
      <c r="G2103" s="11" t="s">
        <v>5930</v>
      </c>
      <c r="H2103" s="11" t="s">
        <v>5931</v>
      </c>
      <c r="I2103" s="11" t="s">
        <v>5796</v>
      </c>
    </row>
    <row r="2104" spans="1:9" x14ac:dyDescent="0.15">
      <c r="A2104" s="10">
        <v>2103</v>
      </c>
      <c r="B2104" s="11" t="s">
        <v>9</v>
      </c>
      <c r="C2104" s="11" t="s">
        <v>179</v>
      </c>
      <c r="D2104" s="11" t="s">
        <v>180</v>
      </c>
      <c r="E2104" s="9" t="str">
        <f>+HYPERLINK("http://trademark.i-assist.jp/data/china/image_1908th/80080776.pdf", "80080776")</f>
        <v>80080776</v>
      </c>
      <c r="F2104" s="11" t="s">
        <v>5932</v>
      </c>
      <c r="G2104" s="11" t="s">
        <v>5933</v>
      </c>
      <c r="H2104" s="11" t="s">
        <v>5934</v>
      </c>
      <c r="I2104" s="11" t="s">
        <v>5796</v>
      </c>
    </row>
    <row r="2105" spans="1:9" x14ac:dyDescent="0.15">
      <c r="A2105" s="10">
        <v>2104</v>
      </c>
      <c r="B2105" s="11" t="s">
        <v>9</v>
      </c>
      <c r="C2105" s="11" t="s">
        <v>179</v>
      </c>
      <c r="D2105" s="11" t="s">
        <v>180</v>
      </c>
      <c r="E2105" s="9" t="str">
        <f>+HYPERLINK("http://trademark.i-assist.jp/data/china/image_1908th/80080820.pdf", "80080820")</f>
        <v>80080820</v>
      </c>
      <c r="F2105" s="11" t="s">
        <v>5935</v>
      </c>
      <c r="G2105" s="11" t="s">
        <v>5936</v>
      </c>
      <c r="H2105" s="11" t="s">
        <v>5937</v>
      </c>
      <c r="I2105" s="11" t="s">
        <v>5796</v>
      </c>
    </row>
    <row r="2106" spans="1:9" x14ac:dyDescent="0.15">
      <c r="A2106" s="10">
        <v>2105</v>
      </c>
      <c r="B2106" s="11" t="s">
        <v>9</v>
      </c>
      <c r="C2106" s="11" t="s">
        <v>179</v>
      </c>
      <c r="D2106" s="11" t="s">
        <v>180</v>
      </c>
      <c r="E2106" s="9" t="str">
        <f>+HYPERLINK("http://trademark.i-assist.jp/data/china/image_1908th/80080873.pdf", "80080873")</f>
        <v>80080873</v>
      </c>
      <c r="F2106" s="11" t="s">
        <v>5938</v>
      </c>
      <c r="G2106" s="11" t="s">
        <v>4245</v>
      </c>
      <c r="H2106" s="11" t="s">
        <v>5939</v>
      </c>
      <c r="I2106" s="11" t="s">
        <v>5796</v>
      </c>
    </row>
    <row r="2107" spans="1:9" x14ac:dyDescent="0.15">
      <c r="A2107" s="10">
        <v>2106</v>
      </c>
      <c r="B2107" s="11" t="s">
        <v>9</v>
      </c>
      <c r="C2107" s="11" t="s">
        <v>179</v>
      </c>
      <c r="D2107" s="11" t="s">
        <v>180</v>
      </c>
      <c r="E2107" s="9" t="str">
        <f>+HYPERLINK("http://trademark.i-assist.jp/data/china/image_1908th/80081144.pdf", "80081144")</f>
        <v>80081144</v>
      </c>
      <c r="F2107" s="11" t="s">
        <v>5940</v>
      </c>
      <c r="G2107" s="11" t="s">
        <v>5941</v>
      </c>
      <c r="H2107" s="11" t="s">
        <v>5942</v>
      </c>
      <c r="I2107" s="11" t="s">
        <v>5796</v>
      </c>
    </row>
    <row r="2108" spans="1:9" x14ac:dyDescent="0.15">
      <c r="A2108" s="10">
        <v>2107</v>
      </c>
      <c r="B2108" s="11" t="s">
        <v>9</v>
      </c>
      <c r="C2108" s="11" t="s">
        <v>179</v>
      </c>
      <c r="D2108" s="11" t="s">
        <v>180</v>
      </c>
      <c r="E2108" s="9" t="str">
        <f>+HYPERLINK("http://trademark.i-assist.jp/data/china/image_1908th/80081446.pdf", "80081446")</f>
        <v>80081446</v>
      </c>
      <c r="F2108" s="11" t="s">
        <v>5943</v>
      </c>
      <c r="G2108" s="11" t="s">
        <v>5944</v>
      </c>
      <c r="H2108" s="11" t="s">
        <v>5945</v>
      </c>
      <c r="I2108" s="11" t="s">
        <v>5796</v>
      </c>
    </row>
    <row r="2109" spans="1:9" x14ac:dyDescent="0.15">
      <c r="A2109" s="10">
        <v>2108</v>
      </c>
      <c r="B2109" s="11" t="s">
        <v>9</v>
      </c>
      <c r="C2109" s="11" t="s">
        <v>179</v>
      </c>
      <c r="D2109" s="11" t="s">
        <v>180</v>
      </c>
      <c r="E2109" s="9" t="str">
        <f>+HYPERLINK("http://trademark.i-assist.jp/data/china/image_1908th/80081942.pdf", "80081942")</f>
        <v>80081942</v>
      </c>
      <c r="F2109" s="11" t="s">
        <v>5946</v>
      </c>
      <c r="G2109" s="11" t="s">
        <v>5862</v>
      </c>
      <c r="H2109" s="11" t="s">
        <v>5947</v>
      </c>
      <c r="I2109" s="11" t="s">
        <v>5796</v>
      </c>
    </row>
    <row r="2110" spans="1:9" x14ac:dyDescent="0.15">
      <c r="A2110" s="10">
        <v>2109</v>
      </c>
      <c r="B2110" s="11" t="s">
        <v>9</v>
      </c>
      <c r="C2110" s="11" t="s">
        <v>179</v>
      </c>
      <c r="D2110" s="11" t="s">
        <v>180</v>
      </c>
      <c r="E2110" s="9" t="str">
        <f>+HYPERLINK("http://trademark.i-assist.jp/data/china/image_1908th/80082361.pdf", "80082361")</f>
        <v>80082361</v>
      </c>
      <c r="F2110" s="11" t="s">
        <v>5948</v>
      </c>
      <c r="G2110" s="11" t="s">
        <v>5949</v>
      </c>
      <c r="H2110" s="11" t="s">
        <v>5950</v>
      </c>
      <c r="I2110" s="11" t="s">
        <v>5796</v>
      </c>
    </row>
    <row r="2111" spans="1:9" x14ac:dyDescent="0.15">
      <c r="A2111" s="10">
        <v>2110</v>
      </c>
      <c r="B2111" s="11" t="s">
        <v>9</v>
      </c>
      <c r="C2111" s="11" t="s">
        <v>179</v>
      </c>
      <c r="D2111" s="11" t="s">
        <v>180</v>
      </c>
      <c r="E2111" s="9" t="str">
        <f>+HYPERLINK("http://trademark.i-assist.jp/data/china/image_1908th/80082518.pdf", "80082518")</f>
        <v>80082518</v>
      </c>
      <c r="F2111" s="11" t="s">
        <v>5951</v>
      </c>
      <c r="G2111" s="11" t="s">
        <v>5952</v>
      </c>
      <c r="H2111" s="11" t="s">
        <v>5953</v>
      </c>
      <c r="I2111" s="11" t="s">
        <v>5796</v>
      </c>
    </row>
    <row r="2112" spans="1:9" x14ac:dyDescent="0.15">
      <c r="A2112" s="10">
        <v>2111</v>
      </c>
      <c r="B2112" s="11" t="s">
        <v>9</v>
      </c>
      <c r="C2112" s="11" t="s">
        <v>179</v>
      </c>
      <c r="D2112" s="11" t="s">
        <v>180</v>
      </c>
      <c r="E2112" s="9" t="str">
        <f>+HYPERLINK("http://trademark.i-assist.jp/data/china/image_1908th/80082563.pdf", "80082563")</f>
        <v>80082563</v>
      </c>
      <c r="F2112" s="11" t="s">
        <v>5954</v>
      </c>
      <c r="G2112" s="11" t="s">
        <v>5955</v>
      </c>
      <c r="H2112" s="11" t="s">
        <v>5956</v>
      </c>
      <c r="I2112" s="11" t="s">
        <v>5796</v>
      </c>
    </row>
    <row r="2113" spans="1:9" x14ac:dyDescent="0.15">
      <c r="A2113" s="10">
        <v>2112</v>
      </c>
      <c r="B2113" s="11" t="s">
        <v>9</v>
      </c>
      <c r="C2113" s="11" t="s">
        <v>179</v>
      </c>
      <c r="D2113" s="11" t="s">
        <v>180</v>
      </c>
      <c r="E2113" s="9" t="str">
        <f>+HYPERLINK("http://trademark.i-assist.jp/data/china/image_1908th/80082682.pdf", "80082682")</f>
        <v>80082682</v>
      </c>
      <c r="F2113" s="11" t="s">
        <v>5957</v>
      </c>
      <c r="G2113" s="11" t="s">
        <v>5958</v>
      </c>
      <c r="H2113" s="11" t="s">
        <v>5959</v>
      </c>
      <c r="I2113" s="11" t="s">
        <v>5796</v>
      </c>
    </row>
    <row r="2114" spans="1:9" x14ac:dyDescent="0.15">
      <c r="A2114" s="10">
        <v>2113</v>
      </c>
      <c r="B2114" s="11" t="s">
        <v>9</v>
      </c>
      <c r="C2114" s="11" t="s">
        <v>179</v>
      </c>
      <c r="D2114" s="11" t="s">
        <v>180</v>
      </c>
      <c r="E2114" s="9" t="str">
        <f>+HYPERLINK("http://trademark.i-assist.jp/data/china/image_1908th/80082836.pdf", "80082836")</f>
        <v>80082836</v>
      </c>
      <c r="F2114" s="11" t="s">
        <v>5960</v>
      </c>
      <c r="G2114" s="11" t="s">
        <v>5961</v>
      </c>
      <c r="H2114" s="11" t="s">
        <v>5962</v>
      </c>
      <c r="I2114" s="11" t="s">
        <v>5796</v>
      </c>
    </row>
    <row r="2115" spans="1:9" x14ac:dyDescent="0.15">
      <c r="A2115" s="10">
        <v>2114</v>
      </c>
      <c r="B2115" s="11" t="s">
        <v>9</v>
      </c>
      <c r="C2115" s="11" t="s">
        <v>179</v>
      </c>
      <c r="D2115" s="11" t="s">
        <v>180</v>
      </c>
      <c r="E2115" s="9" t="str">
        <f>+HYPERLINK("http://trademark.i-assist.jp/data/china/image_1908th/80083459.pdf", "80083459")</f>
        <v>80083459</v>
      </c>
      <c r="F2115" s="11" t="s">
        <v>5963</v>
      </c>
      <c r="G2115" s="11" t="s">
        <v>5964</v>
      </c>
      <c r="H2115" s="11" t="s">
        <v>5965</v>
      </c>
      <c r="I2115" s="11" t="s">
        <v>5796</v>
      </c>
    </row>
    <row r="2116" spans="1:9" x14ac:dyDescent="0.15">
      <c r="A2116" s="10">
        <v>2115</v>
      </c>
      <c r="B2116" s="11" t="s">
        <v>9</v>
      </c>
      <c r="C2116" s="11" t="s">
        <v>179</v>
      </c>
      <c r="D2116" s="11" t="s">
        <v>180</v>
      </c>
      <c r="E2116" s="9" t="str">
        <f>+HYPERLINK("http://trademark.i-assist.jp/data/china/image_1908th/80083522.pdf", "80083522")</f>
        <v>80083522</v>
      </c>
      <c r="F2116" s="11" t="s">
        <v>5966</v>
      </c>
      <c r="G2116" s="11" t="s">
        <v>5877</v>
      </c>
      <c r="H2116" s="11" t="s">
        <v>5967</v>
      </c>
      <c r="I2116" s="11" t="s">
        <v>5796</v>
      </c>
    </row>
    <row r="2117" spans="1:9" x14ac:dyDescent="0.15">
      <c r="A2117" s="10">
        <v>2116</v>
      </c>
      <c r="B2117" s="11" t="s">
        <v>9</v>
      </c>
      <c r="C2117" s="11" t="s">
        <v>179</v>
      </c>
      <c r="D2117" s="11" t="s">
        <v>180</v>
      </c>
      <c r="E2117" s="9" t="str">
        <f>+HYPERLINK("http://trademark.i-assist.jp/data/china/image_1908th/80083607.pdf", "80083607")</f>
        <v>80083607</v>
      </c>
      <c r="F2117" s="11" t="s">
        <v>4096</v>
      </c>
      <c r="G2117" s="11" t="s">
        <v>4097</v>
      </c>
      <c r="H2117" s="11" t="s">
        <v>5968</v>
      </c>
      <c r="I2117" s="11" t="s">
        <v>5796</v>
      </c>
    </row>
    <row r="2118" spans="1:9" x14ac:dyDescent="0.15">
      <c r="A2118" s="10">
        <v>2117</v>
      </c>
      <c r="B2118" s="11" t="s">
        <v>9</v>
      </c>
      <c r="C2118" s="11" t="s">
        <v>179</v>
      </c>
      <c r="D2118" s="11" t="s">
        <v>180</v>
      </c>
      <c r="E2118" s="9" t="str">
        <f>+HYPERLINK("http://trademark.i-assist.jp/data/china/image_1908th/80083921.pdf", "80083921")</f>
        <v>80083921</v>
      </c>
      <c r="F2118" s="11" t="s">
        <v>4096</v>
      </c>
      <c r="G2118" s="11" t="s">
        <v>4097</v>
      </c>
      <c r="H2118" s="11" t="s">
        <v>5969</v>
      </c>
      <c r="I2118" s="11" t="s">
        <v>5796</v>
      </c>
    </row>
    <row r="2119" spans="1:9" x14ac:dyDescent="0.15">
      <c r="A2119" s="10">
        <v>2118</v>
      </c>
      <c r="B2119" s="11" t="s">
        <v>9</v>
      </c>
      <c r="C2119" s="11" t="s">
        <v>179</v>
      </c>
      <c r="D2119" s="11" t="s">
        <v>180</v>
      </c>
      <c r="E2119" s="9" t="str">
        <f>+HYPERLINK("http://trademark.i-assist.jp/data/china/image_1908th/80084800.pdf", "80084800")</f>
        <v>80084800</v>
      </c>
      <c r="F2119" s="11" t="s">
        <v>5970</v>
      </c>
      <c r="G2119" s="11" t="s">
        <v>4614</v>
      </c>
      <c r="H2119" s="11" t="s">
        <v>5971</v>
      </c>
      <c r="I2119" s="11" t="s">
        <v>5796</v>
      </c>
    </row>
    <row r="2120" spans="1:9" x14ac:dyDescent="0.15">
      <c r="A2120" s="10">
        <v>2119</v>
      </c>
      <c r="B2120" s="11" t="s">
        <v>9</v>
      </c>
      <c r="C2120" s="11" t="s">
        <v>179</v>
      </c>
      <c r="D2120" s="11" t="s">
        <v>180</v>
      </c>
      <c r="E2120" s="9" t="str">
        <f>+HYPERLINK("http://trademark.i-assist.jp/data/china/image_1908th/80084906.pdf", "80084906")</f>
        <v>80084906</v>
      </c>
      <c r="F2120" s="11" t="s">
        <v>5972</v>
      </c>
      <c r="G2120" s="11" t="s">
        <v>5973</v>
      </c>
      <c r="H2120" s="11" t="s">
        <v>5974</v>
      </c>
      <c r="I2120" s="11" t="s">
        <v>5796</v>
      </c>
    </row>
    <row r="2121" spans="1:9" x14ac:dyDescent="0.15">
      <c r="A2121" s="10">
        <v>2120</v>
      </c>
      <c r="B2121" s="11" t="s">
        <v>9</v>
      </c>
      <c r="C2121" s="11" t="s">
        <v>179</v>
      </c>
      <c r="D2121" s="11" t="s">
        <v>180</v>
      </c>
      <c r="E2121" s="9" t="str">
        <f>+HYPERLINK("http://trademark.i-assist.jp/data/china/image_1908th/80085449.pdf", "80085449")</f>
        <v>80085449</v>
      </c>
      <c r="F2121" s="11" t="s">
        <v>5975</v>
      </c>
      <c r="G2121" s="11" t="s">
        <v>5976</v>
      </c>
      <c r="H2121" s="11" t="s">
        <v>5977</v>
      </c>
      <c r="I2121" s="11" t="s">
        <v>5796</v>
      </c>
    </row>
    <row r="2122" spans="1:9" x14ac:dyDescent="0.15">
      <c r="A2122" s="10">
        <v>2121</v>
      </c>
      <c r="B2122" s="11" t="s">
        <v>9</v>
      </c>
      <c r="C2122" s="11" t="s">
        <v>179</v>
      </c>
      <c r="D2122" s="11" t="s">
        <v>180</v>
      </c>
      <c r="E2122" s="9" t="str">
        <f>+HYPERLINK("http://trademark.i-assist.jp/data/china/image_1908th/80085641.pdf", "80085641")</f>
        <v>80085641</v>
      </c>
      <c r="F2122" s="11" t="s">
        <v>5978</v>
      </c>
      <c r="G2122" s="11" t="s">
        <v>5979</v>
      </c>
      <c r="H2122" s="11" t="s">
        <v>5980</v>
      </c>
      <c r="I2122" s="11" t="s">
        <v>5796</v>
      </c>
    </row>
    <row r="2123" spans="1:9" x14ac:dyDescent="0.15">
      <c r="A2123" s="10">
        <v>2122</v>
      </c>
      <c r="B2123" s="11" t="s">
        <v>9</v>
      </c>
      <c r="C2123" s="11" t="s">
        <v>179</v>
      </c>
      <c r="D2123" s="11" t="s">
        <v>180</v>
      </c>
      <c r="E2123" s="9" t="str">
        <f>+HYPERLINK("http://trademark.i-assist.jp/data/china/image_1908th/80085684.pdf", "80085684")</f>
        <v>80085684</v>
      </c>
      <c r="F2123" s="11" t="s">
        <v>10</v>
      </c>
      <c r="G2123" s="11" t="s">
        <v>5981</v>
      </c>
      <c r="H2123" s="11" t="s">
        <v>5982</v>
      </c>
      <c r="I2123" s="11" t="s">
        <v>5796</v>
      </c>
    </row>
    <row r="2124" spans="1:9" x14ac:dyDescent="0.15">
      <c r="A2124" s="10">
        <v>2123</v>
      </c>
      <c r="B2124" s="11" t="s">
        <v>9</v>
      </c>
      <c r="C2124" s="11" t="s">
        <v>179</v>
      </c>
      <c r="D2124" s="11" t="s">
        <v>180</v>
      </c>
      <c r="E2124" s="9" t="str">
        <f>+HYPERLINK("http://trademark.i-assist.jp/data/china/image_1908th/80085735.pdf", "80085735")</f>
        <v>80085735</v>
      </c>
      <c r="F2124" s="11" t="s">
        <v>5983</v>
      </c>
      <c r="G2124" s="11" t="s">
        <v>5984</v>
      </c>
      <c r="H2124" s="11" t="s">
        <v>5985</v>
      </c>
      <c r="I2124" s="11" t="s">
        <v>5796</v>
      </c>
    </row>
    <row r="2125" spans="1:9" x14ac:dyDescent="0.15">
      <c r="A2125" s="10">
        <v>2124</v>
      </c>
      <c r="B2125" s="11" t="s">
        <v>9</v>
      </c>
      <c r="C2125" s="11" t="s">
        <v>179</v>
      </c>
      <c r="D2125" s="11" t="s">
        <v>180</v>
      </c>
      <c r="E2125" s="9" t="str">
        <f>+HYPERLINK("http://trademark.i-assist.jp/data/china/image_1908th/80085989.pdf", "80085989")</f>
        <v>80085989</v>
      </c>
      <c r="F2125" s="11" t="s">
        <v>10</v>
      </c>
      <c r="G2125" s="11" t="s">
        <v>5986</v>
      </c>
      <c r="H2125" s="11" t="s">
        <v>5987</v>
      </c>
      <c r="I2125" s="11" t="s">
        <v>5796</v>
      </c>
    </row>
    <row r="2126" spans="1:9" x14ac:dyDescent="0.15">
      <c r="A2126" s="10">
        <v>2125</v>
      </c>
      <c r="B2126" s="11" t="s">
        <v>9</v>
      </c>
      <c r="C2126" s="11" t="s">
        <v>179</v>
      </c>
      <c r="D2126" s="11" t="s">
        <v>180</v>
      </c>
      <c r="E2126" s="9" t="str">
        <f>+HYPERLINK("http://trademark.i-assist.jp/data/china/image_1908th/80086336.pdf", "80086336")</f>
        <v>80086336</v>
      </c>
      <c r="F2126" s="11" t="s">
        <v>10</v>
      </c>
      <c r="G2126" s="11" t="s">
        <v>5988</v>
      </c>
      <c r="H2126" s="11" t="s">
        <v>5989</v>
      </c>
      <c r="I2126" s="11" t="s">
        <v>5796</v>
      </c>
    </row>
    <row r="2127" spans="1:9" x14ac:dyDescent="0.15">
      <c r="A2127" s="10">
        <v>2126</v>
      </c>
      <c r="B2127" s="11" t="s">
        <v>9</v>
      </c>
      <c r="C2127" s="11" t="s">
        <v>179</v>
      </c>
      <c r="D2127" s="11" t="s">
        <v>180</v>
      </c>
      <c r="E2127" s="9" t="str">
        <f>+HYPERLINK("http://trademark.i-assist.jp/data/china/image_1908th/80086398.pdf", "80086398")</f>
        <v>80086398</v>
      </c>
      <c r="F2127" s="11" t="s">
        <v>5990</v>
      </c>
      <c r="G2127" s="11" t="s">
        <v>5991</v>
      </c>
      <c r="H2127" s="11" t="s">
        <v>5992</v>
      </c>
      <c r="I2127" s="11" t="s">
        <v>5796</v>
      </c>
    </row>
    <row r="2128" spans="1:9" x14ac:dyDescent="0.15">
      <c r="A2128" s="10">
        <v>2127</v>
      </c>
      <c r="B2128" s="11" t="s">
        <v>9</v>
      </c>
      <c r="C2128" s="11" t="s">
        <v>179</v>
      </c>
      <c r="D2128" s="11" t="s">
        <v>180</v>
      </c>
      <c r="E2128" s="9" t="str">
        <f>+HYPERLINK("http://trademark.i-assist.jp/data/china/image_1908th/80086586.pdf", "80086586")</f>
        <v>80086586</v>
      </c>
      <c r="F2128" s="11" t="s">
        <v>5993</v>
      </c>
      <c r="G2128" s="11" t="s">
        <v>5994</v>
      </c>
      <c r="H2128" s="11" t="s">
        <v>5995</v>
      </c>
      <c r="I2128" s="11" t="s">
        <v>5796</v>
      </c>
    </row>
    <row r="2129" spans="1:9" x14ac:dyDescent="0.15">
      <c r="A2129" s="10">
        <v>2128</v>
      </c>
      <c r="B2129" s="11" t="s">
        <v>9</v>
      </c>
      <c r="C2129" s="11" t="s">
        <v>179</v>
      </c>
      <c r="D2129" s="11" t="s">
        <v>180</v>
      </c>
      <c r="E2129" s="9" t="str">
        <f>+HYPERLINK("http://trademark.i-assist.jp/data/china/image_1908th/80086674.pdf", "80086674")</f>
        <v>80086674</v>
      </c>
      <c r="F2129" s="11" t="s">
        <v>5996</v>
      </c>
      <c r="G2129" s="11" t="s">
        <v>5997</v>
      </c>
      <c r="H2129" s="11" t="s">
        <v>5998</v>
      </c>
      <c r="I2129" s="11" t="s">
        <v>5796</v>
      </c>
    </row>
    <row r="2130" spans="1:9" x14ac:dyDescent="0.15">
      <c r="A2130" s="10">
        <v>2129</v>
      </c>
      <c r="B2130" s="11" t="s">
        <v>9</v>
      </c>
      <c r="C2130" s="11" t="s">
        <v>179</v>
      </c>
      <c r="D2130" s="11" t="s">
        <v>180</v>
      </c>
      <c r="E2130" s="9" t="str">
        <f>+HYPERLINK("http://trademark.i-assist.jp/data/china/image_1908th/80086768.pdf", "80086768")</f>
        <v>80086768</v>
      </c>
      <c r="F2130" s="11" t="s">
        <v>5999</v>
      </c>
      <c r="G2130" s="11" t="s">
        <v>6000</v>
      </c>
      <c r="H2130" s="11" t="s">
        <v>6001</v>
      </c>
      <c r="I2130" s="11" t="s">
        <v>5796</v>
      </c>
    </row>
    <row r="2131" spans="1:9" x14ac:dyDescent="0.15">
      <c r="A2131" s="10">
        <v>2130</v>
      </c>
      <c r="B2131" s="11" t="s">
        <v>9</v>
      </c>
      <c r="C2131" s="11" t="s">
        <v>179</v>
      </c>
      <c r="D2131" s="11" t="s">
        <v>180</v>
      </c>
      <c r="E2131" s="9" t="str">
        <f>+HYPERLINK("http://trademark.i-assist.jp/data/china/image_1908th/80087158.pdf", "80087158")</f>
        <v>80087158</v>
      </c>
      <c r="F2131" s="11" t="s">
        <v>6002</v>
      </c>
      <c r="G2131" s="11" t="s">
        <v>6003</v>
      </c>
      <c r="H2131" s="11" t="s">
        <v>6004</v>
      </c>
      <c r="I2131" s="11" t="s">
        <v>5796</v>
      </c>
    </row>
    <row r="2132" spans="1:9" x14ac:dyDescent="0.15">
      <c r="A2132" s="10">
        <v>2131</v>
      </c>
      <c r="B2132" s="11" t="s">
        <v>9</v>
      </c>
      <c r="C2132" s="11" t="s">
        <v>179</v>
      </c>
      <c r="D2132" s="11" t="s">
        <v>180</v>
      </c>
      <c r="E2132" s="9" t="str">
        <f>+HYPERLINK("http://trademark.i-assist.jp/data/china/image_1908th/80087286.pdf", "80087286")</f>
        <v>80087286</v>
      </c>
      <c r="F2132" s="11" t="s">
        <v>6005</v>
      </c>
      <c r="G2132" s="11" t="s">
        <v>5890</v>
      </c>
      <c r="H2132" s="11" t="s">
        <v>6006</v>
      </c>
      <c r="I2132" s="11" t="s">
        <v>5796</v>
      </c>
    </row>
    <row r="2133" spans="1:9" x14ac:dyDescent="0.15">
      <c r="A2133" s="10">
        <v>2132</v>
      </c>
      <c r="B2133" s="11" t="s">
        <v>9</v>
      </c>
      <c r="C2133" s="11" t="s">
        <v>179</v>
      </c>
      <c r="D2133" s="11" t="s">
        <v>180</v>
      </c>
      <c r="E2133" s="9" t="str">
        <f>+HYPERLINK("http://trademark.i-assist.jp/data/china/image_1908th/80087476.pdf", "80087476")</f>
        <v>80087476</v>
      </c>
      <c r="F2133" s="11" t="s">
        <v>6007</v>
      </c>
      <c r="G2133" s="11" t="s">
        <v>6008</v>
      </c>
      <c r="H2133" s="11" t="s">
        <v>6009</v>
      </c>
      <c r="I2133" s="11" t="s">
        <v>5796</v>
      </c>
    </row>
    <row r="2134" spans="1:9" x14ac:dyDescent="0.15">
      <c r="A2134" s="10">
        <v>2133</v>
      </c>
      <c r="B2134" s="11" t="s">
        <v>9</v>
      </c>
      <c r="C2134" s="11" t="s">
        <v>179</v>
      </c>
      <c r="D2134" s="11" t="s">
        <v>180</v>
      </c>
      <c r="E2134" s="9" t="str">
        <f>+HYPERLINK("http://trademark.i-assist.jp/data/china/image_1908th/80087694.pdf", "80087694")</f>
        <v>80087694</v>
      </c>
      <c r="F2134" s="11" t="s">
        <v>6010</v>
      </c>
      <c r="G2134" s="11" t="s">
        <v>5930</v>
      </c>
      <c r="H2134" s="11" t="s">
        <v>6011</v>
      </c>
      <c r="I2134" s="11" t="s">
        <v>5796</v>
      </c>
    </row>
    <row r="2135" spans="1:9" x14ac:dyDescent="0.15">
      <c r="A2135" s="10">
        <v>2134</v>
      </c>
      <c r="B2135" s="11" t="s">
        <v>9</v>
      </c>
      <c r="C2135" s="11" t="s">
        <v>179</v>
      </c>
      <c r="D2135" s="11" t="s">
        <v>180</v>
      </c>
      <c r="E2135" s="9" t="str">
        <f>+HYPERLINK("http://trademark.i-assist.jp/data/china/image_1908th/80087922.pdf", "80087922")</f>
        <v>80087922</v>
      </c>
      <c r="F2135" s="11" t="s">
        <v>6012</v>
      </c>
      <c r="G2135" s="11" t="s">
        <v>5862</v>
      </c>
      <c r="H2135" s="11" t="s">
        <v>6013</v>
      </c>
      <c r="I2135" s="11" t="s">
        <v>5796</v>
      </c>
    </row>
    <row r="2136" spans="1:9" x14ac:dyDescent="0.15">
      <c r="A2136" s="10">
        <v>2135</v>
      </c>
      <c r="B2136" s="11" t="s">
        <v>9</v>
      </c>
      <c r="C2136" s="11" t="s">
        <v>179</v>
      </c>
      <c r="D2136" s="11" t="s">
        <v>180</v>
      </c>
      <c r="E2136" s="9" t="str">
        <f>+HYPERLINK("http://trademark.i-assist.jp/data/china/image_1908th/80088675.pdf", "80088675")</f>
        <v>80088675</v>
      </c>
      <c r="F2136" s="11" t="s">
        <v>6014</v>
      </c>
      <c r="G2136" s="11" t="s">
        <v>6015</v>
      </c>
      <c r="H2136" s="11" t="s">
        <v>6016</v>
      </c>
      <c r="I2136" s="11" t="s">
        <v>5796</v>
      </c>
    </row>
    <row r="2137" spans="1:9" x14ac:dyDescent="0.15">
      <c r="A2137" s="10">
        <v>2136</v>
      </c>
      <c r="B2137" s="11" t="s">
        <v>9</v>
      </c>
      <c r="C2137" s="11" t="s">
        <v>179</v>
      </c>
      <c r="D2137" s="11" t="s">
        <v>180</v>
      </c>
      <c r="E2137" s="9" t="str">
        <f>+HYPERLINK("http://trademark.i-assist.jp/data/china/image_1908th/80088779.pdf", "80088779")</f>
        <v>80088779</v>
      </c>
      <c r="F2137" s="11" t="s">
        <v>6017</v>
      </c>
      <c r="G2137" s="11" t="s">
        <v>5933</v>
      </c>
      <c r="H2137" s="11" t="s">
        <v>6018</v>
      </c>
      <c r="I2137" s="11" t="s">
        <v>5796</v>
      </c>
    </row>
    <row r="2138" spans="1:9" x14ac:dyDescent="0.15">
      <c r="A2138" s="10">
        <v>2137</v>
      </c>
      <c r="B2138" s="11" t="s">
        <v>9</v>
      </c>
      <c r="C2138" s="11" t="s">
        <v>179</v>
      </c>
      <c r="D2138" s="11" t="s">
        <v>180</v>
      </c>
      <c r="E2138" s="9" t="str">
        <f>+HYPERLINK("http://trademark.i-assist.jp/data/china/image_1908th/80088978.pdf", "80088978")</f>
        <v>80088978</v>
      </c>
      <c r="F2138" s="11" t="s">
        <v>6019</v>
      </c>
      <c r="G2138" s="11" t="s">
        <v>6020</v>
      </c>
      <c r="H2138" s="11" t="s">
        <v>6021</v>
      </c>
      <c r="I2138" s="11" t="s">
        <v>5796</v>
      </c>
    </row>
    <row r="2139" spans="1:9" x14ac:dyDescent="0.15">
      <c r="A2139" s="10">
        <v>2138</v>
      </c>
      <c r="B2139" s="11" t="s">
        <v>9</v>
      </c>
      <c r="C2139" s="11" t="s">
        <v>179</v>
      </c>
      <c r="D2139" s="11" t="s">
        <v>180</v>
      </c>
      <c r="E2139" s="9" t="str">
        <f>+HYPERLINK("http://trademark.i-assist.jp/data/china/image_1908th/80089677.pdf", "80089677")</f>
        <v>80089677</v>
      </c>
      <c r="F2139" s="11" t="s">
        <v>6022</v>
      </c>
      <c r="G2139" s="11" t="s">
        <v>6023</v>
      </c>
      <c r="H2139" s="11" t="s">
        <v>6024</v>
      </c>
      <c r="I2139" s="11" t="s">
        <v>5796</v>
      </c>
    </row>
    <row r="2140" spans="1:9" x14ac:dyDescent="0.15">
      <c r="A2140" s="10">
        <v>2139</v>
      </c>
      <c r="B2140" s="11" t="s">
        <v>9</v>
      </c>
      <c r="C2140" s="11" t="s">
        <v>179</v>
      </c>
      <c r="D2140" s="11" t="s">
        <v>180</v>
      </c>
      <c r="E2140" s="9" t="str">
        <f>+HYPERLINK("http://trademark.i-assist.jp/data/china/image_1908th/80090322.pdf", "80090322")</f>
        <v>80090322</v>
      </c>
      <c r="F2140" s="11" t="s">
        <v>10</v>
      </c>
      <c r="G2140" s="11" t="s">
        <v>6025</v>
      </c>
      <c r="H2140" s="11" t="s">
        <v>6026</v>
      </c>
      <c r="I2140" s="11" t="s">
        <v>5796</v>
      </c>
    </row>
    <row r="2141" spans="1:9" x14ac:dyDescent="0.15">
      <c r="A2141" s="10">
        <v>2140</v>
      </c>
      <c r="B2141" s="11" t="s">
        <v>9</v>
      </c>
      <c r="C2141" s="11" t="s">
        <v>179</v>
      </c>
      <c r="D2141" s="11" t="s">
        <v>180</v>
      </c>
      <c r="E2141" s="9" t="str">
        <f>+HYPERLINK("http://trademark.i-assist.jp/data/china/image_1908th/80091109.pdf", "80091109")</f>
        <v>80091109</v>
      </c>
      <c r="F2141" s="11" t="s">
        <v>6027</v>
      </c>
      <c r="G2141" s="11" t="s">
        <v>5868</v>
      </c>
      <c r="H2141" s="11" t="s">
        <v>6028</v>
      </c>
      <c r="I2141" s="11" t="s">
        <v>5796</v>
      </c>
    </row>
    <row r="2142" spans="1:9" x14ac:dyDescent="0.15">
      <c r="A2142" s="10">
        <v>2141</v>
      </c>
      <c r="B2142" s="11" t="s">
        <v>9</v>
      </c>
      <c r="C2142" s="11" t="s">
        <v>179</v>
      </c>
      <c r="D2142" s="11" t="s">
        <v>180</v>
      </c>
      <c r="E2142" s="9" t="str">
        <f>+HYPERLINK("http://trademark.i-assist.jp/data/china/image_1908th/80091655.pdf", "80091655")</f>
        <v>80091655</v>
      </c>
      <c r="F2142" s="11" t="s">
        <v>6029</v>
      </c>
      <c r="G2142" s="11" t="s">
        <v>5842</v>
      </c>
      <c r="H2142" s="11" t="s">
        <v>6030</v>
      </c>
      <c r="I2142" s="11" t="s">
        <v>5796</v>
      </c>
    </row>
    <row r="2143" spans="1:9" x14ac:dyDescent="0.15">
      <c r="A2143" s="10">
        <v>2142</v>
      </c>
      <c r="B2143" s="11" t="s">
        <v>9</v>
      </c>
      <c r="C2143" s="11" t="s">
        <v>179</v>
      </c>
      <c r="D2143" s="11" t="s">
        <v>180</v>
      </c>
      <c r="E2143" s="9" t="str">
        <f>+HYPERLINK("http://trademark.i-assist.jp/data/china/image_1908th/80091687.pdf", "80091687")</f>
        <v>80091687</v>
      </c>
      <c r="F2143" s="11" t="s">
        <v>6031</v>
      </c>
      <c r="G2143" s="11" t="s">
        <v>6032</v>
      </c>
      <c r="H2143" s="11" t="s">
        <v>6033</v>
      </c>
      <c r="I2143" s="11" t="s">
        <v>5796</v>
      </c>
    </row>
    <row r="2144" spans="1:9" x14ac:dyDescent="0.15">
      <c r="A2144" s="10">
        <v>2143</v>
      </c>
      <c r="B2144" s="11" t="s">
        <v>9</v>
      </c>
      <c r="C2144" s="11" t="s">
        <v>179</v>
      </c>
      <c r="D2144" s="11" t="s">
        <v>180</v>
      </c>
      <c r="E2144" s="9" t="str">
        <f>+HYPERLINK("http://trademark.i-assist.jp/data/china/image_1908th/80091776.pdf", "80091776")</f>
        <v>80091776</v>
      </c>
      <c r="F2144" s="11" t="s">
        <v>10</v>
      </c>
      <c r="G2144" s="11" t="s">
        <v>5899</v>
      </c>
      <c r="H2144" s="11" t="s">
        <v>6034</v>
      </c>
      <c r="I2144" s="11" t="s">
        <v>5796</v>
      </c>
    </row>
    <row r="2145" spans="1:9" x14ac:dyDescent="0.15">
      <c r="A2145" s="10">
        <v>2144</v>
      </c>
      <c r="B2145" s="11" t="s">
        <v>9</v>
      </c>
      <c r="C2145" s="11" t="s">
        <v>179</v>
      </c>
      <c r="D2145" s="11" t="s">
        <v>180</v>
      </c>
      <c r="E2145" s="9" t="str">
        <f>+HYPERLINK("http://trademark.i-assist.jp/data/china/image_1908th/80091876.pdf", "80091876")</f>
        <v>80091876</v>
      </c>
      <c r="F2145" s="11" t="s">
        <v>6035</v>
      </c>
      <c r="G2145" s="11" t="s">
        <v>6036</v>
      </c>
      <c r="H2145" s="11" t="s">
        <v>6037</v>
      </c>
      <c r="I2145" s="11" t="s">
        <v>5796</v>
      </c>
    </row>
    <row r="2146" spans="1:9" x14ac:dyDescent="0.15">
      <c r="A2146" s="10">
        <v>2145</v>
      </c>
      <c r="B2146" s="11" t="s">
        <v>9</v>
      </c>
      <c r="C2146" s="11" t="s">
        <v>179</v>
      </c>
      <c r="D2146" s="11" t="s">
        <v>180</v>
      </c>
      <c r="E2146" s="9" t="str">
        <f>+HYPERLINK("http://trademark.i-assist.jp/data/china/image_1908th/80091926.pdf", "80091926")</f>
        <v>80091926</v>
      </c>
      <c r="F2146" s="11" t="s">
        <v>6038</v>
      </c>
      <c r="G2146" s="11" t="s">
        <v>5991</v>
      </c>
      <c r="H2146" s="11" t="s">
        <v>6039</v>
      </c>
      <c r="I2146" s="11" t="s">
        <v>5796</v>
      </c>
    </row>
    <row r="2147" spans="1:9" x14ac:dyDescent="0.15">
      <c r="A2147" s="10">
        <v>2146</v>
      </c>
      <c r="B2147" s="11" t="s">
        <v>9</v>
      </c>
      <c r="C2147" s="11" t="s">
        <v>179</v>
      </c>
      <c r="D2147" s="11" t="s">
        <v>180</v>
      </c>
      <c r="E2147" s="9" t="str">
        <f>+HYPERLINK("http://trademark.i-assist.jp/data/china/image_1908th/80092347.pdf", "80092347")</f>
        <v>80092347</v>
      </c>
      <c r="F2147" s="11" t="s">
        <v>10</v>
      </c>
      <c r="G2147" s="11" t="s">
        <v>6040</v>
      </c>
      <c r="H2147" s="11" t="s">
        <v>6041</v>
      </c>
      <c r="I2147" s="11" t="s">
        <v>5796</v>
      </c>
    </row>
    <row r="2148" spans="1:9" x14ac:dyDescent="0.15">
      <c r="A2148" s="10">
        <v>2147</v>
      </c>
      <c r="B2148" s="11" t="s">
        <v>9</v>
      </c>
      <c r="C2148" s="11" t="s">
        <v>179</v>
      </c>
      <c r="D2148" s="11" t="s">
        <v>180</v>
      </c>
      <c r="E2148" s="9" t="str">
        <f>+HYPERLINK("http://trademark.i-assist.jp/data/china/image_1908th/80092485.pdf", "80092485")</f>
        <v>80092485</v>
      </c>
      <c r="F2148" s="11" t="s">
        <v>6042</v>
      </c>
      <c r="G2148" s="11" t="s">
        <v>6008</v>
      </c>
      <c r="H2148" s="11" t="s">
        <v>6043</v>
      </c>
      <c r="I2148" s="11" t="s">
        <v>5796</v>
      </c>
    </row>
    <row r="2149" spans="1:9" x14ac:dyDescent="0.15">
      <c r="A2149" s="10">
        <v>2148</v>
      </c>
      <c r="B2149" s="11" t="s">
        <v>9</v>
      </c>
      <c r="C2149" s="11" t="s">
        <v>179</v>
      </c>
      <c r="D2149" s="11" t="s">
        <v>180</v>
      </c>
      <c r="E2149" s="9" t="str">
        <f>+HYPERLINK("http://trademark.i-assist.jp/data/china/image_1908th/80092848.pdf", "80092848")</f>
        <v>80092848</v>
      </c>
      <c r="F2149" s="11" t="s">
        <v>6044</v>
      </c>
      <c r="G2149" s="11" t="s">
        <v>6045</v>
      </c>
      <c r="H2149" s="11" t="s">
        <v>6046</v>
      </c>
      <c r="I2149" s="11" t="s">
        <v>5796</v>
      </c>
    </row>
    <row r="2150" spans="1:9" x14ac:dyDescent="0.15">
      <c r="A2150" s="10">
        <v>2149</v>
      </c>
      <c r="B2150" s="11" t="s">
        <v>9</v>
      </c>
      <c r="C2150" s="11" t="s">
        <v>179</v>
      </c>
      <c r="D2150" s="11" t="s">
        <v>180</v>
      </c>
      <c r="E2150" s="9" t="str">
        <f>+HYPERLINK("http://trademark.i-assist.jp/data/china/image_1908th/80092934.pdf", "80092934")</f>
        <v>80092934</v>
      </c>
      <c r="F2150" s="11" t="s">
        <v>6047</v>
      </c>
      <c r="G2150" s="11" t="s">
        <v>6048</v>
      </c>
      <c r="H2150" s="11" t="s">
        <v>6049</v>
      </c>
      <c r="I2150" s="11" t="s">
        <v>5796</v>
      </c>
    </row>
    <row r="2151" spans="1:9" x14ac:dyDescent="0.15">
      <c r="A2151" s="10">
        <v>2150</v>
      </c>
      <c r="B2151" s="11" t="s">
        <v>9</v>
      </c>
      <c r="C2151" s="11" t="s">
        <v>179</v>
      </c>
      <c r="D2151" s="11" t="s">
        <v>180</v>
      </c>
      <c r="E2151" s="9" t="str">
        <f>+HYPERLINK("http://trademark.i-assist.jp/data/china/image_1908th/80093159.pdf", "80093159")</f>
        <v>80093159</v>
      </c>
      <c r="F2151" s="11" t="s">
        <v>6050</v>
      </c>
      <c r="G2151" s="11" t="s">
        <v>5890</v>
      </c>
      <c r="H2151" s="11" t="s">
        <v>6051</v>
      </c>
      <c r="I2151" s="11" t="s">
        <v>5796</v>
      </c>
    </row>
    <row r="2152" spans="1:9" x14ac:dyDescent="0.15">
      <c r="A2152" s="10">
        <v>2151</v>
      </c>
      <c r="B2152" s="11" t="s">
        <v>9</v>
      </c>
      <c r="C2152" s="11" t="s">
        <v>179</v>
      </c>
      <c r="D2152" s="11" t="s">
        <v>180</v>
      </c>
      <c r="E2152" s="9" t="str">
        <f>+HYPERLINK("http://trademark.i-assist.jp/data/china/image_1908th/80093197.pdf", "80093197")</f>
        <v>80093197</v>
      </c>
      <c r="F2152" s="11" t="s">
        <v>6052</v>
      </c>
      <c r="G2152" s="11" t="s">
        <v>5019</v>
      </c>
      <c r="H2152" s="11" t="s">
        <v>6053</v>
      </c>
      <c r="I2152" s="11" t="s">
        <v>5796</v>
      </c>
    </row>
    <row r="2153" spans="1:9" x14ac:dyDescent="0.15">
      <c r="A2153" s="10">
        <v>2152</v>
      </c>
      <c r="B2153" s="11" t="s">
        <v>9</v>
      </c>
      <c r="C2153" s="11" t="s">
        <v>179</v>
      </c>
      <c r="D2153" s="11" t="s">
        <v>180</v>
      </c>
      <c r="E2153" s="9" t="str">
        <f>+HYPERLINK("http://trademark.i-assist.jp/data/china/image_1908th/80093400.pdf", "80093400")</f>
        <v>80093400</v>
      </c>
      <c r="F2153" s="11" t="s">
        <v>6054</v>
      </c>
      <c r="G2153" s="11" t="s">
        <v>6055</v>
      </c>
      <c r="H2153" s="11" t="s">
        <v>6056</v>
      </c>
      <c r="I2153" s="11" t="s">
        <v>5796</v>
      </c>
    </row>
    <row r="2154" spans="1:9" x14ac:dyDescent="0.15">
      <c r="A2154" s="10">
        <v>2153</v>
      </c>
      <c r="B2154" s="11" t="s">
        <v>9</v>
      </c>
      <c r="C2154" s="11" t="s">
        <v>179</v>
      </c>
      <c r="D2154" s="11" t="s">
        <v>180</v>
      </c>
      <c r="E2154" s="9" t="str">
        <f>+HYPERLINK("http://trademark.i-assist.jp/data/china/image_1908th/80093435.pdf", "80093435")</f>
        <v>80093435</v>
      </c>
      <c r="F2154" s="11" t="s">
        <v>6057</v>
      </c>
      <c r="G2154" s="11" t="s">
        <v>5979</v>
      </c>
      <c r="H2154" s="11" t="s">
        <v>6058</v>
      </c>
      <c r="I2154" s="11" t="s">
        <v>5796</v>
      </c>
    </row>
    <row r="2155" spans="1:9" x14ac:dyDescent="0.15">
      <c r="A2155" s="10">
        <v>2154</v>
      </c>
      <c r="B2155" s="11" t="s">
        <v>9</v>
      </c>
      <c r="C2155" s="11" t="s">
        <v>179</v>
      </c>
      <c r="D2155" s="11" t="s">
        <v>180</v>
      </c>
      <c r="E2155" s="9" t="str">
        <f>+HYPERLINK("http://trademark.i-assist.jp/data/china/image_1908th/80093707.pdf", "80093707")</f>
        <v>80093707</v>
      </c>
      <c r="F2155" s="11" t="s">
        <v>6059</v>
      </c>
      <c r="G2155" s="11" t="s">
        <v>5952</v>
      </c>
      <c r="H2155" s="11" t="s">
        <v>6060</v>
      </c>
      <c r="I2155" s="11" t="s">
        <v>5796</v>
      </c>
    </row>
    <row r="2156" spans="1:9" x14ac:dyDescent="0.15">
      <c r="A2156" s="10">
        <v>2155</v>
      </c>
      <c r="B2156" s="11" t="s">
        <v>9</v>
      </c>
      <c r="C2156" s="11" t="s">
        <v>179</v>
      </c>
      <c r="D2156" s="11" t="s">
        <v>180</v>
      </c>
      <c r="E2156" s="9" t="str">
        <f>+HYPERLINK("http://trademark.i-assist.jp/data/china/image_1908th/80094004.pdf", "80094004")</f>
        <v>80094004</v>
      </c>
      <c r="F2156" s="11" t="s">
        <v>6061</v>
      </c>
      <c r="G2156" s="11" t="s">
        <v>51</v>
      </c>
      <c r="H2156" s="11" t="s">
        <v>6062</v>
      </c>
      <c r="I2156" s="11" t="s">
        <v>5796</v>
      </c>
    </row>
    <row r="2157" spans="1:9" x14ac:dyDescent="0.15">
      <c r="A2157" s="10">
        <v>2156</v>
      </c>
      <c r="B2157" s="11" t="s">
        <v>9</v>
      </c>
      <c r="C2157" s="11" t="s">
        <v>179</v>
      </c>
      <c r="D2157" s="11" t="s">
        <v>180</v>
      </c>
      <c r="E2157" s="9" t="str">
        <f>+HYPERLINK("http://trademark.i-assist.jp/data/china/image_1908th/80094811.pdf", "80094811")</f>
        <v>80094811</v>
      </c>
      <c r="F2157" s="11" t="s">
        <v>10</v>
      </c>
      <c r="G2157" s="11" t="s">
        <v>6063</v>
      </c>
      <c r="H2157" s="11" t="s">
        <v>6064</v>
      </c>
      <c r="I2157" s="11" t="s">
        <v>5796</v>
      </c>
    </row>
    <row r="2158" spans="1:9" x14ac:dyDescent="0.15">
      <c r="A2158" s="10">
        <v>2157</v>
      </c>
      <c r="B2158" s="11" t="s">
        <v>9</v>
      </c>
      <c r="C2158" s="11" t="s">
        <v>179</v>
      </c>
      <c r="D2158" s="11" t="s">
        <v>180</v>
      </c>
      <c r="E2158" s="9" t="str">
        <f>+HYPERLINK("http://trademark.i-assist.jp/data/china/image_1908th/80095052.pdf", "80095052")</f>
        <v>80095052</v>
      </c>
      <c r="F2158" s="11" t="s">
        <v>6065</v>
      </c>
      <c r="G2158" s="11" t="s">
        <v>6066</v>
      </c>
      <c r="H2158" s="11" t="s">
        <v>6067</v>
      </c>
      <c r="I2158" s="11" t="s">
        <v>5796</v>
      </c>
    </row>
    <row r="2159" spans="1:9" x14ac:dyDescent="0.15">
      <c r="A2159" s="10">
        <v>2158</v>
      </c>
      <c r="B2159" s="11" t="s">
        <v>9</v>
      </c>
      <c r="C2159" s="11" t="s">
        <v>179</v>
      </c>
      <c r="D2159" s="11" t="s">
        <v>180</v>
      </c>
      <c r="E2159" s="9" t="str">
        <f>+HYPERLINK("http://trademark.i-assist.jp/data/china/image_1908th/80095142.pdf", "80095142")</f>
        <v>80095142</v>
      </c>
      <c r="F2159" s="11" t="s">
        <v>6068</v>
      </c>
      <c r="G2159" s="11" t="s">
        <v>6069</v>
      </c>
      <c r="H2159" s="11" t="s">
        <v>6070</v>
      </c>
      <c r="I2159" s="11" t="s">
        <v>5796</v>
      </c>
    </row>
    <row r="2160" spans="1:9" x14ac:dyDescent="0.15">
      <c r="A2160" s="10">
        <v>2159</v>
      </c>
      <c r="B2160" s="11" t="s">
        <v>9</v>
      </c>
      <c r="C2160" s="11" t="s">
        <v>179</v>
      </c>
      <c r="D2160" s="11" t="s">
        <v>180</v>
      </c>
      <c r="E2160" s="9" t="str">
        <f>+HYPERLINK("http://trademark.i-assist.jp/data/china/image_1908th/80095185.pdf", "80095185")</f>
        <v>80095185</v>
      </c>
      <c r="F2160" s="11" t="s">
        <v>6071</v>
      </c>
      <c r="G2160" s="11" t="s">
        <v>6072</v>
      </c>
      <c r="H2160" s="11" t="s">
        <v>6073</v>
      </c>
      <c r="I2160" s="11" t="s">
        <v>5796</v>
      </c>
    </row>
    <row r="2161" spans="1:9" x14ac:dyDescent="0.15">
      <c r="A2161" s="10">
        <v>2160</v>
      </c>
      <c r="B2161" s="11" t="s">
        <v>9</v>
      </c>
      <c r="C2161" s="11" t="s">
        <v>179</v>
      </c>
      <c r="D2161" s="11" t="s">
        <v>180</v>
      </c>
      <c r="E2161" s="9" t="str">
        <f>+HYPERLINK("http://trademark.i-assist.jp/data/china/image_1908th/80095341.pdf", "80095341")</f>
        <v>80095341</v>
      </c>
      <c r="F2161" s="11" t="s">
        <v>6074</v>
      </c>
      <c r="G2161" s="11" t="s">
        <v>6075</v>
      </c>
      <c r="H2161" s="11" t="s">
        <v>6076</v>
      </c>
      <c r="I2161" s="11" t="s">
        <v>6077</v>
      </c>
    </row>
    <row r="2162" spans="1:9" x14ac:dyDescent="0.15">
      <c r="A2162" s="10">
        <v>2161</v>
      </c>
      <c r="B2162" s="11" t="s">
        <v>9</v>
      </c>
      <c r="C2162" s="11" t="s">
        <v>179</v>
      </c>
      <c r="D2162" s="11" t="s">
        <v>180</v>
      </c>
      <c r="E2162" s="9" t="str">
        <f>+HYPERLINK("http://trademark.i-assist.jp/data/china/image_1908th/80095388.pdf", "80095388")</f>
        <v>80095388</v>
      </c>
      <c r="F2162" s="11" t="s">
        <v>6078</v>
      </c>
      <c r="G2162" s="11" t="s">
        <v>6079</v>
      </c>
      <c r="H2162" s="11" t="s">
        <v>6080</v>
      </c>
      <c r="I2162" s="11" t="s">
        <v>6077</v>
      </c>
    </row>
    <row r="2163" spans="1:9" x14ac:dyDescent="0.15">
      <c r="A2163" s="10">
        <v>2162</v>
      </c>
      <c r="B2163" s="11" t="s">
        <v>9</v>
      </c>
      <c r="C2163" s="11" t="s">
        <v>179</v>
      </c>
      <c r="D2163" s="11" t="s">
        <v>180</v>
      </c>
      <c r="E2163" s="9" t="str">
        <f>+HYPERLINK("http://trademark.i-assist.jp/data/china/image_1908th/80095395.pdf", "80095395")</f>
        <v>80095395</v>
      </c>
      <c r="F2163" s="11" t="s">
        <v>6081</v>
      </c>
      <c r="G2163" s="11" t="s">
        <v>6082</v>
      </c>
      <c r="H2163" s="11" t="s">
        <v>6083</v>
      </c>
      <c r="I2163" s="11" t="s">
        <v>6077</v>
      </c>
    </row>
    <row r="2164" spans="1:9" x14ac:dyDescent="0.15">
      <c r="A2164" s="10">
        <v>2163</v>
      </c>
      <c r="B2164" s="11" t="s">
        <v>9</v>
      </c>
      <c r="C2164" s="11" t="s">
        <v>179</v>
      </c>
      <c r="D2164" s="11" t="s">
        <v>180</v>
      </c>
      <c r="E2164" s="9" t="str">
        <f>+HYPERLINK("http://trademark.i-assist.jp/data/china/image_1908th/80095601.pdf", "80095601")</f>
        <v>80095601</v>
      </c>
      <c r="F2164" s="11" t="s">
        <v>6084</v>
      </c>
      <c r="G2164" s="11" t="s">
        <v>6085</v>
      </c>
      <c r="H2164" s="11" t="s">
        <v>6086</v>
      </c>
      <c r="I2164" s="11" t="s">
        <v>6077</v>
      </c>
    </row>
    <row r="2165" spans="1:9" x14ac:dyDescent="0.15">
      <c r="A2165" s="10">
        <v>2164</v>
      </c>
      <c r="B2165" s="11" t="s">
        <v>9</v>
      </c>
      <c r="C2165" s="11" t="s">
        <v>179</v>
      </c>
      <c r="D2165" s="11" t="s">
        <v>180</v>
      </c>
      <c r="E2165" s="9" t="str">
        <f>+HYPERLINK("http://trademark.i-assist.jp/data/china/image_1908th/80095615.pdf", "80095615")</f>
        <v>80095615</v>
      </c>
      <c r="F2165" s="11" t="s">
        <v>10</v>
      </c>
      <c r="G2165" s="11" t="s">
        <v>6087</v>
      </c>
      <c r="H2165" s="11" t="s">
        <v>6088</v>
      </c>
      <c r="I2165" s="11" t="s">
        <v>6077</v>
      </c>
    </row>
    <row r="2166" spans="1:9" x14ac:dyDescent="0.15">
      <c r="A2166" s="10">
        <v>2165</v>
      </c>
      <c r="B2166" s="11" t="s">
        <v>9</v>
      </c>
      <c r="C2166" s="11" t="s">
        <v>179</v>
      </c>
      <c r="D2166" s="11" t="s">
        <v>180</v>
      </c>
      <c r="E2166" s="9" t="str">
        <f>+HYPERLINK("http://trademark.i-assist.jp/data/china/image_1908th/80095871.pdf", "80095871")</f>
        <v>80095871</v>
      </c>
      <c r="F2166" s="11" t="s">
        <v>6089</v>
      </c>
      <c r="G2166" s="11" t="s">
        <v>6090</v>
      </c>
      <c r="H2166" s="11" t="s">
        <v>6091</v>
      </c>
      <c r="I2166" s="11" t="s">
        <v>6077</v>
      </c>
    </row>
    <row r="2167" spans="1:9" x14ac:dyDescent="0.15">
      <c r="A2167" s="10">
        <v>2166</v>
      </c>
      <c r="B2167" s="11" t="s">
        <v>9</v>
      </c>
      <c r="C2167" s="11" t="s">
        <v>179</v>
      </c>
      <c r="D2167" s="11" t="s">
        <v>180</v>
      </c>
      <c r="E2167" s="9" t="str">
        <f>+HYPERLINK("http://trademark.i-assist.jp/data/china/image_1908th/80095958.pdf", "80095958")</f>
        <v>80095958</v>
      </c>
      <c r="F2167" s="11" t="s">
        <v>6092</v>
      </c>
      <c r="G2167" s="11" t="s">
        <v>6093</v>
      </c>
      <c r="H2167" s="11" t="s">
        <v>6094</v>
      </c>
      <c r="I2167" s="11" t="s">
        <v>6077</v>
      </c>
    </row>
    <row r="2168" spans="1:9" x14ac:dyDescent="0.15">
      <c r="A2168" s="10">
        <v>2167</v>
      </c>
      <c r="B2168" s="11" t="s">
        <v>9</v>
      </c>
      <c r="C2168" s="11" t="s">
        <v>179</v>
      </c>
      <c r="D2168" s="11" t="s">
        <v>180</v>
      </c>
      <c r="E2168" s="9" t="str">
        <f>+HYPERLINK("http://trademark.i-assist.jp/data/china/image_1908th/80096181.pdf", "80096181")</f>
        <v>80096181</v>
      </c>
      <c r="F2168" s="11" t="s">
        <v>6095</v>
      </c>
      <c r="G2168" s="11" t="s">
        <v>6096</v>
      </c>
      <c r="H2168" s="11" t="s">
        <v>6097</v>
      </c>
      <c r="I2168" s="11" t="s">
        <v>6077</v>
      </c>
    </row>
    <row r="2169" spans="1:9" x14ac:dyDescent="0.15">
      <c r="A2169" s="10">
        <v>2168</v>
      </c>
      <c r="B2169" s="11" t="s">
        <v>9</v>
      </c>
      <c r="C2169" s="11" t="s">
        <v>179</v>
      </c>
      <c r="D2169" s="11" t="s">
        <v>180</v>
      </c>
      <c r="E2169" s="9" t="str">
        <f>+HYPERLINK("http://trademark.i-assist.jp/data/china/image_1908th/80096553.pdf", "80096553")</f>
        <v>80096553</v>
      </c>
      <c r="F2169" s="11" t="s">
        <v>6098</v>
      </c>
      <c r="G2169" s="11" t="s">
        <v>6099</v>
      </c>
      <c r="H2169" s="11" t="s">
        <v>6100</v>
      </c>
      <c r="I2169" s="11" t="s">
        <v>6077</v>
      </c>
    </row>
    <row r="2170" spans="1:9" x14ac:dyDescent="0.15">
      <c r="A2170" s="10">
        <v>2169</v>
      </c>
      <c r="B2170" s="11" t="s">
        <v>9</v>
      </c>
      <c r="C2170" s="11" t="s">
        <v>179</v>
      </c>
      <c r="D2170" s="11" t="s">
        <v>180</v>
      </c>
      <c r="E2170" s="9" t="str">
        <f>+HYPERLINK("http://trademark.i-assist.jp/data/china/image_1908th/80096716.pdf", "80096716")</f>
        <v>80096716</v>
      </c>
      <c r="F2170" s="11" t="s">
        <v>6101</v>
      </c>
      <c r="G2170" s="11" t="s">
        <v>6102</v>
      </c>
      <c r="H2170" s="11" t="s">
        <v>6103</v>
      </c>
      <c r="I2170" s="11" t="s">
        <v>6077</v>
      </c>
    </row>
    <row r="2171" spans="1:9" x14ac:dyDescent="0.15">
      <c r="A2171" s="10">
        <v>2170</v>
      </c>
      <c r="B2171" s="11" t="s">
        <v>9</v>
      </c>
      <c r="C2171" s="11" t="s">
        <v>179</v>
      </c>
      <c r="D2171" s="11" t="s">
        <v>180</v>
      </c>
      <c r="E2171" s="9" t="str">
        <f>+HYPERLINK("http://trademark.i-assist.jp/data/china/image_1908th/80096764.pdf", "80096764")</f>
        <v>80096764</v>
      </c>
      <c r="F2171" s="11" t="s">
        <v>6104</v>
      </c>
      <c r="G2171" s="11" t="s">
        <v>6105</v>
      </c>
      <c r="H2171" s="11" t="s">
        <v>6106</v>
      </c>
      <c r="I2171" s="11" t="s">
        <v>6077</v>
      </c>
    </row>
    <row r="2172" spans="1:9" x14ac:dyDescent="0.15">
      <c r="A2172" s="10">
        <v>2171</v>
      </c>
      <c r="B2172" s="11" t="s">
        <v>9</v>
      </c>
      <c r="C2172" s="11" t="s">
        <v>179</v>
      </c>
      <c r="D2172" s="11" t="s">
        <v>180</v>
      </c>
      <c r="E2172" s="9" t="str">
        <f>+HYPERLINK("http://trademark.i-assist.jp/data/china/image_1908th/80096890.pdf", "80096890")</f>
        <v>80096890</v>
      </c>
      <c r="F2172" s="11" t="s">
        <v>6107</v>
      </c>
      <c r="G2172" s="11" t="s">
        <v>6108</v>
      </c>
      <c r="H2172" s="11" t="s">
        <v>6109</v>
      </c>
      <c r="I2172" s="11" t="s">
        <v>6077</v>
      </c>
    </row>
    <row r="2173" spans="1:9" x14ac:dyDescent="0.15">
      <c r="A2173" s="10">
        <v>2172</v>
      </c>
      <c r="B2173" s="11" t="s">
        <v>9</v>
      </c>
      <c r="C2173" s="11" t="s">
        <v>179</v>
      </c>
      <c r="D2173" s="11" t="s">
        <v>180</v>
      </c>
      <c r="E2173" s="9" t="str">
        <f>+HYPERLINK("http://trademark.i-assist.jp/data/china/image_1908th/80097120.pdf", "80097120")</f>
        <v>80097120</v>
      </c>
      <c r="F2173" s="11" t="s">
        <v>6110</v>
      </c>
      <c r="G2173" s="11" t="s">
        <v>6111</v>
      </c>
      <c r="H2173" s="11" t="s">
        <v>6112</v>
      </c>
      <c r="I2173" s="11" t="s">
        <v>6077</v>
      </c>
    </row>
    <row r="2174" spans="1:9" x14ac:dyDescent="0.15">
      <c r="A2174" s="10">
        <v>2173</v>
      </c>
      <c r="B2174" s="11" t="s">
        <v>9</v>
      </c>
      <c r="C2174" s="11" t="s">
        <v>179</v>
      </c>
      <c r="D2174" s="11" t="s">
        <v>180</v>
      </c>
      <c r="E2174" s="9" t="str">
        <f>+HYPERLINK("http://trademark.i-assist.jp/data/china/image_1908th/80097384.pdf", "80097384")</f>
        <v>80097384</v>
      </c>
      <c r="F2174" s="11" t="s">
        <v>6113</v>
      </c>
      <c r="G2174" s="11" t="s">
        <v>6085</v>
      </c>
      <c r="H2174" s="11" t="s">
        <v>6114</v>
      </c>
      <c r="I2174" s="11" t="s">
        <v>6077</v>
      </c>
    </row>
    <row r="2175" spans="1:9" x14ac:dyDescent="0.15">
      <c r="A2175" s="10">
        <v>2174</v>
      </c>
      <c r="B2175" s="11" t="s">
        <v>9</v>
      </c>
      <c r="C2175" s="11" t="s">
        <v>179</v>
      </c>
      <c r="D2175" s="11" t="s">
        <v>180</v>
      </c>
      <c r="E2175" s="9" t="str">
        <f>+HYPERLINK("http://trademark.i-assist.jp/data/china/image_1908th/80097444.pdf", "80097444")</f>
        <v>80097444</v>
      </c>
      <c r="F2175" s="11" t="s">
        <v>6115</v>
      </c>
      <c r="G2175" s="11" t="s">
        <v>6116</v>
      </c>
      <c r="H2175" s="11" t="s">
        <v>6117</v>
      </c>
      <c r="I2175" s="11" t="s">
        <v>6077</v>
      </c>
    </row>
    <row r="2176" spans="1:9" x14ac:dyDescent="0.15">
      <c r="A2176" s="10">
        <v>2175</v>
      </c>
      <c r="B2176" s="11" t="s">
        <v>9</v>
      </c>
      <c r="C2176" s="11" t="s">
        <v>179</v>
      </c>
      <c r="D2176" s="11" t="s">
        <v>180</v>
      </c>
      <c r="E2176" s="9" t="str">
        <f>+HYPERLINK("http://trademark.i-assist.jp/data/china/image_1908th/80097508.pdf", "80097508")</f>
        <v>80097508</v>
      </c>
      <c r="F2176" s="11" t="s">
        <v>6118</v>
      </c>
      <c r="G2176" s="11" t="s">
        <v>6119</v>
      </c>
      <c r="H2176" s="11" t="s">
        <v>6120</v>
      </c>
      <c r="I2176" s="11" t="s">
        <v>6077</v>
      </c>
    </row>
    <row r="2177" spans="1:9" x14ac:dyDescent="0.15">
      <c r="A2177" s="10">
        <v>2176</v>
      </c>
      <c r="B2177" s="11" t="s">
        <v>9</v>
      </c>
      <c r="C2177" s="11" t="s">
        <v>179</v>
      </c>
      <c r="D2177" s="11" t="s">
        <v>180</v>
      </c>
      <c r="E2177" s="9" t="str">
        <f>+HYPERLINK("http://trademark.i-assist.jp/data/china/image_1908th/80097792.pdf", "80097792")</f>
        <v>80097792</v>
      </c>
      <c r="F2177" s="11" t="s">
        <v>6121</v>
      </c>
      <c r="G2177" s="11" t="s">
        <v>6122</v>
      </c>
      <c r="H2177" s="11" t="s">
        <v>6123</v>
      </c>
      <c r="I2177" s="11" t="s">
        <v>6077</v>
      </c>
    </row>
    <row r="2178" spans="1:9" x14ac:dyDescent="0.15">
      <c r="A2178" s="10">
        <v>2177</v>
      </c>
      <c r="B2178" s="11" t="s">
        <v>9</v>
      </c>
      <c r="C2178" s="11" t="s">
        <v>179</v>
      </c>
      <c r="D2178" s="11" t="s">
        <v>180</v>
      </c>
      <c r="E2178" s="9" t="str">
        <f>+HYPERLINK("http://trademark.i-assist.jp/data/china/image_1908th/80097913.pdf", "80097913")</f>
        <v>80097913</v>
      </c>
      <c r="F2178" s="11" t="s">
        <v>6124</v>
      </c>
      <c r="G2178" s="11" t="s">
        <v>6125</v>
      </c>
      <c r="H2178" s="11" t="s">
        <v>6126</v>
      </c>
      <c r="I2178" s="11" t="s">
        <v>6077</v>
      </c>
    </row>
    <row r="2179" spans="1:9" x14ac:dyDescent="0.15">
      <c r="A2179" s="10">
        <v>2178</v>
      </c>
      <c r="B2179" s="11" t="s">
        <v>9</v>
      </c>
      <c r="C2179" s="11" t="s">
        <v>179</v>
      </c>
      <c r="D2179" s="11" t="s">
        <v>180</v>
      </c>
      <c r="E2179" s="9" t="str">
        <f>+HYPERLINK("http://trademark.i-assist.jp/data/china/image_1908th/80097946.pdf", "80097946")</f>
        <v>80097946</v>
      </c>
      <c r="F2179" s="11" t="s">
        <v>10</v>
      </c>
      <c r="G2179" s="11" t="s">
        <v>6127</v>
      </c>
      <c r="H2179" s="11" t="s">
        <v>6128</v>
      </c>
      <c r="I2179" s="11" t="s">
        <v>6077</v>
      </c>
    </row>
    <row r="2180" spans="1:9" x14ac:dyDescent="0.15">
      <c r="A2180" s="10">
        <v>2179</v>
      </c>
      <c r="B2180" s="11" t="s">
        <v>9</v>
      </c>
      <c r="C2180" s="11" t="s">
        <v>179</v>
      </c>
      <c r="D2180" s="11" t="s">
        <v>180</v>
      </c>
      <c r="E2180" s="9" t="str">
        <f>+HYPERLINK("http://trademark.i-assist.jp/data/china/image_1908th/80098646.pdf", "80098646")</f>
        <v>80098646</v>
      </c>
      <c r="F2180" s="11" t="s">
        <v>6129</v>
      </c>
      <c r="G2180" s="11" t="s">
        <v>6130</v>
      </c>
      <c r="H2180" s="11" t="s">
        <v>6131</v>
      </c>
      <c r="I2180" s="11" t="s">
        <v>6077</v>
      </c>
    </row>
    <row r="2181" spans="1:9" x14ac:dyDescent="0.15">
      <c r="A2181" s="10">
        <v>2180</v>
      </c>
      <c r="B2181" s="11" t="s">
        <v>9</v>
      </c>
      <c r="C2181" s="11" t="s">
        <v>179</v>
      </c>
      <c r="D2181" s="11" t="s">
        <v>180</v>
      </c>
      <c r="E2181" s="9" t="str">
        <f>+HYPERLINK("http://trademark.i-assist.jp/data/china/image_1908th/80099841.pdf", "80099841")</f>
        <v>80099841</v>
      </c>
      <c r="F2181" s="11" t="s">
        <v>6132</v>
      </c>
      <c r="G2181" s="11" t="s">
        <v>6133</v>
      </c>
      <c r="H2181" s="11" t="s">
        <v>6134</v>
      </c>
      <c r="I2181" s="11" t="s">
        <v>6077</v>
      </c>
    </row>
    <row r="2182" spans="1:9" x14ac:dyDescent="0.15">
      <c r="A2182" s="10">
        <v>2181</v>
      </c>
      <c r="B2182" s="11" t="s">
        <v>9</v>
      </c>
      <c r="C2182" s="11" t="s">
        <v>179</v>
      </c>
      <c r="D2182" s="11" t="s">
        <v>180</v>
      </c>
      <c r="E2182" s="9" t="str">
        <f>+HYPERLINK("http://trademark.i-assist.jp/data/china/image_1908th/80099869.pdf", "80099869")</f>
        <v>80099869</v>
      </c>
      <c r="F2182" s="11" t="s">
        <v>6135</v>
      </c>
      <c r="G2182" s="11" t="s">
        <v>6136</v>
      </c>
      <c r="H2182" s="11" t="s">
        <v>6137</v>
      </c>
      <c r="I2182" s="11" t="s">
        <v>6077</v>
      </c>
    </row>
    <row r="2183" spans="1:9" x14ac:dyDescent="0.15">
      <c r="A2183" s="10">
        <v>2182</v>
      </c>
      <c r="B2183" s="11" t="s">
        <v>9</v>
      </c>
      <c r="C2183" s="11" t="s">
        <v>179</v>
      </c>
      <c r="D2183" s="11" t="s">
        <v>180</v>
      </c>
      <c r="E2183" s="9" t="str">
        <f>+HYPERLINK("http://trademark.i-assist.jp/data/china/image_1908th/80099895.pdf", "80099895")</f>
        <v>80099895</v>
      </c>
      <c r="F2183" s="11" t="s">
        <v>6138</v>
      </c>
      <c r="G2183" s="11" t="s">
        <v>6139</v>
      </c>
      <c r="H2183" s="11" t="s">
        <v>6140</v>
      </c>
      <c r="I2183" s="11" t="s">
        <v>6077</v>
      </c>
    </row>
    <row r="2184" spans="1:9" x14ac:dyDescent="0.15">
      <c r="A2184" s="10">
        <v>2183</v>
      </c>
      <c r="B2184" s="11" t="s">
        <v>9</v>
      </c>
      <c r="C2184" s="11" t="s">
        <v>179</v>
      </c>
      <c r="D2184" s="11" t="s">
        <v>180</v>
      </c>
      <c r="E2184" s="9" t="str">
        <f>+HYPERLINK("http://trademark.i-assist.jp/data/china/image_1908th/80099922.pdf", "80099922")</f>
        <v>80099922</v>
      </c>
      <c r="F2184" s="11" t="s">
        <v>6141</v>
      </c>
      <c r="G2184" s="11" t="s">
        <v>6142</v>
      </c>
      <c r="H2184" s="11" t="s">
        <v>6143</v>
      </c>
      <c r="I2184" s="11" t="s">
        <v>6077</v>
      </c>
    </row>
    <row r="2185" spans="1:9" x14ac:dyDescent="0.15">
      <c r="A2185" s="10">
        <v>2184</v>
      </c>
      <c r="B2185" s="11" t="s">
        <v>9</v>
      </c>
      <c r="C2185" s="11" t="s">
        <v>179</v>
      </c>
      <c r="D2185" s="11" t="s">
        <v>180</v>
      </c>
      <c r="E2185" s="9" t="str">
        <f>+HYPERLINK("http://trademark.i-assist.jp/data/china/image_1908th/80099967.pdf", "80099967")</f>
        <v>80099967</v>
      </c>
      <c r="F2185" s="11" t="s">
        <v>6144</v>
      </c>
      <c r="G2185" s="11" t="s">
        <v>6145</v>
      </c>
      <c r="H2185" s="11" t="s">
        <v>6146</v>
      </c>
      <c r="I2185" s="11" t="s">
        <v>6077</v>
      </c>
    </row>
    <row r="2186" spans="1:9" x14ac:dyDescent="0.15">
      <c r="A2186" s="10">
        <v>2185</v>
      </c>
      <c r="B2186" s="11" t="s">
        <v>9</v>
      </c>
      <c r="C2186" s="11" t="s">
        <v>179</v>
      </c>
      <c r="D2186" s="11" t="s">
        <v>180</v>
      </c>
      <c r="E2186" s="9" t="str">
        <f>+HYPERLINK("http://trademark.i-assist.jp/data/china/image_1908th/80100686.pdf", "80100686")</f>
        <v>80100686</v>
      </c>
      <c r="F2186" s="11" t="s">
        <v>6147</v>
      </c>
      <c r="G2186" s="11" t="s">
        <v>6139</v>
      </c>
      <c r="H2186" s="11" t="s">
        <v>6148</v>
      </c>
      <c r="I2186" s="11" t="s">
        <v>6077</v>
      </c>
    </row>
    <row r="2187" spans="1:9" x14ac:dyDescent="0.15">
      <c r="A2187" s="10">
        <v>2186</v>
      </c>
      <c r="B2187" s="11" t="s">
        <v>9</v>
      </c>
      <c r="C2187" s="11" t="s">
        <v>179</v>
      </c>
      <c r="D2187" s="11" t="s">
        <v>180</v>
      </c>
      <c r="E2187" s="9" t="str">
        <f>+HYPERLINK("http://trademark.i-assist.jp/data/china/image_1908th/80100719.pdf", "80100719")</f>
        <v>80100719</v>
      </c>
      <c r="F2187" s="11" t="s">
        <v>6149</v>
      </c>
      <c r="G2187" s="11" t="s">
        <v>6150</v>
      </c>
      <c r="H2187" s="11" t="s">
        <v>6151</v>
      </c>
      <c r="I2187" s="11" t="s">
        <v>6077</v>
      </c>
    </row>
    <row r="2188" spans="1:9" x14ac:dyDescent="0.15">
      <c r="A2188" s="10">
        <v>2187</v>
      </c>
      <c r="B2188" s="11" t="s">
        <v>9</v>
      </c>
      <c r="C2188" s="11" t="s">
        <v>179</v>
      </c>
      <c r="D2188" s="11" t="s">
        <v>180</v>
      </c>
      <c r="E2188" s="9" t="str">
        <f>+HYPERLINK("http://trademark.i-assist.jp/data/china/image_1908th/80100809.pdf", "80100809")</f>
        <v>80100809</v>
      </c>
      <c r="F2188" s="11" t="s">
        <v>6152</v>
      </c>
      <c r="G2188" s="11" t="s">
        <v>6153</v>
      </c>
      <c r="H2188" s="11" t="s">
        <v>6154</v>
      </c>
      <c r="I2188" s="11" t="s">
        <v>6077</v>
      </c>
    </row>
    <row r="2189" spans="1:9" x14ac:dyDescent="0.15">
      <c r="A2189" s="10">
        <v>2188</v>
      </c>
      <c r="B2189" s="11" t="s">
        <v>9</v>
      </c>
      <c r="C2189" s="11" t="s">
        <v>179</v>
      </c>
      <c r="D2189" s="11" t="s">
        <v>180</v>
      </c>
      <c r="E2189" s="9" t="str">
        <f>+HYPERLINK("http://trademark.i-assist.jp/data/china/image_1908th/80101251.pdf", "80101251")</f>
        <v>80101251</v>
      </c>
      <c r="F2189" s="11" t="s">
        <v>6155</v>
      </c>
      <c r="G2189" s="11" t="s">
        <v>6156</v>
      </c>
      <c r="H2189" s="11" t="s">
        <v>6157</v>
      </c>
      <c r="I2189" s="11" t="s">
        <v>6077</v>
      </c>
    </row>
    <row r="2190" spans="1:9" x14ac:dyDescent="0.15">
      <c r="A2190" s="10">
        <v>2189</v>
      </c>
      <c r="B2190" s="11" t="s">
        <v>9</v>
      </c>
      <c r="C2190" s="11" t="s">
        <v>179</v>
      </c>
      <c r="D2190" s="11" t="s">
        <v>180</v>
      </c>
      <c r="E2190" s="9" t="str">
        <f>+HYPERLINK("http://trademark.i-assist.jp/data/china/image_1908th/80101276.pdf", "80101276")</f>
        <v>80101276</v>
      </c>
      <c r="F2190" s="11" t="s">
        <v>6158</v>
      </c>
      <c r="G2190" s="11" t="s">
        <v>6159</v>
      </c>
      <c r="H2190" s="11" t="s">
        <v>6160</v>
      </c>
      <c r="I2190" s="11" t="s">
        <v>6077</v>
      </c>
    </row>
    <row r="2191" spans="1:9" x14ac:dyDescent="0.15">
      <c r="A2191" s="10">
        <v>2190</v>
      </c>
      <c r="B2191" s="11" t="s">
        <v>9</v>
      </c>
      <c r="C2191" s="11" t="s">
        <v>179</v>
      </c>
      <c r="D2191" s="11" t="s">
        <v>180</v>
      </c>
      <c r="E2191" s="9" t="str">
        <f>+HYPERLINK("http://trademark.i-assist.jp/data/china/image_1908th/80101563.pdf", "80101563")</f>
        <v>80101563</v>
      </c>
      <c r="F2191" s="11" t="s">
        <v>6161</v>
      </c>
      <c r="G2191" s="11" t="s">
        <v>6125</v>
      </c>
      <c r="H2191" s="11" t="s">
        <v>6162</v>
      </c>
      <c r="I2191" s="11" t="s">
        <v>6077</v>
      </c>
    </row>
    <row r="2192" spans="1:9" x14ac:dyDescent="0.15">
      <c r="A2192" s="10">
        <v>2191</v>
      </c>
      <c r="B2192" s="11" t="s">
        <v>9</v>
      </c>
      <c r="C2192" s="11" t="s">
        <v>179</v>
      </c>
      <c r="D2192" s="11" t="s">
        <v>180</v>
      </c>
      <c r="E2192" s="9" t="str">
        <f>+HYPERLINK("http://trademark.i-assist.jp/data/china/image_1908th/80101702.pdf", "80101702")</f>
        <v>80101702</v>
      </c>
      <c r="F2192" s="11" t="s">
        <v>6163</v>
      </c>
      <c r="G2192" s="11" t="s">
        <v>6164</v>
      </c>
      <c r="H2192" s="11" t="s">
        <v>6165</v>
      </c>
      <c r="I2192" s="11" t="s">
        <v>6077</v>
      </c>
    </row>
    <row r="2193" spans="1:9" x14ac:dyDescent="0.15">
      <c r="A2193" s="10">
        <v>2192</v>
      </c>
      <c r="B2193" s="11" t="s">
        <v>9</v>
      </c>
      <c r="C2193" s="11" t="s">
        <v>179</v>
      </c>
      <c r="D2193" s="11" t="s">
        <v>180</v>
      </c>
      <c r="E2193" s="9" t="str">
        <f>+HYPERLINK("http://trademark.i-assist.jp/data/china/image_1908th/80102039.pdf", "80102039")</f>
        <v>80102039</v>
      </c>
      <c r="F2193" s="11" t="s">
        <v>6166</v>
      </c>
      <c r="G2193" s="11" t="s">
        <v>146</v>
      </c>
      <c r="H2193" s="11" t="s">
        <v>6167</v>
      </c>
      <c r="I2193" s="11" t="s">
        <v>6077</v>
      </c>
    </row>
    <row r="2194" spans="1:9" x14ac:dyDescent="0.15">
      <c r="A2194" s="10">
        <v>2193</v>
      </c>
      <c r="B2194" s="11" t="s">
        <v>9</v>
      </c>
      <c r="C2194" s="11" t="s">
        <v>179</v>
      </c>
      <c r="D2194" s="11" t="s">
        <v>180</v>
      </c>
      <c r="E2194" s="9" t="str">
        <f>+HYPERLINK("http://trademark.i-assist.jp/data/china/image_1908th/80102096.pdf", "80102096")</f>
        <v>80102096</v>
      </c>
      <c r="F2194" s="11" t="s">
        <v>6168</v>
      </c>
      <c r="G2194" s="11" t="s">
        <v>6169</v>
      </c>
      <c r="H2194" s="11" t="s">
        <v>6170</v>
      </c>
      <c r="I2194" s="11" t="s">
        <v>6077</v>
      </c>
    </row>
    <row r="2195" spans="1:9" x14ac:dyDescent="0.15">
      <c r="A2195" s="10">
        <v>2194</v>
      </c>
      <c r="B2195" s="11" t="s">
        <v>9</v>
      </c>
      <c r="C2195" s="11" t="s">
        <v>179</v>
      </c>
      <c r="D2195" s="11" t="s">
        <v>180</v>
      </c>
      <c r="E2195" s="9" t="str">
        <f>+HYPERLINK("http://trademark.i-assist.jp/data/china/image_1908th/80102176.pdf", "80102176")</f>
        <v>80102176</v>
      </c>
      <c r="F2195" s="11" t="s">
        <v>6171</v>
      </c>
      <c r="G2195" s="11" t="s">
        <v>6172</v>
      </c>
      <c r="H2195" s="11" t="s">
        <v>6173</v>
      </c>
      <c r="I2195" s="11" t="s">
        <v>6077</v>
      </c>
    </row>
    <row r="2196" spans="1:9" x14ac:dyDescent="0.15">
      <c r="A2196" s="10">
        <v>2195</v>
      </c>
      <c r="B2196" s="11" t="s">
        <v>9</v>
      </c>
      <c r="C2196" s="11" t="s">
        <v>179</v>
      </c>
      <c r="D2196" s="11" t="s">
        <v>180</v>
      </c>
      <c r="E2196" s="9" t="str">
        <f>+HYPERLINK("http://trademark.i-assist.jp/data/china/image_1908th/80102374.pdf", "80102374")</f>
        <v>80102374</v>
      </c>
      <c r="F2196" s="11" t="s">
        <v>6174</v>
      </c>
      <c r="G2196" s="11" t="s">
        <v>2745</v>
      </c>
      <c r="H2196" s="11" t="s">
        <v>6175</v>
      </c>
      <c r="I2196" s="11" t="s">
        <v>6077</v>
      </c>
    </row>
    <row r="2197" spans="1:9" x14ac:dyDescent="0.15">
      <c r="A2197" s="10">
        <v>2196</v>
      </c>
      <c r="B2197" s="11" t="s">
        <v>9</v>
      </c>
      <c r="C2197" s="11" t="s">
        <v>179</v>
      </c>
      <c r="D2197" s="11" t="s">
        <v>180</v>
      </c>
      <c r="E2197" s="9" t="str">
        <f>+HYPERLINK("http://trademark.i-assist.jp/data/china/image_1908th/80102491.pdf", "80102491")</f>
        <v>80102491</v>
      </c>
      <c r="F2197" s="11" t="s">
        <v>6176</v>
      </c>
      <c r="G2197" s="11" t="s">
        <v>6085</v>
      </c>
      <c r="H2197" s="11" t="s">
        <v>6177</v>
      </c>
      <c r="I2197" s="11" t="s">
        <v>6077</v>
      </c>
    </row>
    <row r="2198" spans="1:9" x14ac:dyDescent="0.15">
      <c r="A2198" s="10">
        <v>2197</v>
      </c>
      <c r="B2198" s="11" t="s">
        <v>9</v>
      </c>
      <c r="C2198" s="11" t="s">
        <v>179</v>
      </c>
      <c r="D2198" s="11" t="s">
        <v>180</v>
      </c>
      <c r="E2198" s="9" t="str">
        <f>+HYPERLINK("http://trademark.i-assist.jp/data/china/image_1908th/80102526.pdf", "80102526")</f>
        <v>80102526</v>
      </c>
      <c r="F2198" s="11" t="s">
        <v>6178</v>
      </c>
      <c r="G2198" s="11" t="s">
        <v>6179</v>
      </c>
      <c r="H2198" s="11" t="s">
        <v>6180</v>
      </c>
      <c r="I2198" s="11" t="s">
        <v>6077</v>
      </c>
    </row>
    <row r="2199" spans="1:9" x14ac:dyDescent="0.15">
      <c r="A2199" s="10">
        <v>2198</v>
      </c>
      <c r="B2199" s="11" t="s">
        <v>9</v>
      </c>
      <c r="C2199" s="11" t="s">
        <v>179</v>
      </c>
      <c r="D2199" s="11" t="s">
        <v>180</v>
      </c>
      <c r="E2199" s="9" t="str">
        <f>+HYPERLINK("http://trademark.i-assist.jp/data/china/image_1908th/80102759.pdf", "80102759")</f>
        <v>80102759</v>
      </c>
      <c r="F2199" s="11" t="s">
        <v>6181</v>
      </c>
      <c r="G2199" s="11" t="s">
        <v>6182</v>
      </c>
      <c r="H2199" s="11" t="s">
        <v>6183</v>
      </c>
      <c r="I2199" s="11" t="s">
        <v>6077</v>
      </c>
    </row>
    <row r="2200" spans="1:9" x14ac:dyDescent="0.15">
      <c r="A2200" s="10">
        <v>2199</v>
      </c>
      <c r="B2200" s="11" t="s">
        <v>9</v>
      </c>
      <c r="C2200" s="11" t="s">
        <v>179</v>
      </c>
      <c r="D2200" s="11" t="s">
        <v>180</v>
      </c>
      <c r="E2200" s="9" t="str">
        <f>+HYPERLINK("http://trademark.i-assist.jp/data/china/image_1908th/80102882.pdf", "80102882")</f>
        <v>80102882</v>
      </c>
      <c r="F2200" s="11" t="s">
        <v>6184</v>
      </c>
      <c r="G2200" s="11" t="s">
        <v>6185</v>
      </c>
      <c r="H2200" s="11" t="s">
        <v>6186</v>
      </c>
      <c r="I2200" s="11" t="s">
        <v>6077</v>
      </c>
    </row>
    <row r="2201" spans="1:9" x14ac:dyDescent="0.15">
      <c r="A2201" s="10">
        <v>2200</v>
      </c>
      <c r="B2201" s="11" t="s">
        <v>9</v>
      </c>
      <c r="C2201" s="11" t="s">
        <v>179</v>
      </c>
      <c r="D2201" s="11" t="s">
        <v>180</v>
      </c>
      <c r="E2201" s="9" t="str">
        <f>+HYPERLINK("http://trademark.i-assist.jp/data/china/image_1908th/80103047.pdf", "80103047")</f>
        <v>80103047</v>
      </c>
      <c r="F2201" s="11" t="s">
        <v>6187</v>
      </c>
      <c r="G2201" s="11" t="s">
        <v>6153</v>
      </c>
      <c r="H2201" s="11" t="s">
        <v>6188</v>
      </c>
      <c r="I2201" s="11" t="s">
        <v>6077</v>
      </c>
    </row>
    <row r="2202" spans="1:9" x14ac:dyDescent="0.15">
      <c r="A2202" s="10">
        <v>2201</v>
      </c>
      <c r="B2202" s="11" t="s">
        <v>9</v>
      </c>
      <c r="C2202" s="11" t="s">
        <v>179</v>
      </c>
      <c r="D2202" s="11" t="s">
        <v>180</v>
      </c>
      <c r="E2202" s="9" t="str">
        <f>+HYPERLINK("http://trademark.i-assist.jp/data/china/image_1908th/80103066.pdf", "80103066")</f>
        <v>80103066</v>
      </c>
      <c r="F2202" s="11" t="s">
        <v>6189</v>
      </c>
      <c r="G2202" s="11" t="s">
        <v>6190</v>
      </c>
      <c r="H2202" s="11" t="s">
        <v>6191</v>
      </c>
      <c r="I2202" s="11" t="s">
        <v>6077</v>
      </c>
    </row>
    <row r="2203" spans="1:9" x14ac:dyDescent="0.15">
      <c r="A2203" s="10">
        <v>2202</v>
      </c>
      <c r="B2203" s="11" t="s">
        <v>9</v>
      </c>
      <c r="C2203" s="11" t="s">
        <v>179</v>
      </c>
      <c r="D2203" s="11" t="s">
        <v>180</v>
      </c>
      <c r="E2203" s="9" t="str">
        <f>+HYPERLINK("http://trademark.i-assist.jp/data/china/image_1908th/80103150.pdf", "80103150")</f>
        <v>80103150</v>
      </c>
      <c r="F2203" s="11" t="s">
        <v>6192</v>
      </c>
      <c r="G2203" s="11" t="s">
        <v>6096</v>
      </c>
      <c r="H2203" s="11" t="s">
        <v>6193</v>
      </c>
      <c r="I2203" s="11" t="s">
        <v>6077</v>
      </c>
    </row>
    <row r="2204" spans="1:9" x14ac:dyDescent="0.15">
      <c r="A2204" s="10">
        <v>2203</v>
      </c>
      <c r="B2204" s="11" t="s">
        <v>9</v>
      </c>
      <c r="C2204" s="11" t="s">
        <v>179</v>
      </c>
      <c r="D2204" s="11" t="s">
        <v>180</v>
      </c>
      <c r="E2204" s="9" t="str">
        <f>+HYPERLINK("http://trademark.i-assist.jp/data/china/image_1908th/80103282.pdf", "80103282")</f>
        <v>80103282</v>
      </c>
      <c r="F2204" s="11" t="s">
        <v>6194</v>
      </c>
      <c r="G2204" s="11" t="s">
        <v>6139</v>
      </c>
      <c r="H2204" s="11" t="s">
        <v>6195</v>
      </c>
      <c r="I2204" s="11" t="s">
        <v>6077</v>
      </c>
    </row>
    <row r="2205" spans="1:9" x14ac:dyDescent="0.15">
      <c r="A2205" s="10">
        <v>2204</v>
      </c>
      <c r="B2205" s="11" t="s">
        <v>9</v>
      </c>
      <c r="C2205" s="11" t="s">
        <v>179</v>
      </c>
      <c r="D2205" s="11" t="s">
        <v>180</v>
      </c>
      <c r="E2205" s="9" t="str">
        <f>+HYPERLINK("http://trademark.i-assist.jp/data/china/image_1908th/80103662.pdf", "80103662")</f>
        <v>80103662</v>
      </c>
      <c r="F2205" s="11" t="s">
        <v>6196</v>
      </c>
      <c r="G2205" s="11" t="s">
        <v>6179</v>
      </c>
      <c r="H2205" s="11" t="s">
        <v>6197</v>
      </c>
      <c r="I2205" s="11" t="s">
        <v>6077</v>
      </c>
    </row>
    <row r="2206" spans="1:9" x14ac:dyDescent="0.15">
      <c r="A2206" s="10">
        <v>2205</v>
      </c>
      <c r="B2206" s="11" t="s">
        <v>9</v>
      </c>
      <c r="C2206" s="11" t="s">
        <v>179</v>
      </c>
      <c r="D2206" s="11" t="s">
        <v>180</v>
      </c>
      <c r="E2206" s="9" t="str">
        <f>+HYPERLINK("http://trademark.i-assist.jp/data/china/image_1908th/80103856.pdf", "80103856")</f>
        <v>80103856</v>
      </c>
      <c r="F2206" s="11" t="s">
        <v>6198</v>
      </c>
      <c r="G2206" s="11" t="s">
        <v>6199</v>
      </c>
      <c r="H2206" s="11" t="s">
        <v>6200</v>
      </c>
      <c r="I2206" s="11" t="s">
        <v>6077</v>
      </c>
    </row>
    <row r="2207" spans="1:9" x14ac:dyDescent="0.15">
      <c r="A2207" s="10">
        <v>2206</v>
      </c>
      <c r="B2207" s="11" t="s">
        <v>9</v>
      </c>
      <c r="C2207" s="11" t="s">
        <v>179</v>
      </c>
      <c r="D2207" s="11" t="s">
        <v>180</v>
      </c>
      <c r="E2207" s="9" t="str">
        <f>+HYPERLINK("http://trademark.i-assist.jp/data/china/image_1908th/80103984.pdf", "80103984")</f>
        <v>80103984</v>
      </c>
      <c r="F2207" s="11" t="s">
        <v>6201</v>
      </c>
      <c r="G2207" s="11" t="s">
        <v>6093</v>
      </c>
      <c r="H2207" s="11" t="s">
        <v>6202</v>
      </c>
      <c r="I2207" s="11" t="s">
        <v>6077</v>
      </c>
    </row>
    <row r="2208" spans="1:9" x14ac:dyDescent="0.15">
      <c r="A2208" s="10">
        <v>2207</v>
      </c>
      <c r="B2208" s="11" t="s">
        <v>9</v>
      </c>
      <c r="C2208" s="11" t="s">
        <v>179</v>
      </c>
      <c r="D2208" s="11" t="s">
        <v>180</v>
      </c>
      <c r="E2208" s="9" t="str">
        <f>+HYPERLINK("http://trademark.i-assist.jp/data/china/image_1908th/80104500.pdf", "80104500")</f>
        <v>80104500</v>
      </c>
      <c r="F2208" s="11" t="s">
        <v>6203</v>
      </c>
      <c r="G2208" s="11" t="s">
        <v>6093</v>
      </c>
      <c r="H2208" s="11" t="s">
        <v>6204</v>
      </c>
      <c r="I2208" s="11" t="s">
        <v>6077</v>
      </c>
    </row>
    <row r="2209" spans="1:9" x14ac:dyDescent="0.15">
      <c r="A2209" s="10">
        <v>2208</v>
      </c>
      <c r="B2209" s="11" t="s">
        <v>9</v>
      </c>
      <c r="C2209" s="11" t="s">
        <v>179</v>
      </c>
      <c r="D2209" s="11" t="s">
        <v>180</v>
      </c>
      <c r="E2209" s="9" t="str">
        <f>+HYPERLINK("http://trademark.i-assist.jp/data/china/image_1908th/80104721.pdf", "80104721")</f>
        <v>80104721</v>
      </c>
      <c r="F2209" s="11" t="s">
        <v>6205</v>
      </c>
      <c r="G2209" s="11" t="s">
        <v>6206</v>
      </c>
      <c r="H2209" s="11" t="s">
        <v>6207</v>
      </c>
      <c r="I2209" s="11" t="s">
        <v>6077</v>
      </c>
    </row>
    <row r="2210" spans="1:9" x14ac:dyDescent="0.15">
      <c r="A2210" s="10">
        <v>2209</v>
      </c>
      <c r="B2210" s="11" t="s">
        <v>9</v>
      </c>
      <c r="C2210" s="11" t="s">
        <v>179</v>
      </c>
      <c r="D2210" s="11" t="s">
        <v>180</v>
      </c>
      <c r="E2210" s="9" t="str">
        <f>+HYPERLINK("http://trademark.i-assist.jp/data/china/image_1908th/80105136.pdf", "80105136")</f>
        <v>80105136</v>
      </c>
      <c r="F2210" s="11" t="s">
        <v>6208</v>
      </c>
      <c r="G2210" s="11" t="s">
        <v>6209</v>
      </c>
      <c r="H2210" s="11" t="s">
        <v>6210</v>
      </c>
      <c r="I2210" s="11" t="s">
        <v>6077</v>
      </c>
    </row>
    <row r="2211" spans="1:9" x14ac:dyDescent="0.15">
      <c r="A2211" s="10">
        <v>2210</v>
      </c>
      <c r="B2211" s="11" t="s">
        <v>9</v>
      </c>
      <c r="C2211" s="11" t="s">
        <v>179</v>
      </c>
      <c r="D2211" s="11" t="s">
        <v>180</v>
      </c>
      <c r="E2211" s="9" t="str">
        <f>+HYPERLINK("http://trademark.i-assist.jp/data/china/image_1908th/80105640.pdf", "80105640")</f>
        <v>80105640</v>
      </c>
      <c r="F2211" s="11" t="s">
        <v>6211</v>
      </c>
      <c r="G2211" s="11" t="s">
        <v>6212</v>
      </c>
      <c r="H2211" s="11" t="s">
        <v>6213</v>
      </c>
      <c r="I2211" s="11" t="s">
        <v>6077</v>
      </c>
    </row>
    <row r="2212" spans="1:9" x14ac:dyDescent="0.15">
      <c r="A2212" s="10">
        <v>2211</v>
      </c>
      <c r="B2212" s="11" t="s">
        <v>9</v>
      </c>
      <c r="C2212" s="11" t="s">
        <v>179</v>
      </c>
      <c r="D2212" s="11" t="s">
        <v>180</v>
      </c>
      <c r="E2212" s="9" t="str">
        <f>+HYPERLINK("http://trademark.i-assist.jp/data/china/image_1908th/80105909.pdf", "80105909")</f>
        <v>80105909</v>
      </c>
      <c r="F2212" s="11" t="s">
        <v>6214</v>
      </c>
      <c r="G2212" s="11" t="s">
        <v>6215</v>
      </c>
      <c r="H2212" s="11" t="s">
        <v>6216</v>
      </c>
      <c r="I2212" s="11" t="s">
        <v>6077</v>
      </c>
    </row>
    <row r="2213" spans="1:9" x14ac:dyDescent="0.15">
      <c r="A2213" s="10">
        <v>2212</v>
      </c>
      <c r="B2213" s="11" t="s">
        <v>9</v>
      </c>
      <c r="C2213" s="11" t="s">
        <v>179</v>
      </c>
      <c r="D2213" s="11" t="s">
        <v>180</v>
      </c>
      <c r="E2213" s="9" t="str">
        <f>+HYPERLINK("http://trademark.i-assist.jp/data/china/image_1908th/80106439.pdf", "80106439")</f>
        <v>80106439</v>
      </c>
      <c r="F2213" s="11" t="s">
        <v>10</v>
      </c>
      <c r="G2213" s="11" t="s">
        <v>6217</v>
      </c>
      <c r="H2213" s="11" t="s">
        <v>6218</v>
      </c>
      <c r="I2213" s="11" t="s">
        <v>6077</v>
      </c>
    </row>
    <row r="2214" spans="1:9" x14ac:dyDescent="0.15">
      <c r="A2214" s="10">
        <v>2213</v>
      </c>
      <c r="B2214" s="11" t="s">
        <v>9</v>
      </c>
      <c r="C2214" s="11" t="s">
        <v>179</v>
      </c>
      <c r="D2214" s="11" t="s">
        <v>180</v>
      </c>
      <c r="E2214" s="9" t="str">
        <f>+HYPERLINK("http://trademark.i-assist.jp/data/china/image_1908th/80106530.pdf", "80106530")</f>
        <v>80106530</v>
      </c>
      <c r="F2214" s="11" t="s">
        <v>6219</v>
      </c>
      <c r="G2214" s="11" t="s">
        <v>6220</v>
      </c>
      <c r="H2214" s="11" t="s">
        <v>6221</v>
      </c>
      <c r="I2214" s="11" t="s">
        <v>6077</v>
      </c>
    </row>
    <row r="2215" spans="1:9" x14ac:dyDescent="0.15">
      <c r="A2215" s="10">
        <v>2214</v>
      </c>
      <c r="B2215" s="11" t="s">
        <v>9</v>
      </c>
      <c r="C2215" s="11" t="s">
        <v>179</v>
      </c>
      <c r="D2215" s="11" t="s">
        <v>180</v>
      </c>
      <c r="E2215" s="9" t="str">
        <f>+HYPERLINK("http://trademark.i-assist.jp/data/china/image_1908th/80107144.pdf", "80107144")</f>
        <v>80107144</v>
      </c>
      <c r="F2215" s="11" t="s">
        <v>6222</v>
      </c>
      <c r="G2215" s="11" t="s">
        <v>6223</v>
      </c>
      <c r="H2215" s="11" t="s">
        <v>6224</v>
      </c>
      <c r="I2215" s="11" t="s">
        <v>6077</v>
      </c>
    </row>
    <row r="2216" spans="1:9" x14ac:dyDescent="0.15">
      <c r="A2216" s="10">
        <v>2215</v>
      </c>
      <c r="B2216" s="11" t="s">
        <v>9</v>
      </c>
      <c r="C2216" s="11" t="s">
        <v>179</v>
      </c>
      <c r="D2216" s="11" t="s">
        <v>180</v>
      </c>
      <c r="E2216" s="9" t="str">
        <f>+HYPERLINK("http://trademark.i-assist.jp/data/china/image_1908th/80107145.pdf", "80107145")</f>
        <v>80107145</v>
      </c>
      <c r="F2216" s="11" t="s">
        <v>6225</v>
      </c>
      <c r="G2216" s="11" t="s">
        <v>6226</v>
      </c>
      <c r="H2216" s="11" t="s">
        <v>6227</v>
      </c>
      <c r="I2216" s="11" t="s">
        <v>6077</v>
      </c>
    </row>
    <row r="2217" spans="1:9" x14ac:dyDescent="0.15">
      <c r="A2217" s="10">
        <v>2216</v>
      </c>
      <c r="B2217" s="11" t="s">
        <v>9</v>
      </c>
      <c r="C2217" s="11" t="s">
        <v>179</v>
      </c>
      <c r="D2217" s="11" t="s">
        <v>180</v>
      </c>
      <c r="E2217" s="9" t="str">
        <f>+HYPERLINK("http://trademark.i-assist.jp/data/china/image_1908th/80107362.pdf", "80107362")</f>
        <v>80107362</v>
      </c>
      <c r="F2217" s="11" t="s">
        <v>6228</v>
      </c>
      <c r="G2217" s="11" t="s">
        <v>6229</v>
      </c>
      <c r="H2217" s="11" t="s">
        <v>6230</v>
      </c>
      <c r="I2217" s="11" t="s">
        <v>6077</v>
      </c>
    </row>
    <row r="2218" spans="1:9" x14ac:dyDescent="0.15">
      <c r="A2218" s="10">
        <v>2217</v>
      </c>
      <c r="B2218" s="11" t="s">
        <v>9</v>
      </c>
      <c r="C2218" s="11" t="s">
        <v>179</v>
      </c>
      <c r="D2218" s="11" t="s">
        <v>180</v>
      </c>
      <c r="E2218" s="9" t="str">
        <f>+HYPERLINK("http://trademark.i-assist.jp/data/china/image_1908th/80107392.pdf", "80107392")</f>
        <v>80107392</v>
      </c>
      <c r="F2218" s="11" t="s">
        <v>6231</v>
      </c>
      <c r="G2218" s="11" t="s">
        <v>6232</v>
      </c>
      <c r="H2218" s="11" t="s">
        <v>6233</v>
      </c>
      <c r="I2218" s="11" t="s">
        <v>6077</v>
      </c>
    </row>
    <row r="2219" spans="1:9" x14ac:dyDescent="0.15">
      <c r="A2219" s="10">
        <v>2218</v>
      </c>
      <c r="B2219" s="11" t="s">
        <v>9</v>
      </c>
      <c r="C2219" s="11" t="s">
        <v>179</v>
      </c>
      <c r="D2219" s="11" t="s">
        <v>180</v>
      </c>
      <c r="E2219" s="9" t="str">
        <f>+HYPERLINK("http://trademark.i-assist.jp/data/china/image_1908th/80107713.pdf", "80107713")</f>
        <v>80107713</v>
      </c>
      <c r="F2219" s="11" t="s">
        <v>6234</v>
      </c>
      <c r="G2219" s="11" t="s">
        <v>6235</v>
      </c>
      <c r="H2219" s="11" t="s">
        <v>6236</v>
      </c>
      <c r="I2219" s="11" t="s">
        <v>6077</v>
      </c>
    </row>
    <row r="2220" spans="1:9" x14ac:dyDescent="0.15">
      <c r="A2220" s="10">
        <v>2219</v>
      </c>
      <c r="B2220" s="11" t="s">
        <v>9</v>
      </c>
      <c r="C2220" s="11" t="s">
        <v>179</v>
      </c>
      <c r="D2220" s="11" t="s">
        <v>180</v>
      </c>
      <c r="E2220" s="9" t="str">
        <f>+HYPERLINK("http://trademark.i-assist.jp/data/china/image_1908th/80108383.pdf", "80108383")</f>
        <v>80108383</v>
      </c>
      <c r="F2220" s="11" t="s">
        <v>6237</v>
      </c>
      <c r="G2220" s="11" t="s">
        <v>6238</v>
      </c>
      <c r="H2220" s="11" t="s">
        <v>6239</v>
      </c>
      <c r="I2220" s="11" t="s">
        <v>6077</v>
      </c>
    </row>
    <row r="2221" spans="1:9" x14ac:dyDescent="0.15">
      <c r="A2221" s="10">
        <v>2220</v>
      </c>
      <c r="B2221" s="11" t="s">
        <v>9</v>
      </c>
      <c r="C2221" s="11" t="s">
        <v>179</v>
      </c>
      <c r="D2221" s="11" t="s">
        <v>180</v>
      </c>
      <c r="E2221" s="9" t="str">
        <f>+HYPERLINK("http://trademark.i-assist.jp/data/china/image_1908th/80108634.pdf", "80108634")</f>
        <v>80108634</v>
      </c>
      <c r="F2221" s="11" t="s">
        <v>6240</v>
      </c>
      <c r="G2221" s="11" t="s">
        <v>6241</v>
      </c>
      <c r="H2221" s="11" t="s">
        <v>6242</v>
      </c>
      <c r="I2221" s="11" t="s">
        <v>6077</v>
      </c>
    </row>
    <row r="2222" spans="1:9" x14ac:dyDescent="0.15">
      <c r="A2222" s="10">
        <v>2221</v>
      </c>
      <c r="B2222" s="11" t="s">
        <v>9</v>
      </c>
      <c r="C2222" s="11" t="s">
        <v>179</v>
      </c>
      <c r="D2222" s="11" t="s">
        <v>180</v>
      </c>
      <c r="E2222" s="9" t="str">
        <f>+HYPERLINK("http://trademark.i-assist.jp/data/china/image_1908th/80108674.pdf", "80108674")</f>
        <v>80108674</v>
      </c>
      <c r="F2222" s="11" t="s">
        <v>6243</v>
      </c>
      <c r="G2222" s="11" t="s">
        <v>6244</v>
      </c>
      <c r="H2222" s="11" t="s">
        <v>6245</v>
      </c>
      <c r="I2222" s="11" t="s">
        <v>6077</v>
      </c>
    </row>
    <row r="2223" spans="1:9" x14ac:dyDescent="0.15">
      <c r="A2223" s="10">
        <v>2222</v>
      </c>
      <c r="B2223" s="11" t="s">
        <v>9</v>
      </c>
      <c r="C2223" s="11" t="s">
        <v>179</v>
      </c>
      <c r="D2223" s="11" t="s">
        <v>180</v>
      </c>
      <c r="E2223" s="9" t="str">
        <f>+HYPERLINK("http://trademark.i-assist.jp/data/china/image_1908th/80109189.pdf", "80109189")</f>
        <v>80109189</v>
      </c>
      <c r="F2223" s="11" t="s">
        <v>6246</v>
      </c>
      <c r="G2223" s="11" t="s">
        <v>6247</v>
      </c>
      <c r="H2223" s="11" t="s">
        <v>6248</v>
      </c>
      <c r="I2223" s="11" t="s">
        <v>6077</v>
      </c>
    </row>
    <row r="2224" spans="1:9" x14ac:dyDescent="0.15">
      <c r="A2224" s="10">
        <v>2223</v>
      </c>
      <c r="B2224" s="11" t="s">
        <v>9</v>
      </c>
      <c r="C2224" s="11" t="s">
        <v>179</v>
      </c>
      <c r="D2224" s="11" t="s">
        <v>180</v>
      </c>
      <c r="E2224" s="9" t="str">
        <f>+HYPERLINK("http://trademark.i-assist.jp/data/china/image_1908th/80109217.pdf", "80109217")</f>
        <v>80109217</v>
      </c>
      <c r="F2224" s="11" t="s">
        <v>6249</v>
      </c>
      <c r="G2224" s="11" t="s">
        <v>6209</v>
      </c>
      <c r="H2224" s="11" t="s">
        <v>6250</v>
      </c>
      <c r="I2224" s="11" t="s">
        <v>6077</v>
      </c>
    </row>
    <row r="2225" spans="1:9" x14ac:dyDescent="0.15">
      <c r="A2225" s="10">
        <v>2224</v>
      </c>
      <c r="B2225" s="11" t="s">
        <v>9</v>
      </c>
      <c r="C2225" s="11" t="s">
        <v>179</v>
      </c>
      <c r="D2225" s="11" t="s">
        <v>180</v>
      </c>
      <c r="E2225" s="9" t="str">
        <f>+HYPERLINK("http://trademark.i-assist.jp/data/china/image_1908th/80109226.pdf", "80109226")</f>
        <v>80109226</v>
      </c>
      <c r="F2225" s="11" t="s">
        <v>6251</v>
      </c>
      <c r="G2225" s="11" t="s">
        <v>6209</v>
      </c>
      <c r="H2225" s="11" t="s">
        <v>6252</v>
      </c>
      <c r="I2225" s="11" t="s">
        <v>6077</v>
      </c>
    </row>
    <row r="2226" spans="1:9" x14ac:dyDescent="0.15">
      <c r="A2226" s="10">
        <v>2225</v>
      </c>
      <c r="B2226" s="11" t="s">
        <v>9</v>
      </c>
      <c r="C2226" s="11" t="s">
        <v>179</v>
      </c>
      <c r="D2226" s="11" t="s">
        <v>180</v>
      </c>
      <c r="E2226" s="9" t="str">
        <f>+HYPERLINK("http://trademark.i-assist.jp/data/china/image_1908th/80109422.pdf", "80109422")</f>
        <v>80109422</v>
      </c>
      <c r="F2226" s="11" t="s">
        <v>6253</v>
      </c>
      <c r="G2226" s="11" t="s">
        <v>6254</v>
      </c>
      <c r="H2226" s="11" t="s">
        <v>6255</v>
      </c>
      <c r="I2226" s="11" t="s">
        <v>6077</v>
      </c>
    </row>
    <row r="2227" spans="1:9" x14ac:dyDescent="0.15">
      <c r="A2227" s="10">
        <v>2226</v>
      </c>
      <c r="B2227" s="11" t="s">
        <v>9</v>
      </c>
      <c r="C2227" s="11" t="s">
        <v>179</v>
      </c>
      <c r="D2227" s="11" t="s">
        <v>180</v>
      </c>
      <c r="E2227" s="9" t="str">
        <f>+HYPERLINK("http://trademark.i-assist.jp/data/china/image_1908th/80110234.pdf", "80110234")</f>
        <v>80110234</v>
      </c>
      <c r="F2227" s="11" t="s">
        <v>6256</v>
      </c>
      <c r="G2227" s="11" t="s">
        <v>6257</v>
      </c>
      <c r="H2227" s="11" t="s">
        <v>6258</v>
      </c>
      <c r="I2227" s="11" t="s">
        <v>6077</v>
      </c>
    </row>
    <row r="2228" spans="1:9" x14ac:dyDescent="0.15">
      <c r="A2228" s="10">
        <v>2227</v>
      </c>
      <c r="B2228" s="11" t="s">
        <v>9</v>
      </c>
      <c r="C2228" s="11" t="s">
        <v>179</v>
      </c>
      <c r="D2228" s="11" t="s">
        <v>180</v>
      </c>
      <c r="E2228" s="9" t="str">
        <f>+HYPERLINK("http://trademark.i-assist.jp/data/china/image_1908th/80110462.pdf", "80110462")</f>
        <v>80110462</v>
      </c>
      <c r="F2228" s="11" t="s">
        <v>6259</v>
      </c>
      <c r="G2228" s="11" t="s">
        <v>104</v>
      </c>
      <c r="H2228" s="11" t="s">
        <v>6260</v>
      </c>
      <c r="I2228" s="11" t="s">
        <v>6077</v>
      </c>
    </row>
    <row r="2229" spans="1:9" x14ac:dyDescent="0.15">
      <c r="A2229" s="10">
        <v>2228</v>
      </c>
      <c r="B2229" s="11" t="s">
        <v>9</v>
      </c>
      <c r="C2229" s="11" t="s">
        <v>179</v>
      </c>
      <c r="D2229" s="11" t="s">
        <v>180</v>
      </c>
      <c r="E2229" s="9" t="str">
        <f>+HYPERLINK("http://trademark.i-assist.jp/data/china/image_1908th/80111118.pdf", "80111118")</f>
        <v>80111118</v>
      </c>
      <c r="F2229" s="11" t="s">
        <v>10</v>
      </c>
      <c r="G2229" s="11" t="s">
        <v>6261</v>
      </c>
      <c r="H2229" s="11" t="s">
        <v>6262</v>
      </c>
      <c r="I2229" s="11" t="s">
        <v>6077</v>
      </c>
    </row>
    <row r="2230" spans="1:9" x14ac:dyDescent="0.15">
      <c r="A2230" s="10">
        <v>2229</v>
      </c>
      <c r="B2230" s="11" t="s">
        <v>9</v>
      </c>
      <c r="C2230" s="11" t="s">
        <v>179</v>
      </c>
      <c r="D2230" s="11" t="s">
        <v>180</v>
      </c>
      <c r="E2230" s="9" t="str">
        <f>+HYPERLINK("http://trademark.i-assist.jp/data/china/image_1908th/80111186.pdf", "80111186")</f>
        <v>80111186</v>
      </c>
      <c r="F2230" s="11" t="s">
        <v>6263</v>
      </c>
      <c r="G2230" s="11" t="s">
        <v>6264</v>
      </c>
      <c r="H2230" s="11" t="s">
        <v>6265</v>
      </c>
      <c r="I2230" s="11" t="s">
        <v>6077</v>
      </c>
    </row>
    <row r="2231" spans="1:9" x14ac:dyDescent="0.15">
      <c r="A2231" s="10">
        <v>2230</v>
      </c>
      <c r="B2231" s="11" t="s">
        <v>9</v>
      </c>
      <c r="C2231" s="11" t="s">
        <v>179</v>
      </c>
      <c r="D2231" s="11" t="s">
        <v>180</v>
      </c>
      <c r="E2231" s="9" t="str">
        <f>+HYPERLINK("http://trademark.i-assist.jp/data/china/image_1908th/80111342.pdf", "80111342")</f>
        <v>80111342</v>
      </c>
      <c r="F2231" s="11" t="s">
        <v>6266</v>
      </c>
      <c r="G2231" s="11" t="s">
        <v>6241</v>
      </c>
      <c r="H2231" s="11" t="s">
        <v>6267</v>
      </c>
      <c r="I2231" s="11" t="s">
        <v>6077</v>
      </c>
    </row>
    <row r="2232" spans="1:9" x14ac:dyDescent="0.15">
      <c r="A2232" s="10">
        <v>2231</v>
      </c>
      <c r="B2232" s="11" t="s">
        <v>9</v>
      </c>
      <c r="C2232" s="11" t="s">
        <v>179</v>
      </c>
      <c r="D2232" s="11" t="s">
        <v>180</v>
      </c>
      <c r="E2232" s="9" t="str">
        <f>+HYPERLINK("http://trademark.i-assist.jp/data/china/image_1908th/80111414.pdf", "80111414")</f>
        <v>80111414</v>
      </c>
      <c r="F2232" s="11" t="s">
        <v>6268</v>
      </c>
      <c r="G2232" s="11" t="s">
        <v>6269</v>
      </c>
      <c r="H2232" s="11" t="s">
        <v>6270</v>
      </c>
      <c r="I2232" s="11" t="s">
        <v>6077</v>
      </c>
    </row>
    <row r="2233" spans="1:9" x14ac:dyDescent="0.15">
      <c r="A2233" s="10">
        <v>2232</v>
      </c>
      <c r="B2233" s="11" t="s">
        <v>9</v>
      </c>
      <c r="C2233" s="11" t="s">
        <v>179</v>
      </c>
      <c r="D2233" s="11" t="s">
        <v>180</v>
      </c>
      <c r="E2233" s="9" t="str">
        <f>+HYPERLINK("http://trademark.i-assist.jp/data/china/image_1908th/80111452.pdf", "80111452")</f>
        <v>80111452</v>
      </c>
      <c r="F2233" s="11" t="s">
        <v>10</v>
      </c>
      <c r="G2233" s="11" t="s">
        <v>6271</v>
      </c>
      <c r="H2233" s="11" t="s">
        <v>6272</v>
      </c>
      <c r="I2233" s="11" t="s">
        <v>6077</v>
      </c>
    </row>
    <row r="2234" spans="1:9" x14ac:dyDescent="0.15">
      <c r="A2234" s="10">
        <v>2233</v>
      </c>
      <c r="B2234" s="11" t="s">
        <v>9</v>
      </c>
      <c r="C2234" s="11" t="s">
        <v>179</v>
      </c>
      <c r="D2234" s="11" t="s">
        <v>180</v>
      </c>
      <c r="E2234" s="9" t="str">
        <f>+HYPERLINK("http://trademark.i-assist.jp/data/china/image_1908th/80111910.pdf", "80111910")</f>
        <v>80111910</v>
      </c>
      <c r="F2234" s="11" t="s">
        <v>6273</v>
      </c>
      <c r="G2234" s="11" t="s">
        <v>6274</v>
      </c>
      <c r="H2234" s="11" t="s">
        <v>6275</v>
      </c>
      <c r="I2234" s="11" t="s">
        <v>6077</v>
      </c>
    </row>
    <row r="2235" spans="1:9" x14ac:dyDescent="0.15">
      <c r="A2235" s="10">
        <v>2234</v>
      </c>
      <c r="B2235" s="11" t="s">
        <v>9</v>
      </c>
      <c r="C2235" s="11" t="s">
        <v>179</v>
      </c>
      <c r="D2235" s="11" t="s">
        <v>180</v>
      </c>
      <c r="E2235" s="9" t="str">
        <f>+HYPERLINK("http://trademark.i-assist.jp/data/china/image_1908th/80112180.pdf", "80112180")</f>
        <v>80112180</v>
      </c>
      <c r="F2235" s="11" t="s">
        <v>6276</v>
      </c>
      <c r="G2235" s="11" t="s">
        <v>6277</v>
      </c>
      <c r="H2235" s="11" t="s">
        <v>6278</v>
      </c>
      <c r="I2235" s="11" t="s">
        <v>6077</v>
      </c>
    </row>
    <row r="2236" spans="1:9" x14ac:dyDescent="0.15">
      <c r="A2236" s="10">
        <v>2235</v>
      </c>
      <c r="B2236" s="11" t="s">
        <v>9</v>
      </c>
      <c r="C2236" s="11" t="s">
        <v>179</v>
      </c>
      <c r="D2236" s="11" t="s">
        <v>180</v>
      </c>
      <c r="E2236" s="9" t="str">
        <f>+HYPERLINK("http://trademark.i-assist.jp/data/china/image_1908th/80112183.pdf", "80112183")</f>
        <v>80112183</v>
      </c>
      <c r="F2236" s="11" t="s">
        <v>6279</v>
      </c>
      <c r="G2236" s="11" t="s">
        <v>6280</v>
      </c>
      <c r="H2236" s="11" t="s">
        <v>6281</v>
      </c>
      <c r="I2236" s="11" t="s">
        <v>6077</v>
      </c>
    </row>
    <row r="2237" spans="1:9" x14ac:dyDescent="0.15">
      <c r="A2237" s="10">
        <v>2236</v>
      </c>
      <c r="B2237" s="11" t="s">
        <v>9</v>
      </c>
      <c r="C2237" s="11" t="s">
        <v>179</v>
      </c>
      <c r="D2237" s="11" t="s">
        <v>180</v>
      </c>
      <c r="E2237" s="9" t="str">
        <f>+HYPERLINK("http://trademark.i-assist.jp/data/china/image_1908th/80112213.pdf", "80112213")</f>
        <v>80112213</v>
      </c>
      <c r="F2237" s="11" t="s">
        <v>6282</v>
      </c>
      <c r="G2237" s="11" t="s">
        <v>6179</v>
      </c>
      <c r="H2237" s="11" t="s">
        <v>6283</v>
      </c>
      <c r="I2237" s="11" t="s">
        <v>6077</v>
      </c>
    </row>
    <row r="2238" spans="1:9" x14ac:dyDescent="0.15">
      <c r="A2238" s="10">
        <v>2237</v>
      </c>
      <c r="B2238" s="11" t="s">
        <v>9</v>
      </c>
      <c r="C2238" s="11" t="s">
        <v>179</v>
      </c>
      <c r="D2238" s="11" t="s">
        <v>180</v>
      </c>
      <c r="E2238" s="9" t="str">
        <f>+HYPERLINK("http://trademark.i-assist.jp/data/china/image_1908th/80112574.pdf", "80112574")</f>
        <v>80112574</v>
      </c>
      <c r="F2238" s="11" t="s">
        <v>6284</v>
      </c>
      <c r="G2238" s="11" t="s">
        <v>6247</v>
      </c>
      <c r="H2238" s="11" t="s">
        <v>6285</v>
      </c>
      <c r="I2238" s="11" t="s">
        <v>6077</v>
      </c>
    </row>
    <row r="2239" spans="1:9" x14ac:dyDescent="0.15">
      <c r="A2239" s="10">
        <v>2238</v>
      </c>
      <c r="B2239" s="11" t="s">
        <v>9</v>
      </c>
      <c r="C2239" s="11" t="s">
        <v>179</v>
      </c>
      <c r="D2239" s="11" t="s">
        <v>180</v>
      </c>
      <c r="E2239" s="9" t="str">
        <f>+HYPERLINK("http://trademark.i-assist.jp/data/china/image_1908th/80112804.pdf", "80112804")</f>
        <v>80112804</v>
      </c>
      <c r="F2239" s="11" t="s">
        <v>6286</v>
      </c>
      <c r="G2239" s="11" t="s">
        <v>6287</v>
      </c>
      <c r="H2239" s="11" t="s">
        <v>6288</v>
      </c>
      <c r="I2239" s="11" t="s">
        <v>6077</v>
      </c>
    </row>
    <row r="2240" spans="1:9" x14ac:dyDescent="0.15">
      <c r="A2240" s="10">
        <v>2239</v>
      </c>
      <c r="B2240" s="11" t="s">
        <v>9</v>
      </c>
      <c r="C2240" s="11" t="s">
        <v>179</v>
      </c>
      <c r="D2240" s="11" t="s">
        <v>180</v>
      </c>
      <c r="E2240" s="9" t="str">
        <f>+HYPERLINK("http://trademark.i-assist.jp/data/china/image_1908th/80113074.pdf", "80113074")</f>
        <v>80113074</v>
      </c>
      <c r="F2240" s="11" t="s">
        <v>6289</v>
      </c>
      <c r="G2240" s="11" t="s">
        <v>6290</v>
      </c>
      <c r="H2240" s="11" t="s">
        <v>6291</v>
      </c>
      <c r="I2240" s="11" t="s">
        <v>6077</v>
      </c>
    </row>
    <row r="2241" spans="1:9" x14ac:dyDescent="0.15">
      <c r="A2241" s="10">
        <v>2240</v>
      </c>
      <c r="B2241" s="11" t="s">
        <v>9</v>
      </c>
      <c r="C2241" s="11" t="s">
        <v>179</v>
      </c>
      <c r="D2241" s="11" t="s">
        <v>180</v>
      </c>
      <c r="E2241" s="9" t="str">
        <f>+HYPERLINK("http://trademark.i-assist.jp/data/china/image_1908th/80113158.pdf", "80113158")</f>
        <v>80113158</v>
      </c>
      <c r="F2241" s="11" t="s">
        <v>6292</v>
      </c>
      <c r="G2241" s="11" t="s">
        <v>6293</v>
      </c>
      <c r="H2241" s="11" t="s">
        <v>6294</v>
      </c>
      <c r="I2241" s="11" t="s">
        <v>6077</v>
      </c>
    </row>
    <row r="2242" spans="1:9" x14ac:dyDescent="0.15">
      <c r="A2242" s="10">
        <v>2241</v>
      </c>
      <c r="B2242" s="11" t="s">
        <v>9</v>
      </c>
      <c r="C2242" s="11" t="s">
        <v>179</v>
      </c>
      <c r="D2242" s="11" t="s">
        <v>180</v>
      </c>
      <c r="E2242" s="9" t="str">
        <f>+HYPERLINK("http://trademark.i-assist.jp/data/china/image_1908th/80113677.pdf", "80113677")</f>
        <v>80113677</v>
      </c>
      <c r="F2242" s="11" t="s">
        <v>6295</v>
      </c>
      <c r="G2242" s="11" t="s">
        <v>6296</v>
      </c>
      <c r="H2242" s="11" t="s">
        <v>6297</v>
      </c>
      <c r="I2242" s="11" t="s">
        <v>6077</v>
      </c>
    </row>
    <row r="2243" spans="1:9" x14ac:dyDescent="0.15">
      <c r="A2243" s="10">
        <v>2242</v>
      </c>
      <c r="B2243" s="11" t="s">
        <v>9</v>
      </c>
      <c r="C2243" s="11" t="s">
        <v>179</v>
      </c>
      <c r="D2243" s="11" t="s">
        <v>180</v>
      </c>
      <c r="E2243" s="9" t="str">
        <f>+HYPERLINK("http://trademark.i-assist.jp/data/china/image_1908th/80113959.pdf", "80113959")</f>
        <v>80113959</v>
      </c>
      <c r="F2243" s="11" t="s">
        <v>6298</v>
      </c>
      <c r="G2243" s="11" t="s">
        <v>6299</v>
      </c>
      <c r="H2243" s="11" t="s">
        <v>6300</v>
      </c>
      <c r="I2243" s="11" t="s">
        <v>6077</v>
      </c>
    </row>
    <row r="2244" spans="1:9" x14ac:dyDescent="0.15">
      <c r="A2244" s="10">
        <v>2243</v>
      </c>
      <c r="B2244" s="11" t="s">
        <v>9</v>
      </c>
      <c r="C2244" s="11" t="s">
        <v>179</v>
      </c>
      <c r="D2244" s="11" t="s">
        <v>180</v>
      </c>
      <c r="E2244" s="9" t="str">
        <f>+HYPERLINK("http://trademark.i-assist.jp/data/china/image_1908th/80113978.pdf", "80113978")</f>
        <v>80113978</v>
      </c>
      <c r="F2244" s="11" t="s">
        <v>6301</v>
      </c>
      <c r="G2244" s="11" t="s">
        <v>6302</v>
      </c>
      <c r="H2244" s="11" t="s">
        <v>6303</v>
      </c>
      <c r="I2244" s="11" t="s">
        <v>6077</v>
      </c>
    </row>
    <row r="2245" spans="1:9" x14ac:dyDescent="0.15">
      <c r="A2245" s="10">
        <v>2244</v>
      </c>
      <c r="B2245" s="11" t="s">
        <v>9</v>
      </c>
      <c r="C2245" s="11" t="s">
        <v>179</v>
      </c>
      <c r="D2245" s="11" t="s">
        <v>180</v>
      </c>
      <c r="E2245" s="9" t="str">
        <f>+HYPERLINK("http://trademark.i-assist.jp/data/china/image_1908th/80113990.pdf", "80113990")</f>
        <v>80113990</v>
      </c>
      <c r="F2245" s="11" t="s">
        <v>6304</v>
      </c>
      <c r="G2245" s="11" t="s">
        <v>6305</v>
      </c>
      <c r="H2245" s="11" t="s">
        <v>6306</v>
      </c>
      <c r="I2245" s="11" t="s">
        <v>6077</v>
      </c>
    </row>
    <row r="2246" spans="1:9" x14ac:dyDescent="0.15">
      <c r="A2246" s="10">
        <v>2245</v>
      </c>
      <c r="B2246" s="11" t="s">
        <v>9</v>
      </c>
      <c r="C2246" s="11" t="s">
        <v>179</v>
      </c>
      <c r="D2246" s="11" t="s">
        <v>180</v>
      </c>
      <c r="E2246" s="9" t="str">
        <f>+HYPERLINK("http://trademark.i-assist.jp/data/china/image_1908th/80114175.pdf", "80114175")</f>
        <v>80114175</v>
      </c>
      <c r="F2246" s="11" t="s">
        <v>6307</v>
      </c>
      <c r="G2246" s="11" t="s">
        <v>6308</v>
      </c>
      <c r="H2246" s="11" t="s">
        <v>6309</v>
      </c>
      <c r="I2246" s="11" t="s">
        <v>6077</v>
      </c>
    </row>
    <row r="2247" spans="1:9" x14ac:dyDescent="0.15">
      <c r="A2247" s="10">
        <v>2246</v>
      </c>
      <c r="B2247" s="11" t="s">
        <v>9</v>
      </c>
      <c r="C2247" s="11" t="s">
        <v>179</v>
      </c>
      <c r="D2247" s="11" t="s">
        <v>180</v>
      </c>
      <c r="E2247" s="9" t="str">
        <f>+HYPERLINK("http://trademark.i-assist.jp/data/china/image_1908th/80114705.pdf", "80114705")</f>
        <v>80114705</v>
      </c>
      <c r="F2247" s="11" t="s">
        <v>6310</v>
      </c>
      <c r="G2247" s="11" t="s">
        <v>6311</v>
      </c>
      <c r="H2247" s="11" t="s">
        <v>6312</v>
      </c>
      <c r="I2247" s="11" t="s">
        <v>6077</v>
      </c>
    </row>
    <row r="2248" spans="1:9" x14ac:dyDescent="0.15">
      <c r="A2248" s="10">
        <v>2247</v>
      </c>
      <c r="B2248" s="11" t="s">
        <v>9</v>
      </c>
      <c r="C2248" s="11" t="s">
        <v>179</v>
      </c>
      <c r="D2248" s="11" t="s">
        <v>180</v>
      </c>
      <c r="E2248" s="9" t="str">
        <f>+HYPERLINK("http://trademark.i-assist.jp/data/china/image_1908th/80114956.pdf", "80114956")</f>
        <v>80114956</v>
      </c>
      <c r="F2248" s="11" t="s">
        <v>6313</v>
      </c>
      <c r="G2248" s="11" t="s">
        <v>6314</v>
      </c>
      <c r="H2248" s="11" t="s">
        <v>6315</v>
      </c>
      <c r="I2248" s="11" t="s">
        <v>6077</v>
      </c>
    </row>
    <row r="2249" spans="1:9" x14ac:dyDescent="0.15">
      <c r="A2249" s="10">
        <v>2248</v>
      </c>
      <c r="B2249" s="11" t="s">
        <v>9</v>
      </c>
      <c r="C2249" s="11" t="s">
        <v>179</v>
      </c>
      <c r="D2249" s="11" t="s">
        <v>180</v>
      </c>
      <c r="E2249" s="9" t="str">
        <f>+HYPERLINK("http://trademark.i-assist.jp/data/china/image_1908th/80115393.pdf", "80115393")</f>
        <v>80115393</v>
      </c>
      <c r="F2249" s="11" t="s">
        <v>6316</v>
      </c>
      <c r="G2249" s="11" t="s">
        <v>6247</v>
      </c>
      <c r="H2249" s="11" t="s">
        <v>6317</v>
      </c>
      <c r="I2249" s="11" t="s">
        <v>6077</v>
      </c>
    </row>
    <row r="2250" spans="1:9" x14ac:dyDescent="0.15">
      <c r="A2250" s="10">
        <v>2249</v>
      </c>
      <c r="B2250" s="11" t="s">
        <v>9</v>
      </c>
      <c r="C2250" s="11" t="s">
        <v>179</v>
      </c>
      <c r="D2250" s="11" t="s">
        <v>180</v>
      </c>
      <c r="E2250" s="9" t="str">
        <f>+HYPERLINK("http://trademark.i-assist.jp/data/china/image_1908th/80115686.pdf", "80115686")</f>
        <v>80115686</v>
      </c>
      <c r="F2250" s="11" t="s">
        <v>6318</v>
      </c>
      <c r="G2250" s="11" t="s">
        <v>6319</v>
      </c>
      <c r="H2250" s="11" t="s">
        <v>6320</v>
      </c>
      <c r="I2250" s="11" t="s">
        <v>6077</v>
      </c>
    </row>
    <row r="2251" spans="1:9" x14ac:dyDescent="0.15">
      <c r="A2251" s="10">
        <v>2250</v>
      </c>
      <c r="B2251" s="11" t="s">
        <v>9</v>
      </c>
      <c r="C2251" s="11" t="s">
        <v>179</v>
      </c>
      <c r="D2251" s="11" t="s">
        <v>180</v>
      </c>
      <c r="E2251" s="9" t="str">
        <f>+HYPERLINK("http://trademark.i-assist.jp/data/china/image_1908th/80115760.pdf", "80115760")</f>
        <v>80115760</v>
      </c>
      <c r="F2251" s="11" t="s">
        <v>6321</v>
      </c>
      <c r="G2251" s="11" t="s">
        <v>6322</v>
      </c>
      <c r="H2251" s="11" t="s">
        <v>6323</v>
      </c>
      <c r="I2251" s="11" t="s">
        <v>6077</v>
      </c>
    </row>
    <row r="2252" spans="1:9" x14ac:dyDescent="0.15">
      <c r="A2252" s="10">
        <v>2251</v>
      </c>
      <c r="B2252" s="11" t="s">
        <v>9</v>
      </c>
      <c r="C2252" s="11" t="s">
        <v>179</v>
      </c>
      <c r="D2252" s="11" t="s">
        <v>180</v>
      </c>
      <c r="E2252" s="9" t="str">
        <f>+HYPERLINK("http://trademark.i-assist.jp/data/china/image_1908th/80115769.pdf", "80115769")</f>
        <v>80115769</v>
      </c>
      <c r="F2252" s="11" t="s">
        <v>6324</v>
      </c>
      <c r="G2252" s="11" t="s">
        <v>6325</v>
      </c>
      <c r="H2252" s="11" t="s">
        <v>6326</v>
      </c>
      <c r="I2252" s="11" t="s">
        <v>6077</v>
      </c>
    </row>
    <row r="2253" spans="1:9" x14ac:dyDescent="0.15">
      <c r="A2253" s="10">
        <v>2252</v>
      </c>
      <c r="B2253" s="11" t="s">
        <v>9</v>
      </c>
      <c r="C2253" s="11" t="s">
        <v>179</v>
      </c>
      <c r="D2253" s="11" t="s">
        <v>180</v>
      </c>
      <c r="E2253" s="9" t="str">
        <f>+HYPERLINK("http://trademark.i-assist.jp/data/china/image_1908th/80115979.pdf", "80115979")</f>
        <v>80115979</v>
      </c>
      <c r="F2253" s="11" t="s">
        <v>6327</v>
      </c>
      <c r="G2253" s="11" t="s">
        <v>6328</v>
      </c>
      <c r="H2253" s="11" t="s">
        <v>6329</v>
      </c>
      <c r="I2253" s="11" t="s">
        <v>6077</v>
      </c>
    </row>
    <row r="2254" spans="1:9" x14ac:dyDescent="0.15">
      <c r="A2254" s="10">
        <v>2253</v>
      </c>
      <c r="B2254" s="11" t="s">
        <v>9</v>
      </c>
      <c r="C2254" s="11" t="s">
        <v>179</v>
      </c>
      <c r="D2254" s="11" t="s">
        <v>180</v>
      </c>
      <c r="E2254" s="9" t="str">
        <f>+HYPERLINK("http://trademark.i-assist.jp/data/china/image_1908th/80116260.pdf", "80116260")</f>
        <v>80116260</v>
      </c>
      <c r="F2254" s="11" t="s">
        <v>6330</v>
      </c>
      <c r="G2254" s="11" t="s">
        <v>6209</v>
      </c>
      <c r="H2254" s="11" t="s">
        <v>6331</v>
      </c>
      <c r="I2254" s="11" t="s">
        <v>6077</v>
      </c>
    </row>
    <row r="2255" spans="1:9" x14ac:dyDescent="0.15">
      <c r="A2255" s="10">
        <v>2254</v>
      </c>
      <c r="B2255" s="11" t="s">
        <v>9</v>
      </c>
      <c r="C2255" s="11" t="s">
        <v>179</v>
      </c>
      <c r="D2255" s="11" t="s">
        <v>180</v>
      </c>
      <c r="E2255" s="9" t="str">
        <f>+HYPERLINK("http://trademark.i-assist.jp/data/china/image_1908th/80116785.pdf", "80116785")</f>
        <v>80116785</v>
      </c>
      <c r="F2255" s="11" t="s">
        <v>10</v>
      </c>
      <c r="G2255" s="11" t="s">
        <v>6087</v>
      </c>
      <c r="H2255" s="11" t="s">
        <v>6332</v>
      </c>
      <c r="I2255" s="11" t="s">
        <v>6077</v>
      </c>
    </row>
    <row r="2256" spans="1:9" x14ac:dyDescent="0.15">
      <c r="A2256" s="10">
        <v>2255</v>
      </c>
      <c r="B2256" s="11" t="s">
        <v>9</v>
      </c>
      <c r="C2256" s="11" t="s">
        <v>179</v>
      </c>
      <c r="D2256" s="11" t="s">
        <v>180</v>
      </c>
      <c r="E2256" s="9" t="str">
        <f>+HYPERLINK("http://trademark.i-assist.jp/data/china/image_1908th/80117085.pdf", "80117085")</f>
        <v>80117085</v>
      </c>
      <c r="F2256" s="11" t="s">
        <v>6333</v>
      </c>
      <c r="G2256" s="11" t="s">
        <v>6334</v>
      </c>
      <c r="H2256" s="11" t="s">
        <v>6335</v>
      </c>
      <c r="I2256" s="11" t="s">
        <v>6077</v>
      </c>
    </row>
    <row r="2257" spans="1:9" x14ac:dyDescent="0.15">
      <c r="A2257" s="10">
        <v>2256</v>
      </c>
      <c r="B2257" s="11" t="s">
        <v>9</v>
      </c>
      <c r="C2257" s="11" t="s">
        <v>179</v>
      </c>
      <c r="D2257" s="11" t="s">
        <v>180</v>
      </c>
      <c r="E2257" s="9" t="str">
        <f>+HYPERLINK("http://trademark.i-assist.jp/data/china/image_1908th/80117707.pdf", "80117707")</f>
        <v>80117707</v>
      </c>
      <c r="F2257" s="11" t="s">
        <v>6336</v>
      </c>
      <c r="G2257" s="11" t="s">
        <v>6337</v>
      </c>
      <c r="H2257" s="11" t="s">
        <v>6338</v>
      </c>
      <c r="I2257" s="11" t="s">
        <v>6077</v>
      </c>
    </row>
    <row r="2258" spans="1:9" x14ac:dyDescent="0.15">
      <c r="A2258" s="10">
        <v>2257</v>
      </c>
      <c r="B2258" s="11" t="s">
        <v>9</v>
      </c>
      <c r="C2258" s="11" t="s">
        <v>179</v>
      </c>
      <c r="D2258" s="11" t="s">
        <v>180</v>
      </c>
      <c r="E2258" s="9" t="str">
        <f>+HYPERLINK("http://trademark.i-assist.jp/data/china/image_1908th/80118110.pdf", "80118110")</f>
        <v>80118110</v>
      </c>
      <c r="F2258" s="11" t="s">
        <v>6339</v>
      </c>
      <c r="G2258" s="11" t="s">
        <v>6340</v>
      </c>
      <c r="H2258" s="11" t="s">
        <v>6341</v>
      </c>
      <c r="I2258" s="11" t="s">
        <v>6077</v>
      </c>
    </row>
    <row r="2259" spans="1:9" x14ac:dyDescent="0.15">
      <c r="A2259" s="10">
        <v>2258</v>
      </c>
      <c r="B2259" s="11" t="s">
        <v>9</v>
      </c>
      <c r="C2259" s="11" t="s">
        <v>179</v>
      </c>
      <c r="D2259" s="11" t="s">
        <v>180</v>
      </c>
      <c r="E2259" s="9" t="str">
        <f>+HYPERLINK("http://trademark.i-assist.jp/data/china/image_1908th/80118385.pdf", "80118385")</f>
        <v>80118385</v>
      </c>
      <c r="F2259" s="11" t="s">
        <v>6342</v>
      </c>
      <c r="G2259" s="11" t="s">
        <v>6087</v>
      </c>
      <c r="H2259" s="11" t="s">
        <v>6343</v>
      </c>
      <c r="I2259" s="11" t="s">
        <v>6077</v>
      </c>
    </row>
    <row r="2260" spans="1:9" x14ac:dyDescent="0.15">
      <c r="A2260" s="10">
        <v>2259</v>
      </c>
      <c r="B2260" s="11" t="s">
        <v>9</v>
      </c>
      <c r="C2260" s="11" t="s">
        <v>179</v>
      </c>
      <c r="D2260" s="11" t="s">
        <v>180</v>
      </c>
      <c r="E2260" s="9" t="str">
        <f>+HYPERLINK("http://trademark.i-assist.jp/data/china/image_1908th/80118464.pdf", "80118464")</f>
        <v>80118464</v>
      </c>
      <c r="F2260" s="11" t="s">
        <v>6344</v>
      </c>
      <c r="G2260" s="11" t="s">
        <v>6085</v>
      </c>
      <c r="H2260" s="11" t="s">
        <v>6345</v>
      </c>
      <c r="I2260" s="11" t="s">
        <v>6077</v>
      </c>
    </row>
    <row r="2261" spans="1:9" x14ac:dyDescent="0.15">
      <c r="A2261" s="10">
        <v>2260</v>
      </c>
      <c r="B2261" s="11" t="s">
        <v>9</v>
      </c>
      <c r="C2261" s="11" t="s">
        <v>179</v>
      </c>
      <c r="D2261" s="11" t="s">
        <v>180</v>
      </c>
      <c r="E2261" s="9" t="str">
        <f>+HYPERLINK("http://trademark.i-assist.jp/data/china/image_1908th/80118468.pdf", "80118468")</f>
        <v>80118468</v>
      </c>
      <c r="F2261" s="11" t="s">
        <v>10</v>
      </c>
      <c r="G2261" s="11" t="s">
        <v>6087</v>
      </c>
      <c r="H2261" s="11" t="s">
        <v>6346</v>
      </c>
      <c r="I2261" s="11" t="s">
        <v>6077</v>
      </c>
    </row>
    <row r="2262" spans="1:9" x14ac:dyDescent="0.15">
      <c r="A2262" s="10">
        <v>2261</v>
      </c>
      <c r="B2262" s="11" t="s">
        <v>9</v>
      </c>
      <c r="C2262" s="11" t="s">
        <v>179</v>
      </c>
      <c r="D2262" s="11" t="s">
        <v>180</v>
      </c>
      <c r="E2262" s="9" t="str">
        <f>+HYPERLINK("http://trademark.i-assist.jp/data/china/image_1908th/80118474.pdf", "80118474")</f>
        <v>80118474</v>
      </c>
      <c r="F2262" s="11" t="s">
        <v>10</v>
      </c>
      <c r="G2262" s="11" t="s">
        <v>6087</v>
      </c>
      <c r="H2262" s="11" t="s">
        <v>6347</v>
      </c>
      <c r="I2262" s="11" t="s">
        <v>6077</v>
      </c>
    </row>
    <row r="2263" spans="1:9" x14ac:dyDescent="0.15">
      <c r="A2263" s="10">
        <v>2262</v>
      </c>
      <c r="B2263" s="11" t="s">
        <v>9</v>
      </c>
      <c r="C2263" s="11" t="s">
        <v>179</v>
      </c>
      <c r="D2263" s="11" t="s">
        <v>180</v>
      </c>
      <c r="E2263" s="9" t="str">
        <f>+HYPERLINK("http://trademark.i-assist.jp/data/china/image_1908th/80119168.pdf", "80119168")</f>
        <v>80119168</v>
      </c>
      <c r="F2263" s="11" t="s">
        <v>6348</v>
      </c>
      <c r="G2263" s="11" t="s">
        <v>6287</v>
      </c>
      <c r="H2263" s="11" t="s">
        <v>6349</v>
      </c>
      <c r="I2263" s="11" t="s">
        <v>6077</v>
      </c>
    </row>
    <row r="2264" spans="1:9" x14ac:dyDescent="0.15">
      <c r="A2264" s="10">
        <v>2263</v>
      </c>
      <c r="B2264" s="11" t="s">
        <v>9</v>
      </c>
      <c r="C2264" s="11" t="s">
        <v>179</v>
      </c>
      <c r="D2264" s="11" t="s">
        <v>180</v>
      </c>
      <c r="E2264" s="9" t="str">
        <f>+HYPERLINK("http://trademark.i-assist.jp/data/china/image_1908th/80119209.pdf", "80119209")</f>
        <v>80119209</v>
      </c>
      <c r="F2264" s="11" t="s">
        <v>6350</v>
      </c>
      <c r="G2264" s="11" t="s">
        <v>6209</v>
      </c>
      <c r="H2264" s="11" t="s">
        <v>6351</v>
      </c>
      <c r="I2264" s="11" t="s">
        <v>6077</v>
      </c>
    </row>
    <row r="2265" spans="1:9" x14ac:dyDescent="0.15">
      <c r="A2265" s="10">
        <v>2264</v>
      </c>
      <c r="B2265" s="11" t="s">
        <v>9</v>
      </c>
      <c r="C2265" s="11" t="s">
        <v>179</v>
      </c>
      <c r="D2265" s="11" t="s">
        <v>180</v>
      </c>
      <c r="E2265" s="9" t="str">
        <f>+HYPERLINK("http://trademark.i-assist.jp/data/china/image_1908th/80119285.pdf", "80119285")</f>
        <v>80119285</v>
      </c>
      <c r="F2265" s="11" t="s">
        <v>6352</v>
      </c>
      <c r="G2265" s="11" t="s">
        <v>6353</v>
      </c>
      <c r="H2265" s="11" t="s">
        <v>6354</v>
      </c>
      <c r="I2265" s="11" t="s">
        <v>6077</v>
      </c>
    </row>
    <row r="2266" spans="1:9" x14ac:dyDescent="0.15">
      <c r="A2266" s="10">
        <v>2265</v>
      </c>
      <c r="B2266" s="11" t="s">
        <v>9</v>
      </c>
      <c r="C2266" s="11" t="s">
        <v>179</v>
      </c>
      <c r="D2266" s="11" t="s">
        <v>180</v>
      </c>
      <c r="E2266" s="9" t="str">
        <f>+HYPERLINK("http://trademark.i-assist.jp/data/china/image_1908th/80119320.pdf", "80119320")</f>
        <v>80119320</v>
      </c>
      <c r="F2266" s="11" t="s">
        <v>6355</v>
      </c>
      <c r="G2266" s="11" t="s">
        <v>6356</v>
      </c>
      <c r="H2266" s="11" t="s">
        <v>6357</v>
      </c>
      <c r="I2266" s="11" t="s">
        <v>6077</v>
      </c>
    </row>
    <row r="2267" spans="1:9" x14ac:dyDescent="0.15">
      <c r="A2267" s="10">
        <v>2266</v>
      </c>
      <c r="B2267" s="11" t="s">
        <v>9</v>
      </c>
      <c r="C2267" s="11" t="s">
        <v>179</v>
      </c>
      <c r="D2267" s="11" t="s">
        <v>180</v>
      </c>
      <c r="E2267" s="9" t="str">
        <f>+HYPERLINK("http://trademark.i-assist.jp/data/china/image_1908th/80119565.pdf", "80119565")</f>
        <v>80119565</v>
      </c>
      <c r="F2267" s="11" t="s">
        <v>6358</v>
      </c>
      <c r="G2267" s="11" t="s">
        <v>6142</v>
      </c>
      <c r="H2267" s="11" t="s">
        <v>6359</v>
      </c>
      <c r="I2267" s="11" t="s">
        <v>6077</v>
      </c>
    </row>
    <row r="2268" spans="1:9" x14ac:dyDescent="0.15">
      <c r="A2268" s="10">
        <v>2267</v>
      </c>
      <c r="B2268" s="11" t="s">
        <v>9</v>
      </c>
      <c r="C2268" s="11" t="s">
        <v>179</v>
      </c>
      <c r="D2268" s="11" t="s">
        <v>180</v>
      </c>
      <c r="E2268" s="9" t="str">
        <f>+HYPERLINK("http://trademark.i-assist.jp/data/china/image_1908th/80120107.pdf", "80120107")</f>
        <v>80120107</v>
      </c>
      <c r="F2268" s="11" t="s">
        <v>6360</v>
      </c>
      <c r="G2268" s="11" t="s">
        <v>6361</v>
      </c>
      <c r="H2268" s="11" t="s">
        <v>6362</v>
      </c>
      <c r="I2268" s="11" t="s">
        <v>6363</v>
      </c>
    </row>
    <row r="2269" spans="1:9" x14ac:dyDescent="0.15">
      <c r="A2269" s="10">
        <v>2268</v>
      </c>
      <c r="B2269" s="11" t="s">
        <v>9</v>
      </c>
      <c r="C2269" s="11" t="s">
        <v>179</v>
      </c>
      <c r="D2269" s="11" t="s">
        <v>180</v>
      </c>
      <c r="E2269" s="9" t="str">
        <f>+HYPERLINK("http://trademark.i-assist.jp/data/china/image_1908th/80120119.pdf", "80120119")</f>
        <v>80120119</v>
      </c>
      <c r="F2269" s="11" t="s">
        <v>6364</v>
      </c>
      <c r="G2269" s="11" t="s">
        <v>6361</v>
      </c>
      <c r="H2269" s="11" t="s">
        <v>6365</v>
      </c>
      <c r="I2269" s="11" t="s">
        <v>6363</v>
      </c>
    </row>
    <row r="2270" spans="1:9" x14ac:dyDescent="0.15">
      <c r="A2270" s="10">
        <v>2269</v>
      </c>
      <c r="B2270" s="11" t="s">
        <v>9</v>
      </c>
      <c r="C2270" s="11" t="s">
        <v>179</v>
      </c>
      <c r="D2270" s="11" t="s">
        <v>180</v>
      </c>
      <c r="E2270" s="9" t="str">
        <f>+HYPERLINK("http://trademark.i-assist.jp/data/china/image_1908th/80120433.pdf", "80120433")</f>
        <v>80120433</v>
      </c>
      <c r="F2270" s="11" t="s">
        <v>6366</v>
      </c>
      <c r="G2270" s="11" t="s">
        <v>6367</v>
      </c>
      <c r="H2270" s="11" t="s">
        <v>6368</v>
      </c>
      <c r="I2270" s="11" t="s">
        <v>6363</v>
      </c>
    </row>
    <row r="2271" spans="1:9" x14ac:dyDescent="0.15">
      <c r="A2271" s="10">
        <v>2270</v>
      </c>
      <c r="B2271" s="11" t="s">
        <v>9</v>
      </c>
      <c r="C2271" s="11" t="s">
        <v>179</v>
      </c>
      <c r="D2271" s="11" t="s">
        <v>180</v>
      </c>
      <c r="E2271" s="9" t="str">
        <f>+HYPERLINK("http://trademark.i-assist.jp/data/china/image_1908th/80120554.pdf", "80120554")</f>
        <v>80120554</v>
      </c>
      <c r="F2271" s="11" t="s">
        <v>6369</v>
      </c>
      <c r="G2271" s="11" t="s">
        <v>6370</v>
      </c>
      <c r="H2271" s="11" t="s">
        <v>6371</v>
      </c>
      <c r="I2271" s="11" t="s">
        <v>6363</v>
      </c>
    </row>
    <row r="2272" spans="1:9" x14ac:dyDescent="0.15">
      <c r="A2272" s="10">
        <v>2271</v>
      </c>
      <c r="B2272" s="11" t="s">
        <v>9</v>
      </c>
      <c r="C2272" s="11" t="s">
        <v>179</v>
      </c>
      <c r="D2272" s="11" t="s">
        <v>180</v>
      </c>
      <c r="E2272" s="9" t="str">
        <f>+HYPERLINK("http://trademark.i-assist.jp/data/china/image_1908th/80120772.pdf", "80120772")</f>
        <v>80120772</v>
      </c>
      <c r="F2272" s="11" t="s">
        <v>6372</v>
      </c>
      <c r="G2272" s="11" t="s">
        <v>127</v>
      </c>
      <c r="H2272" s="11" t="s">
        <v>6373</v>
      </c>
      <c r="I2272" s="11" t="s">
        <v>6363</v>
      </c>
    </row>
    <row r="2273" spans="1:9" x14ac:dyDescent="0.15">
      <c r="A2273" s="10">
        <v>2272</v>
      </c>
      <c r="B2273" s="11" t="s">
        <v>9</v>
      </c>
      <c r="C2273" s="11" t="s">
        <v>179</v>
      </c>
      <c r="D2273" s="11" t="s">
        <v>180</v>
      </c>
      <c r="E2273" s="9" t="str">
        <f>+HYPERLINK("http://trademark.i-assist.jp/data/china/image_1908th/80121003.pdf", "80121003")</f>
        <v>80121003</v>
      </c>
      <c r="F2273" s="11" t="s">
        <v>6374</v>
      </c>
      <c r="G2273" s="11" t="s">
        <v>6375</v>
      </c>
      <c r="H2273" s="11" t="s">
        <v>6376</v>
      </c>
      <c r="I2273" s="11" t="s">
        <v>6363</v>
      </c>
    </row>
    <row r="2274" spans="1:9" x14ac:dyDescent="0.15">
      <c r="A2274" s="10">
        <v>2273</v>
      </c>
      <c r="B2274" s="11" t="s">
        <v>9</v>
      </c>
      <c r="C2274" s="11" t="s">
        <v>179</v>
      </c>
      <c r="D2274" s="11" t="s">
        <v>180</v>
      </c>
      <c r="E2274" s="9" t="str">
        <f>+HYPERLINK("http://trademark.i-assist.jp/data/china/image_1908th/80121737.pdf", "80121737")</f>
        <v>80121737</v>
      </c>
      <c r="F2274" s="11" t="s">
        <v>6377</v>
      </c>
      <c r="G2274" s="11" t="s">
        <v>4696</v>
      </c>
      <c r="H2274" s="11" t="s">
        <v>6378</v>
      </c>
      <c r="I2274" s="11" t="s">
        <v>6363</v>
      </c>
    </row>
    <row r="2275" spans="1:9" x14ac:dyDescent="0.15">
      <c r="A2275" s="10">
        <v>2274</v>
      </c>
      <c r="B2275" s="11" t="s">
        <v>9</v>
      </c>
      <c r="C2275" s="11" t="s">
        <v>179</v>
      </c>
      <c r="D2275" s="11" t="s">
        <v>180</v>
      </c>
      <c r="E2275" s="9" t="str">
        <f>+HYPERLINK("http://trademark.i-assist.jp/data/china/image_1908th/80121793.pdf", "80121793")</f>
        <v>80121793</v>
      </c>
      <c r="F2275" s="11" t="s">
        <v>6379</v>
      </c>
      <c r="G2275" s="11" t="s">
        <v>6380</v>
      </c>
      <c r="H2275" s="11" t="s">
        <v>6381</v>
      </c>
      <c r="I2275" s="11" t="s">
        <v>6363</v>
      </c>
    </row>
    <row r="2276" spans="1:9" x14ac:dyDescent="0.15">
      <c r="A2276" s="10">
        <v>2275</v>
      </c>
      <c r="B2276" s="11" t="s">
        <v>9</v>
      </c>
      <c r="C2276" s="11" t="s">
        <v>179</v>
      </c>
      <c r="D2276" s="11" t="s">
        <v>180</v>
      </c>
      <c r="E2276" s="9" t="str">
        <f>+HYPERLINK("http://trademark.i-assist.jp/data/china/image_1908th/80121961.pdf", "80121961")</f>
        <v>80121961</v>
      </c>
      <c r="F2276" s="11" t="s">
        <v>6382</v>
      </c>
      <c r="G2276" s="11" t="s">
        <v>6383</v>
      </c>
      <c r="H2276" s="11" t="s">
        <v>6384</v>
      </c>
      <c r="I2276" s="11" t="s">
        <v>6363</v>
      </c>
    </row>
    <row r="2277" spans="1:9" x14ac:dyDescent="0.15">
      <c r="A2277" s="10">
        <v>2276</v>
      </c>
      <c r="B2277" s="11" t="s">
        <v>9</v>
      </c>
      <c r="C2277" s="11" t="s">
        <v>179</v>
      </c>
      <c r="D2277" s="11" t="s">
        <v>180</v>
      </c>
      <c r="E2277" s="9" t="str">
        <f>+HYPERLINK("http://trademark.i-assist.jp/data/china/image_1908th/80122145.pdf", "80122145")</f>
        <v>80122145</v>
      </c>
      <c r="F2277" s="11" t="s">
        <v>6385</v>
      </c>
      <c r="G2277" s="11" t="s">
        <v>2511</v>
      </c>
      <c r="H2277" s="11" t="s">
        <v>6386</v>
      </c>
      <c r="I2277" s="11" t="s">
        <v>6363</v>
      </c>
    </row>
    <row r="2278" spans="1:9" x14ac:dyDescent="0.15">
      <c r="A2278" s="10">
        <v>2277</v>
      </c>
      <c r="B2278" s="11" t="s">
        <v>9</v>
      </c>
      <c r="C2278" s="11" t="s">
        <v>179</v>
      </c>
      <c r="D2278" s="11" t="s">
        <v>180</v>
      </c>
      <c r="E2278" s="9" t="str">
        <f>+HYPERLINK("http://trademark.i-assist.jp/data/china/image_1908th/80122220.pdf", "80122220")</f>
        <v>80122220</v>
      </c>
      <c r="F2278" s="11" t="s">
        <v>6387</v>
      </c>
      <c r="G2278" s="11" t="s">
        <v>6388</v>
      </c>
      <c r="H2278" s="11" t="s">
        <v>6389</v>
      </c>
      <c r="I2278" s="11" t="s">
        <v>6363</v>
      </c>
    </row>
    <row r="2279" spans="1:9" x14ac:dyDescent="0.15">
      <c r="A2279" s="10">
        <v>2278</v>
      </c>
      <c r="B2279" s="11" t="s">
        <v>9</v>
      </c>
      <c r="C2279" s="11" t="s">
        <v>179</v>
      </c>
      <c r="D2279" s="11" t="s">
        <v>180</v>
      </c>
      <c r="E2279" s="9" t="str">
        <f>+HYPERLINK("http://trademark.i-assist.jp/data/china/image_1908th/80122353.pdf", "80122353")</f>
        <v>80122353</v>
      </c>
      <c r="F2279" s="11" t="s">
        <v>6390</v>
      </c>
      <c r="G2279" s="11" t="s">
        <v>6391</v>
      </c>
      <c r="H2279" s="11" t="s">
        <v>6392</v>
      </c>
      <c r="I2279" s="11" t="s">
        <v>6363</v>
      </c>
    </row>
    <row r="2280" spans="1:9" x14ac:dyDescent="0.15">
      <c r="A2280" s="10">
        <v>2279</v>
      </c>
      <c r="B2280" s="11" t="s">
        <v>9</v>
      </c>
      <c r="C2280" s="11" t="s">
        <v>179</v>
      </c>
      <c r="D2280" s="11" t="s">
        <v>180</v>
      </c>
      <c r="E2280" s="9" t="str">
        <f>+HYPERLINK("http://trademark.i-assist.jp/data/china/image_1908th/80122543.pdf", "80122543")</f>
        <v>80122543</v>
      </c>
      <c r="F2280" s="11" t="s">
        <v>6393</v>
      </c>
      <c r="G2280" s="11" t="s">
        <v>6394</v>
      </c>
      <c r="H2280" s="11" t="s">
        <v>6395</v>
      </c>
      <c r="I2280" s="11" t="s">
        <v>6363</v>
      </c>
    </row>
    <row r="2281" spans="1:9" x14ac:dyDescent="0.15">
      <c r="A2281" s="10">
        <v>2280</v>
      </c>
      <c r="B2281" s="11" t="s">
        <v>9</v>
      </c>
      <c r="C2281" s="11" t="s">
        <v>179</v>
      </c>
      <c r="D2281" s="11" t="s">
        <v>180</v>
      </c>
      <c r="E2281" s="9" t="str">
        <f>+HYPERLINK("http://trademark.i-assist.jp/data/china/image_1908th/80123870.pdf", "80123870")</f>
        <v>80123870</v>
      </c>
      <c r="F2281" s="11" t="s">
        <v>6396</v>
      </c>
      <c r="G2281" s="11" t="s">
        <v>6397</v>
      </c>
      <c r="H2281" s="11" t="s">
        <v>6398</v>
      </c>
      <c r="I2281" s="11" t="s">
        <v>6363</v>
      </c>
    </row>
    <row r="2282" spans="1:9" x14ac:dyDescent="0.15">
      <c r="A2282" s="10">
        <v>2281</v>
      </c>
      <c r="B2282" s="11" t="s">
        <v>9</v>
      </c>
      <c r="C2282" s="11" t="s">
        <v>179</v>
      </c>
      <c r="D2282" s="11" t="s">
        <v>180</v>
      </c>
      <c r="E2282" s="9" t="str">
        <f>+HYPERLINK("http://trademark.i-assist.jp/data/china/image_1908th/80123894.pdf", "80123894")</f>
        <v>80123894</v>
      </c>
      <c r="F2282" s="11" t="s">
        <v>6399</v>
      </c>
      <c r="G2282" s="11" t="s">
        <v>4696</v>
      </c>
      <c r="H2282" s="11" t="s">
        <v>6400</v>
      </c>
      <c r="I2282" s="11" t="s">
        <v>6363</v>
      </c>
    </row>
    <row r="2283" spans="1:9" x14ac:dyDescent="0.15">
      <c r="A2283" s="10">
        <v>2282</v>
      </c>
      <c r="B2283" s="11" t="s">
        <v>9</v>
      </c>
      <c r="C2283" s="11" t="s">
        <v>179</v>
      </c>
      <c r="D2283" s="11" t="s">
        <v>180</v>
      </c>
      <c r="E2283" s="9" t="str">
        <f>+HYPERLINK("http://trademark.i-assist.jp/data/china/image_1908th/80123915.pdf", "80123915")</f>
        <v>80123915</v>
      </c>
      <c r="F2283" s="11" t="s">
        <v>10</v>
      </c>
      <c r="G2283" s="11" t="s">
        <v>6401</v>
      </c>
      <c r="H2283" s="11" t="s">
        <v>6402</v>
      </c>
      <c r="I2283" s="11" t="s">
        <v>6363</v>
      </c>
    </row>
    <row r="2284" spans="1:9" x14ac:dyDescent="0.15">
      <c r="A2284" s="10">
        <v>2283</v>
      </c>
      <c r="B2284" s="11" t="s">
        <v>9</v>
      </c>
      <c r="C2284" s="11" t="s">
        <v>179</v>
      </c>
      <c r="D2284" s="11" t="s">
        <v>180</v>
      </c>
      <c r="E2284" s="9" t="str">
        <f>+HYPERLINK("http://trademark.i-assist.jp/data/china/image_1908th/80124460.pdf", "80124460")</f>
        <v>80124460</v>
      </c>
      <c r="F2284" s="11" t="s">
        <v>6403</v>
      </c>
      <c r="G2284" s="11" t="s">
        <v>6404</v>
      </c>
      <c r="H2284" s="11" t="s">
        <v>6405</v>
      </c>
      <c r="I2284" s="11" t="s">
        <v>6363</v>
      </c>
    </row>
    <row r="2285" spans="1:9" x14ac:dyDescent="0.15">
      <c r="A2285" s="10">
        <v>2284</v>
      </c>
      <c r="B2285" s="11" t="s">
        <v>9</v>
      </c>
      <c r="C2285" s="11" t="s">
        <v>179</v>
      </c>
      <c r="D2285" s="11" t="s">
        <v>180</v>
      </c>
      <c r="E2285" s="9" t="str">
        <f>+HYPERLINK("http://trademark.i-assist.jp/data/china/image_1908th/80124849.pdf", "80124849")</f>
        <v>80124849</v>
      </c>
      <c r="F2285" s="11" t="s">
        <v>6406</v>
      </c>
      <c r="G2285" s="11" t="s">
        <v>6407</v>
      </c>
      <c r="H2285" s="11" t="s">
        <v>6408</v>
      </c>
      <c r="I2285" s="11" t="s">
        <v>6363</v>
      </c>
    </row>
    <row r="2286" spans="1:9" x14ac:dyDescent="0.15">
      <c r="A2286" s="10">
        <v>2285</v>
      </c>
      <c r="B2286" s="11" t="s">
        <v>9</v>
      </c>
      <c r="C2286" s="11" t="s">
        <v>179</v>
      </c>
      <c r="D2286" s="11" t="s">
        <v>180</v>
      </c>
      <c r="E2286" s="9" t="str">
        <f>+HYPERLINK("http://trademark.i-assist.jp/data/china/image_1908th/80125432.pdf", "80125432")</f>
        <v>80125432</v>
      </c>
      <c r="F2286" s="11" t="s">
        <v>6409</v>
      </c>
      <c r="G2286" s="11" t="s">
        <v>16</v>
      </c>
      <c r="H2286" s="11" t="s">
        <v>6410</v>
      </c>
      <c r="I2286" s="11" t="s">
        <v>6363</v>
      </c>
    </row>
    <row r="2287" spans="1:9" x14ac:dyDescent="0.15">
      <c r="A2287" s="10">
        <v>2286</v>
      </c>
      <c r="B2287" s="11" t="s">
        <v>9</v>
      </c>
      <c r="C2287" s="11" t="s">
        <v>179</v>
      </c>
      <c r="D2287" s="11" t="s">
        <v>180</v>
      </c>
      <c r="E2287" s="9" t="str">
        <f>+HYPERLINK("http://trademark.i-assist.jp/data/china/image_1908th/80125623.pdf", "80125623")</f>
        <v>80125623</v>
      </c>
      <c r="F2287" s="11" t="s">
        <v>6411</v>
      </c>
      <c r="G2287" s="11" t="s">
        <v>6375</v>
      </c>
      <c r="H2287" s="11" t="s">
        <v>6412</v>
      </c>
      <c r="I2287" s="11" t="s">
        <v>6363</v>
      </c>
    </row>
    <row r="2288" spans="1:9" x14ac:dyDescent="0.15">
      <c r="A2288" s="10">
        <v>2287</v>
      </c>
      <c r="B2288" s="11" t="s">
        <v>9</v>
      </c>
      <c r="C2288" s="11" t="s">
        <v>179</v>
      </c>
      <c r="D2288" s="11" t="s">
        <v>180</v>
      </c>
      <c r="E2288" s="9" t="str">
        <f>+HYPERLINK("http://trademark.i-assist.jp/data/china/image_1908th/80125651.pdf", "80125651")</f>
        <v>80125651</v>
      </c>
      <c r="F2288" s="11" t="s">
        <v>6413</v>
      </c>
      <c r="G2288" s="11" t="s">
        <v>4696</v>
      </c>
      <c r="H2288" s="11" t="s">
        <v>6414</v>
      </c>
      <c r="I2288" s="11" t="s">
        <v>6363</v>
      </c>
    </row>
    <row r="2289" spans="1:9" x14ac:dyDescent="0.15">
      <c r="A2289" s="10">
        <v>2288</v>
      </c>
      <c r="B2289" s="11" t="s">
        <v>9</v>
      </c>
      <c r="C2289" s="11" t="s">
        <v>179</v>
      </c>
      <c r="D2289" s="11" t="s">
        <v>180</v>
      </c>
      <c r="E2289" s="9" t="str">
        <f>+HYPERLINK("http://trademark.i-assist.jp/data/china/image_1908th/80125665.pdf", "80125665")</f>
        <v>80125665</v>
      </c>
      <c r="F2289" s="11" t="s">
        <v>6415</v>
      </c>
      <c r="G2289" s="11" t="s">
        <v>4696</v>
      </c>
      <c r="H2289" s="11" t="s">
        <v>6416</v>
      </c>
      <c r="I2289" s="11" t="s">
        <v>6363</v>
      </c>
    </row>
    <row r="2290" spans="1:9" x14ac:dyDescent="0.15">
      <c r="A2290" s="10">
        <v>2289</v>
      </c>
      <c r="B2290" s="11" t="s">
        <v>9</v>
      </c>
      <c r="C2290" s="11" t="s">
        <v>179</v>
      </c>
      <c r="D2290" s="11" t="s">
        <v>180</v>
      </c>
      <c r="E2290" s="9" t="str">
        <f>+HYPERLINK("http://trademark.i-assist.jp/data/china/image_1908th/80125822.pdf", "80125822")</f>
        <v>80125822</v>
      </c>
      <c r="F2290" s="11" t="s">
        <v>6417</v>
      </c>
      <c r="G2290" s="11" t="s">
        <v>6418</v>
      </c>
      <c r="H2290" s="11" t="s">
        <v>6419</v>
      </c>
      <c r="I2290" s="11" t="s">
        <v>6363</v>
      </c>
    </row>
    <row r="2291" spans="1:9" x14ac:dyDescent="0.15">
      <c r="A2291" s="10">
        <v>2290</v>
      </c>
      <c r="B2291" s="11" t="s">
        <v>9</v>
      </c>
      <c r="C2291" s="11" t="s">
        <v>179</v>
      </c>
      <c r="D2291" s="11" t="s">
        <v>180</v>
      </c>
      <c r="E2291" s="9" t="str">
        <f>+HYPERLINK("http://trademark.i-assist.jp/data/china/image_1908th/80126273.pdf", "80126273")</f>
        <v>80126273</v>
      </c>
      <c r="F2291" s="11" t="s">
        <v>6420</v>
      </c>
      <c r="G2291" s="11" t="s">
        <v>6421</v>
      </c>
      <c r="H2291" s="11" t="s">
        <v>6422</v>
      </c>
      <c r="I2291" s="11" t="s">
        <v>6363</v>
      </c>
    </row>
    <row r="2292" spans="1:9" x14ac:dyDescent="0.15">
      <c r="A2292" s="10">
        <v>2291</v>
      </c>
      <c r="B2292" s="11" t="s">
        <v>9</v>
      </c>
      <c r="C2292" s="11" t="s">
        <v>179</v>
      </c>
      <c r="D2292" s="11" t="s">
        <v>180</v>
      </c>
      <c r="E2292" s="9" t="str">
        <f>+HYPERLINK("http://trademark.i-assist.jp/data/china/image_1908th/80126343.pdf", "80126343")</f>
        <v>80126343</v>
      </c>
      <c r="F2292" s="11" t="s">
        <v>10</v>
      </c>
      <c r="G2292" s="11" t="s">
        <v>6423</v>
      </c>
      <c r="H2292" s="11" t="s">
        <v>6424</v>
      </c>
      <c r="I2292" s="11" t="s">
        <v>6363</v>
      </c>
    </row>
    <row r="2293" spans="1:9" x14ac:dyDescent="0.15">
      <c r="A2293" s="10">
        <v>2292</v>
      </c>
      <c r="B2293" s="11" t="s">
        <v>9</v>
      </c>
      <c r="C2293" s="11" t="s">
        <v>179</v>
      </c>
      <c r="D2293" s="11" t="s">
        <v>180</v>
      </c>
      <c r="E2293" s="9" t="str">
        <f>+HYPERLINK("http://trademark.i-assist.jp/data/china/image_1908th/80126615.pdf", "80126615")</f>
        <v>80126615</v>
      </c>
      <c r="F2293" s="11" t="s">
        <v>6425</v>
      </c>
      <c r="G2293" s="11" t="s">
        <v>6426</v>
      </c>
      <c r="H2293" s="11" t="s">
        <v>6427</v>
      </c>
      <c r="I2293" s="11" t="s">
        <v>6363</v>
      </c>
    </row>
    <row r="2294" spans="1:9" x14ac:dyDescent="0.15">
      <c r="A2294" s="10">
        <v>2293</v>
      </c>
      <c r="B2294" s="11" t="s">
        <v>9</v>
      </c>
      <c r="C2294" s="11" t="s">
        <v>179</v>
      </c>
      <c r="D2294" s="11" t="s">
        <v>180</v>
      </c>
      <c r="E2294" s="9" t="str">
        <f>+HYPERLINK("http://trademark.i-assist.jp/data/china/image_1908th/80127172.pdf", "80127172")</f>
        <v>80127172</v>
      </c>
      <c r="F2294" s="11" t="s">
        <v>6428</v>
      </c>
      <c r="G2294" s="11" t="s">
        <v>6429</v>
      </c>
      <c r="H2294" s="11" t="s">
        <v>6430</v>
      </c>
      <c r="I2294" s="11" t="s">
        <v>6363</v>
      </c>
    </row>
    <row r="2295" spans="1:9" x14ac:dyDescent="0.15">
      <c r="A2295" s="10">
        <v>2294</v>
      </c>
      <c r="B2295" s="11" t="s">
        <v>9</v>
      </c>
      <c r="C2295" s="11" t="s">
        <v>179</v>
      </c>
      <c r="D2295" s="11" t="s">
        <v>180</v>
      </c>
      <c r="E2295" s="9" t="str">
        <f>+HYPERLINK("http://trademark.i-assist.jp/data/china/image_1908th/80127211.pdf", "80127211")</f>
        <v>80127211</v>
      </c>
      <c r="F2295" s="11" t="s">
        <v>6431</v>
      </c>
      <c r="G2295" s="11" t="s">
        <v>6432</v>
      </c>
      <c r="H2295" s="11" t="s">
        <v>6433</v>
      </c>
      <c r="I2295" s="11" t="s">
        <v>6363</v>
      </c>
    </row>
    <row r="2296" spans="1:9" x14ac:dyDescent="0.15">
      <c r="A2296" s="10">
        <v>2295</v>
      </c>
      <c r="B2296" s="11" t="s">
        <v>9</v>
      </c>
      <c r="C2296" s="11" t="s">
        <v>179</v>
      </c>
      <c r="D2296" s="11" t="s">
        <v>180</v>
      </c>
      <c r="E2296" s="9" t="str">
        <f>+HYPERLINK("http://trademark.i-assist.jp/data/china/image_1908th/80127238.pdf", "80127238")</f>
        <v>80127238</v>
      </c>
      <c r="F2296" s="11" t="s">
        <v>6434</v>
      </c>
      <c r="G2296" s="11" t="s">
        <v>6375</v>
      </c>
      <c r="H2296" s="11" t="s">
        <v>6435</v>
      </c>
      <c r="I2296" s="11" t="s">
        <v>6363</v>
      </c>
    </row>
    <row r="2297" spans="1:9" x14ac:dyDescent="0.15">
      <c r="A2297" s="10">
        <v>2296</v>
      </c>
      <c r="B2297" s="11" t="s">
        <v>9</v>
      </c>
      <c r="C2297" s="11" t="s">
        <v>179</v>
      </c>
      <c r="D2297" s="11" t="s">
        <v>180</v>
      </c>
      <c r="E2297" s="9" t="str">
        <f>+HYPERLINK("http://trademark.i-assist.jp/data/china/image_1908th/80127476.pdf", "80127476")</f>
        <v>80127476</v>
      </c>
      <c r="F2297" s="11" t="s">
        <v>6436</v>
      </c>
      <c r="G2297" s="11" t="s">
        <v>6437</v>
      </c>
      <c r="H2297" s="11" t="s">
        <v>6438</v>
      </c>
      <c r="I2297" s="11" t="s">
        <v>6363</v>
      </c>
    </row>
    <row r="2298" spans="1:9" x14ac:dyDescent="0.15">
      <c r="A2298" s="10">
        <v>2297</v>
      </c>
      <c r="B2298" s="11" t="s">
        <v>9</v>
      </c>
      <c r="C2298" s="11" t="s">
        <v>179</v>
      </c>
      <c r="D2298" s="11" t="s">
        <v>180</v>
      </c>
      <c r="E2298" s="9" t="str">
        <f>+HYPERLINK("http://trademark.i-assist.jp/data/china/image_1908th/80127670.pdf", "80127670")</f>
        <v>80127670</v>
      </c>
      <c r="F2298" s="11" t="s">
        <v>6439</v>
      </c>
      <c r="G2298" s="11" t="s">
        <v>4467</v>
      </c>
      <c r="H2298" s="11" t="s">
        <v>6440</v>
      </c>
      <c r="I2298" s="11" t="s">
        <v>6363</v>
      </c>
    </row>
    <row r="2299" spans="1:9" x14ac:dyDescent="0.15">
      <c r="A2299" s="10">
        <v>2298</v>
      </c>
      <c r="B2299" s="11" t="s">
        <v>9</v>
      </c>
      <c r="C2299" s="11" t="s">
        <v>179</v>
      </c>
      <c r="D2299" s="11" t="s">
        <v>180</v>
      </c>
      <c r="E2299" s="9" t="str">
        <f>+HYPERLINK("http://trademark.i-assist.jp/data/china/image_1908th/80127689.pdf", "80127689")</f>
        <v>80127689</v>
      </c>
      <c r="F2299" s="11" t="s">
        <v>6441</v>
      </c>
      <c r="G2299" s="11" t="s">
        <v>6442</v>
      </c>
      <c r="H2299" s="11" t="s">
        <v>6443</v>
      </c>
      <c r="I2299" s="11" t="s">
        <v>6363</v>
      </c>
    </row>
    <row r="2300" spans="1:9" x14ac:dyDescent="0.15">
      <c r="A2300" s="10">
        <v>2299</v>
      </c>
      <c r="B2300" s="11" t="s">
        <v>9</v>
      </c>
      <c r="C2300" s="11" t="s">
        <v>179</v>
      </c>
      <c r="D2300" s="11" t="s">
        <v>180</v>
      </c>
      <c r="E2300" s="9" t="str">
        <f>+HYPERLINK("http://trademark.i-assist.jp/data/china/image_1908th/80127956.pdf", "80127956")</f>
        <v>80127956</v>
      </c>
      <c r="F2300" s="11" t="s">
        <v>6444</v>
      </c>
      <c r="G2300" s="11" t="s">
        <v>6445</v>
      </c>
      <c r="H2300" s="11" t="s">
        <v>6446</v>
      </c>
      <c r="I2300" s="11" t="s">
        <v>6363</v>
      </c>
    </row>
    <row r="2301" spans="1:9" x14ac:dyDescent="0.15">
      <c r="A2301" s="10">
        <v>2300</v>
      </c>
      <c r="B2301" s="11" t="s">
        <v>9</v>
      </c>
      <c r="C2301" s="11" t="s">
        <v>179</v>
      </c>
      <c r="D2301" s="11" t="s">
        <v>180</v>
      </c>
      <c r="E2301" s="9" t="str">
        <f>+HYPERLINK("http://trademark.i-assist.jp/data/china/image_1908th/80128187.pdf", "80128187")</f>
        <v>80128187</v>
      </c>
      <c r="F2301" s="11" t="s">
        <v>10</v>
      </c>
      <c r="G2301" s="11" t="s">
        <v>2979</v>
      </c>
      <c r="H2301" s="11" t="s">
        <v>6447</v>
      </c>
      <c r="I2301" s="11" t="s">
        <v>6363</v>
      </c>
    </row>
    <row r="2302" spans="1:9" x14ac:dyDescent="0.15">
      <c r="A2302" s="10">
        <v>2301</v>
      </c>
      <c r="B2302" s="11" t="s">
        <v>9</v>
      </c>
      <c r="C2302" s="11" t="s">
        <v>179</v>
      </c>
      <c r="D2302" s="11" t="s">
        <v>180</v>
      </c>
      <c r="E2302" s="9" t="str">
        <f>+HYPERLINK("http://trademark.i-assist.jp/data/china/image_1908th/80128275.pdf", "80128275")</f>
        <v>80128275</v>
      </c>
      <c r="F2302" s="11" t="s">
        <v>6448</v>
      </c>
      <c r="G2302" s="11" t="s">
        <v>6449</v>
      </c>
      <c r="H2302" s="11" t="s">
        <v>6450</v>
      </c>
      <c r="I2302" s="11" t="s">
        <v>6363</v>
      </c>
    </row>
    <row r="2303" spans="1:9" x14ac:dyDescent="0.15">
      <c r="A2303" s="10">
        <v>2302</v>
      </c>
      <c r="B2303" s="11" t="s">
        <v>9</v>
      </c>
      <c r="C2303" s="11" t="s">
        <v>179</v>
      </c>
      <c r="D2303" s="11" t="s">
        <v>180</v>
      </c>
      <c r="E2303" s="9" t="str">
        <f>+HYPERLINK("http://trademark.i-assist.jp/data/china/image_1908th/80128372.pdf", "80128372")</f>
        <v>80128372</v>
      </c>
      <c r="F2303" s="11" t="s">
        <v>6451</v>
      </c>
      <c r="G2303" s="11" t="s">
        <v>6452</v>
      </c>
      <c r="H2303" s="11" t="s">
        <v>6453</v>
      </c>
      <c r="I2303" s="11" t="s">
        <v>6363</v>
      </c>
    </row>
    <row r="2304" spans="1:9" x14ac:dyDescent="0.15">
      <c r="A2304" s="10">
        <v>2303</v>
      </c>
      <c r="B2304" s="11" t="s">
        <v>9</v>
      </c>
      <c r="C2304" s="11" t="s">
        <v>179</v>
      </c>
      <c r="D2304" s="11" t="s">
        <v>180</v>
      </c>
      <c r="E2304" s="9" t="str">
        <f>+HYPERLINK("http://trademark.i-assist.jp/data/china/image_1908th/80128685.pdf", "80128685")</f>
        <v>80128685</v>
      </c>
      <c r="F2304" s="11" t="s">
        <v>6454</v>
      </c>
      <c r="G2304" s="11" t="s">
        <v>6455</v>
      </c>
      <c r="H2304" s="11" t="s">
        <v>6456</v>
      </c>
      <c r="I2304" s="11" t="s">
        <v>6363</v>
      </c>
    </row>
    <row r="2305" spans="1:9" x14ac:dyDescent="0.15">
      <c r="A2305" s="10">
        <v>2304</v>
      </c>
      <c r="B2305" s="11" t="s">
        <v>9</v>
      </c>
      <c r="C2305" s="11" t="s">
        <v>179</v>
      </c>
      <c r="D2305" s="11" t="s">
        <v>180</v>
      </c>
      <c r="E2305" s="9" t="str">
        <f>+HYPERLINK("http://trademark.i-assist.jp/data/china/image_1908th/80129550.pdf", "80129550")</f>
        <v>80129550</v>
      </c>
      <c r="F2305" s="11" t="s">
        <v>6457</v>
      </c>
      <c r="G2305" s="11" t="s">
        <v>6458</v>
      </c>
      <c r="H2305" s="11" t="s">
        <v>6459</v>
      </c>
      <c r="I2305" s="11" t="s">
        <v>6363</v>
      </c>
    </row>
    <row r="2306" spans="1:9" x14ac:dyDescent="0.15">
      <c r="A2306" s="10">
        <v>2305</v>
      </c>
      <c r="B2306" s="11" t="s">
        <v>9</v>
      </c>
      <c r="C2306" s="11" t="s">
        <v>179</v>
      </c>
      <c r="D2306" s="11" t="s">
        <v>180</v>
      </c>
      <c r="E2306" s="9" t="str">
        <f>+HYPERLINK("http://trademark.i-assist.jp/data/china/image_1908th/80129990.pdf", "80129990")</f>
        <v>80129990</v>
      </c>
      <c r="F2306" s="11" t="s">
        <v>6460</v>
      </c>
      <c r="G2306" s="11" t="s">
        <v>6461</v>
      </c>
      <c r="H2306" s="11" t="s">
        <v>6462</v>
      </c>
      <c r="I2306" s="11" t="s">
        <v>6363</v>
      </c>
    </row>
    <row r="2307" spans="1:9" x14ac:dyDescent="0.15">
      <c r="A2307" s="10">
        <v>2306</v>
      </c>
      <c r="B2307" s="11" t="s">
        <v>9</v>
      </c>
      <c r="C2307" s="11" t="s">
        <v>179</v>
      </c>
      <c r="D2307" s="11" t="s">
        <v>180</v>
      </c>
      <c r="E2307" s="9" t="str">
        <f>+HYPERLINK("http://trademark.i-assist.jp/data/china/image_1908th/80130043.pdf", "80130043")</f>
        <v>80130043</v>
      </c>
      <c r="F2307" s="11" t="s">
        <v>6463</v>
      </c>
      <c r="G2307" s="11" t="s">
        <v>6437</v>
      </c>
      <c r="H2307" s="11" t="s">
        <v>6464</v>
      </c>
      <c r="I2307" s="11" t="s">
        <v>6363</v>
      </c>
    </row>
    <row r="2308" spans="1:9" x14ac:dyDescent="0.15">
      <c r="A2308" s="10">
        <v>2307</v>
      </c>
      <c r="B2308" s="11" t="s">
        <v>9</v>
      </c>
      <c r="C2308" s="11" t="s">
        <v>179</v>
      </c>
      <c r="D2308" s="11" t="s">
        <v>180</v>
      </c>
      <c r="E2308" s="9" t="str">
        <f>+HYPERLINK("http://trademark.i-assist.jp/data/china/image_1908th/80130342.pdf", "80130342")</f>
        <v>80130342</v>
      </c>
      <c r="F2308" s="11" t="s">
        <v>147</v>
      </c>
      <c r="G2308" s="11" t="s">
        <v>148</v>
      </c>
      <c r="H2308" s="11" t="s">
        <v>6465</v>
      </c>
      <c r="I2308" s="11" t="s">
        <v>6363</v>
      </c>
    </row>
    <row r="2309" spans="1:9" x14ac:dyDescent="0.15">
      <c r="A2309" s="10">
        <v>2308</v>
      </c>
      <c r="B2309" s="11" t="s">
        <v>9</v>
      </c>
      <c r="C2309" s="11" t="s">
        <v>179</v>
      </c>
      <c r="D2309" s="11" t="s">
        <v>180</v>
      </c>
      <c r="E2309" s="9" t="str">
        <f>+HYPERLINK("http://trademark.i-assist.jp/data/china/image_1908th/80131044.pdf", "80131044")</f>
        <v>80131044</v>
      </c>
      <c r="F2309" s="11" t="s">
        <v>6466</v>
      </c>
      <c r="G2309" s="11" t="s">
        <v>6467</v>
      </c>
      <c r="H2309" s="11" t="s">
        <v>6468</v>
      </c>
      <c r="I2309" s="11" t="s">
        <v>6363</v>
      </c>
    </row>
    <row r="2310" spans="1:9" x14ac:dyDescent="0.15">
      <c r="A2310" s="10">
        <v>2309</v>
      </c>
      <c r="B2310" s="11" t="s">
        <v>9</v>
      </c>
      <c r="C2310" s="11" t="s">
        <v>179</v>
      </c>
      <c r="D2310" s="11" t="s">
        <v>180</v>
      </c>
      <c r="E2310" s="9" t="str">
        <f>+HYPERLINK("http://trademark.i-assist.jp/data/china/image_1908th/80131305.pdf", "80131305")</f>
        <v>80131305</v>
      </c>
      <c r="F2310" s="11" t="s">
        <v>6469</v>
      </c>
      <c r="G2310" s="11" t="s">
        <v>6437</v>
      </c>
      <c r="H2310" s="11" t="s">
        <v>6470</v>
      </c>
      <c r="I2310" s="11" t="s">
        <v>6363</v>
      </c>
    </row>
    <row r="2311" spans="1:9" x14ac:dyDescent="0.15">
      <c r="A2311" s="10">
        <v>2310</v>
      </c>
      <c r="B2311" s="11" t="s">
        <v>9</v>
      </c>
      <c r="C2311" s="11" t="s">
        <v>179</v>
      </c>
      <c r="D2311" s="11" t="s">
        <v>180</v>
      </c>
      <c r="E2311" s="9" t="str">
        <f>+HYPERLINK("http://trademark.i-assist.jp/data/china/image_1908th/80131306.pdf", "80131306")</f>
        <v>80131306</v>
      </c>
      <c r="F2311" s="11" t="s">
        <v>6471</v>
      </c>
      <c r="G2311" s="11" t="s">
        <v>6472</v>
      </c>
      <c r="H2311" s="11" t="s">
        <v>6473</v>
      </c>
      <c r="I2311" s="11" t="s">
        <v>6363</v>
      </c>
    </row>
    <row r="2312" spans="1:9" x14ac:dyDescent="0.15">
      <c r="A2312" s="10">
        <v>2311</v>
      </c>
      <c r="B2312" s="11" t="s">
        <v>9</v>
      </c>
      <c r="C2312" s="11" t="s">
        <v>179</v>
      </c>
      <c r="D2312" s="11" t="s">
        <v>180</v>
      </c>
      <c r="E2312" s="9" t="str">
        <f>+HYPERLINK("http://trademark.i-assist.jp/data/china/image_1908th/80131316.pdf", "80131316")</f>
        <v>80131316</v>
      </c>
      <c r="F2312" s="11" t="s">
        <v>6474</v>
      </c>
      <c r="G2312" s="11" t="s">
        <v>6472</v>
      </c>
      <c r="H2312" s="11" t="s">
        <v>6475</v>
      </c>
      <c r="I2312" s="11" t="s">
        <v>6363</v>
      </c>
    </row>
    <row r="2313" spans="1:9" x14ac:dyDescent="0.15">
      <c r="A2313" s="10">
        <v>2312</v>
      </c>
      <c r="B2313" s="11" t="s">
        <v>9</v>
      </c>
      <c r="C2313" s="11" t="s">
        <v>179</v>
      </c>
      <c r="D2313" s="11" t="s">
        <v>180</v>
      </c>
      <c r="E2313" s="9" t="str">
        <f>+HYPERLINK("http://trademark.i-assist.jp/data/china/image_1908th/80131658.pdf", "80131658")</f>
        <v>80131658</v>
      </c>
      <c r="F2313" s="11" t="s">
        <v>6476</v>
      </c>
      <c r="G2313" s="11" t="s">
        <v>3157</v>
      </c>
      <c r="H2313" s="11" t="s">
        <v>6477</v>
      </c>
      <c r="I2313" s="11" t="s">
        <v>6363</v>
      </c>
    </row>
    <row r="2314" spans="1:9" x14ac:dyDescent="0.15">
      <c r="A2314" s="10">
        <v>2313</v>
      </c>
      <c r="B2314" s="11" t="s">
        <v>9</v>
      </c>
      <c r="C2314" s="11" t="s">
        <v>179</v>
      </c>
      <c r="D2314" s="11" t="s">
        <v>180</v>
      </c>
      <c r="E2314" s="9" t="str">
        <f>+HYPERLINK("http://trademark.i-assist.jp/data/china/image_1908th/80131763.pdf", "80131763")</f>
        <v>80131763</v>
      </c>
      <c r="F2314" s="11" t="s">
        <v>6478</v>
      </c>
      <c r="G2314" s="11" t="s">
        <v>6437</v>
      </c>
      <c r="H2314" s="11" t="s">
        <v>6479</v>
      </c>
      <c r="I2314" s="11" t="s">
        <v>6363</v>
      </c>
    </row>
    <row r="2315" spans="1:9" x14ac:dyDescent="0.15">
      <c r="A2315" s="10">
        <v>2314</v>
      </c>
      <c r="B2315" s="11" t="s">
        <v>9</v>
      </c>
      <c r="C2315" s="11" t="s">
        <v>179</v>
      </c>
      <c r="D2315" s="11" t="s">
        <v>180</v>
      </c>
      <c r="E2315" s="9" t="str">
        <f>+HYPERLINK("http://trademark.i-assist.jp/data/china/image_1908th/80131877.pdf", "80131877")</f>
        <v>80131877</v>
      </c>
      <c r="F2315" s="11" t="s">
        <v>6480</v>
      </c>
      <c r="G2315" s="11" t="s">
        <v>4696</v>
      </c>
      <c r="H2315" s="11" t="s">
        <v>6481</v>
      </c>
      <c r="I2315" s="11" t="s">
        <v>6363</v>
      </c>
    </row>
    <row r="2316" spans="1:9" x14ac:dyDescent="0.15">
      <c r="A2316" s="10">
        <v>2315</v>
      </c>
      <c r="B2316" s="11" t="s">
        <v>9</v>
      </c>
      <c r="C2316" s="11" t="s">
        <v>179</v>
      </c>
      <c r="D2316" s="11" t="s">
        <v>180</v>
      </c>
      <c r="E2316" s="9" t="str">
        <f>+HYPERLINK("http://trademark.i-assist.jp/data/china/image_1908th/80131928.pdf", "80131928")</f>
        <v>80131928</v>
      </c>
      <c r="F2316" s="11" t="s">
        <v>6482</v>
      </c>
      <c r="G2316" s="11" t="s">
        <v>6483</v>
      </c>
      <c r="H2316" s="11" t="s">
        <v>6484</v>
      </c>
      <c r="I2316" s="11" t="s">
        <v>6363</v>
      </c>
    </row>
    <row r="2317" spans="1:9" x14ac:dyDescent="0.15">
      <c r="A2317" s="10">
        <v>2316</v>
      </c>
      <c r="B2317" s="11" t="s">
        <v>9</v>
      </c>
      <c r="C2317" s="11" t="s">
        <v>179</v>
      </c>
      <c r="D2317" s="11" t="s">
        <v>180</v>
      </c>
      <c r="E2317" s="9" t="str">
        <f>+HYPERLINK("http://trademark.i-assist.jp/data/china/image_1908th/80132839.pdf", "80132839")</f>
        <v>80132839</v>
      </c>
      <c r="F2317" s="11" t="s">
        <v>6485</v>
      </c>
      <c r="G2317" s="11" t="s">
        <v>6486</v>
      </c>
      <c r="H2317" s="11" t="s">
        <v>6487</v>
      </c>
      <c r="I2317" s="11" t="s">
        <v>6363</v>
      </c>
    </row>
    <row r="2318" spans="1:9" x14ac:dyDescent="0.15">
      <c r="A2318" s="10">
        <v>2317</v>
      </c>
      <c r="B2318" s="11" t="s">
        <v>9</v>
      </c>
      <c r="C2318" s="11" t="s">
        <v>179</v>
      </c>
      <c r="D2318" s="11" t="s">
        <v>180</v>
      </c>
      <c r="E2318" s="9" t="str">
        <f>+HYPERLINK("http://trademark.i-assist.jp/data/china/image_1908th/80132915.pdf", "80132915")</f>
        <v>80132915</v>
      </c>
      <c r="F2318" s="11" t="s">
        <v>6488</v>
      </c>
      <c r="G2318" s="11" t="s">
        <v>4696</v>
      </c>
      <c r="H2318" s="11" t="s">
        <v>6489</v>
      </c>
      <c r="I2318" s="11" t="s">
        <v>6363</v>
      </c>
    </row>
    <row r="2319" spans="1:9" x14ac:dyDescent="0.15">
      <c r="A2319" s="10">
        <v>2318</v>
      </c>
      <c r="B2319" s="11" t="s">
        <v>9</v>
      </c>
      <c r="C2319" s="11" t="s">
        <v>179</v>
      </c>
      <c r="D2319" s="11" t="s">
        <v>180</v>
      </c>
      <c r="E2319" s="9" t="str">
        <f>+HYPERLINK("http://trademark.i-assist.jp/data/china/image_1908th/80133397.pdf", "80133397")</f>
        <v>80133397</v>
      </c>
      <c r="F2319" s="11" t="s">
        <v>6490</v>
      </c>
      <c r="G2319" s="11" t="s">
        <v>6491</v>
      </c>
      <c r="H2319" s="11" t="s">
        <v>6492</v>
      </c>
      <c r="I2319" s="11" t="s">
        <v>6363</v>
      </c>
    </row>
    <row r="2320" spans="1:9" x14ac:dyDescent="0.15">
      <c r="A2320" s="10">
        <v>2319</v>
      </c>
      <c r="B2320" s="11" t="s">
        <v>9</v>
      </c>
      <c r="C2320" s="11" t="s">
        <v>179</v>
      </c>
      <c r="D2320" s="11" t="s">
        <v>180</v>
      </c>
      <c r="E2320" s="9" t="str">
        <f>+HYPERLINK("http://trademark.i-assist.jp/data/china/image_1908th/80133507.pdf", "80133507")</f>
        <v>80133507</v>
      </c>
      <c r="F2320" s="11" t="s">
        <v>6493</v>
      </c>
      <c r="G2320" s="11" t="s">
        <v>6494</v>
      </c>
      <c r="H2320" s="11" t="s">
        <v>6495</v>
      </c>
      <c r="I2320" s="11" t="s">
        <v>6363</v>
      </c>
    </row>
    <row r="2321" spans="1:9" x14ac:dyDescent="0.15">
      <c r="A2321" s="10">
        <v>2320</v>
      </c>
      <c r="B2321" s="11" t="s">
        <v>9</v>
      </c>
      <c r="C2321" s="11" t="s">
        <v>179</v>
      </c>
      <c r="D2321" s="11" t="s">
        <v>180</v>
      </c>
      <c r="E2321" s="9" t="str">
        <f>+HYPERLINK("http://trademark.i-assist.jp/data/china/image_1908th/80133712.pdf", "80133712")</f>
        <v>80133712</v>
      </c>
      <c r="F2321" s="11" t="s">
        <v>6496</v>
      </c>
      <c r="G2321" s="11" t="s">
        <v>6497</v>
      </c>
      <c r="H2321" s="11" t="s">
        <v>6498</v>
      </c>
      <c r="I2321" s="11" t="s">
        <v>6363</v>
      </c>
    </row>
    <row r="2322" spans="1:9" x14ac:dyDescent="0.15">
      <c r="A2322" s="10">
        <v>2321</v>
      </c>
      <c r="B2322" s="11" t="s">
        <v>9</v>
      </c>
      <c r="C2322" s="11" t="s">
        <v>179</v>
      </c>
      <c r="D2322" s="11" t="s">
        <v>180</v>
      </c>
      <c r="E2322" s="9" t="str">
        <f>+HYPERLINK("http://trademark.i-assist.jp/data/china/image_1908th/80133933.pdf", "80133933")</f>
        <v>80133933</v>
      </c>
      <c r="F2322" s="11" t="s">
        <v>6499</v>
      </c>
      <c r="G2322" s="11" t="s">
        <v>6500</v>
      </c>
      <c r="H2322" s="11" t="s">
        <v>6501</v>
      </c>
      <c r="I2322" s="11" t="s">
        <v>6363</v>
      </c>
    </row>
    <row r="2323" spans="1:9" x14ac:dyDescent="0.15">
      <c r="A2323" s="10">
        <v>2322</v>
      </c>
      <c r="B2323" s="11" t="s">
        <v>9</v>
      </c>
      <c r="C2323" s="11" t="s">
        <v>179</v>
      </c>
      <c r="D2323" s="11" t="s">
        <v>180</v>
      </c>
      <c r="E2323" s="9" t="str">
        <f>+HYPERLINK("http://trademark.i-assist.jp/data/china/image_1908th/80133975.pdf", "80133975")</f>
        <v>80133975</v>
      </c>
      <c r="F2323" s="11" t="s">
        <v>6502</v>
      </c>
      <c r="G2323" s="11" t="s">
        <v>6503</v>
      </c>
      <c r="H2323" s="11" t="s">
        <v>6504</v>
      </c>
      <c r="I2323" s="11" t="s">
        <v>6363</v>
      </c>
    </row>
    <row r="2324" spans="1:9" x14ac:dyDescent="0.15">
      <c r="A2324" s="10">
        <v>2323</v>
      </c>
      <c r="B2324" s="11" t="s">
        <v>9</v>
      </c>
      <c r="C2324" s="11" t="s">
        <v>179</v>
      </c>
      <c r="D2324" s="11" t="s">
        <v>180</v>
      </c>
      <c r="E2324" s="9" t="str">
        <f>+HYPERLINK("http://trademark.i-assist.jp/data/china/image_1908th/80134314.pdf", "80134314")</f>
        <v>80134314</v>
      </c>
      <c r="F2324" s="11" t="s">
        <v>6505</v>
      </c>
      <c r="G2324" s="11" t="s">
        <v>6506</v>
      </c>
      <c r="H2324" s="11" t="s">
        <v>6507</v>
      </c>
      <c r="I2324" s="11" t="s">
        <v>6363</v>
      </c>
    </row>
    <row r="2325" spans="1:9" x14ac:dyDescent="0.15">
      <c r="A2325" s="10">
        <v>2324</v>
      </c>
      <c r="B2325" s="11" t="s">
        <v>9</v>
      </c>
      <c r="C2325" s="11" t="s">
        <v>179</v>
      </c>
      <c r="D2325" s="11" t="s">
        <v>180</v>
      </c>
      <c r="E2325" s="9" t="str">
        <f>+HYPERLINK("http://trademark.i-assist.jp/data/china/image_1908th/80134320.pdf", "80134320")</f>
        <v>80134320</v>
      </c>
      <c r="F2325" s="11" t="s">
        <v>6508</v>
      </c>
      <c r="G2325" s="11" t="s">
        <v>6509</v>
      </c>
      <c r="H2325" s="11" t="s">
        <v>6510</v>
      </c>
      <c r="I2325" s="11" t="s">
        <v>6363</v>
      </c>
    </row>
    <row r="2326" spans="1:9" x14ac:dyDescent="0.15">
      <c r="A2326" s="10">
        <v>2325</v>
      </c>
      <c r="B2326" s="11" t="s">
        <v>9</v>
      </c>
      <c r="C2326" s="11" t="s">
        <v>179</v>
      </c>
      <c r="D2326" s="11" t="s">
        <v>180</v>
      </c>
      <c r="E2326" s="9" t="str">
        <f>+HYPERLINK("http://trademark.i-assist.jp/data/china/image_1908th/80134360.pdf", "80134360")</f>
        <v>80134360</v>
      </c>
      <c r="F2326" s="11" t="s">
        <v>6511</v>
      </c>
      <c r="G2326" s="11" t="s">
        <v>6512</v>
      </c>
      <c r="H2326" s="11" t="s">
        <v>6513</v>
      </c>
      <c r="I2326" s="11" t="s">
        <v>6363</v>
      </c>
    </row>
    <row r="2327" spans="1:9" x14ac:dyDescent="0.15">
      <c r="A2327" s="10">
        <v>2326</v>
      </c>
      <c r="B2327" s="11" t="s">
        <v>9</v>
      </c>
      <c r="C2327" s="11" t="s">
        <v>179</v>
      </c>
      <c r="D2327" s="11" t="s">
        <v>180</v>
      </c>
      <c r="E2327" s="9" t="str">
        <f>+HYPERLINK("http://trademark.i-assist.jp/data/china/image_1908th/80134611.pdf", "80134611")</f>
        <v>80134611</v>
      </c>
      <c r="F2327" s="11" t="s">
        <v>6514</v>
      </c>
      <c r="G2327" s="11" t="s">
        <v>1748</v>
      </c>
      <c r="H2327" s="11" t="s">
        <v>6515</v>
      </c>
      <c r="I2327" s="11" t="s">
        <v>6363</v>
      </c>
    </row>
    <row r="2328" spans="1:9" x14ac:dyDescent="0.15">
      <c r="A2328" s="10">
        <v>2327</v>
      </c>
      <c r="B2328" s="11" t="s">
        <v>9</v>
      </c>
      <c r="C2328" s="11" t="s">
        <v>179</v>
      </c>
      <c r="D2328" s="11" t="s">
        <v>180</v>
      </c>
      <c r="E2328" s="9" t="str">
        <f>+HYPERLINK("http://trademark.i-assist.jp/data/china/image_1908th/80134981.pdf", "80134981")</f>
        <v>80134981</v>
      </c>
      <c r="F2328" s="11" t="s">
        <v>6516</v>
      </c>
      <c r="G2328" s="11" t="s">
        <v>6517</v>
      </c>
      <c r="H2328" s="11" t="s">
        <v>6518</v>
      </c>
      <c r="I2328" s="11" t="s">
        <v>6363</v>
      </c>
    </row>
    <row r="2329" spans="1:9" x14ac:dyDescent="0.15">
      <c r="A2329" s="10">
        <v>2328</v>
      </c>
      <c r="B2329" s="11" t="s">
        <v>9</v>
      </c>
      <c r="C2329" s="11" t="s">
        <v>179</v>
      </c>
      <c r="D2329" s="11" t="s">
        <v>180</v>
      </c>
      <c r="E2329" s="9" t="str">
        <f>+HYPERLINK("http://trademark.i-assist.jp/data/china/image_1908th/80135035.pdf", "80135035")</f>
        <v>80135035</v>
      </c>
      <c r="F2329" s="11" t="s">
        <v>6519</v>
      </c>
      <c r="G2329" s="11" t="s">
        <v>6520</v>
      </c>
      <c r="H2329" s="11" t="s">
        <v>6521</v>
      </c>
      <c r="I2329" s="11" t="s">
        <v>6363</v>
      </c>
    </row>
    <row r="2330" spans="1:9" x14ac:dyDescent="0.15">
      <c r="A2330" s="10">
        <v>2329</v>
      </c>
      <c r="B2330" s="11" t="s">
        <v>9</v>
      </c>
      <c r="C2330" s="11" t="s">
        <v>179</v>
      </c>
      <c r="D2330" s="11" t="s">
        <v>180</v>
      </c>
      <c r="E2330" s="9" t="str">
        <f>+HYPERLINK("http://trademark.i-assist.jp/data/china/image_1908th/80135239.pdf", "80135239")</f>
        <v>80135239</v>
      </c>
      <c r="F2330" s="11" t="s">
        <v>6522</v>
      </c>
      <c r="G2330" s="11" t="s">
        <v>6523</v>
      </c>
      <c r="H2330" s="11" t="s">
        <v>6524</v>
      </c>
      <c r="I2330" s="11" t="s">
        <v>6363</v>
      </c>
    </row>
    <row r="2331" spans="1:9" x14ac:dyDescent="0.15">
      <c r="A2331" s="10">
        <v>2330</v>
      </c>
      <c r="B2331" s="11" t="s">
        <v>9</v>
      </c>
      <c r="C2331" s="11" t="s">
        <v>179</v>
      </c>
      <c r="D2331" s="11" t="s">
        <v>180</v>
      </c>
      <c r="E2331" s="9" t="str">
        <f>+HYPERLINK("http://trademark.i-assist.jp/data/china/image_1908th/80135247.pdf", "80135247")</f>
        <v>80135247</v>
      </c>
      <c r="F2331" s="11" t="s">
        <v>6525</v>
      </c>
      <c r="G2331" s="11" t="s">
        <v>142</v>
      </c>
      <c r="H2331" s="11" t="s">
        <v>6526</v>
      </c>
      <c r="I2331" s="11" t="s">
        <v>6363</v>
      </c>
    </row>
    <row r="2332" spans="1:9" x14ac:dyDescent="0.15">
      <c r="A2332" s="10">
        <v>2331</v>
      </c>
      <c r="B2332" s="11" t="s">
        <v>9</v>
      </c>
      <c r="C2332" s="11" t="s">
        <v>179</v>
      </c>
      <c r="D2332" s="11" t="s">
        <v>180</v>
      </c>
      <c r="E2332" s="9" t="str">
        <f>+HYPERLINK("http://trademark.i-assist.jp/data/china/image_1908th/80135710.pdf", "80135710")</f>
        <v>80135710</v>
      </c>
      <c r="F2332" s="11" t="s">
        <v>6527</v>
      </c>
      <c r="G2332" s="11" t="s">
        <v>6472</v>
      </c>
      <c r="H2332" s="11" t="s">
        <v>6528</v>
      </c>
      <c r="I2332" s="11" t="s">
        <v>6363</v>
      </c>
    </row>
    <row r="2333" spans="1:9" x14ac:dyDescent="0.15">
      <c r="A2333" s="10">
        <v>2332</v>
      </c>
      <c r="B2333" s="11" t="s">
        <v>9</v>
      </c>
      <c r="C2333" s="11" t="s">
        <v>179</v>
      </c>
      <c r="D2333" s="11" t="s">
        <v>180</v>
      </c>
      <c r="E2333" s="9" t="str">
        <f>+HYPERLINK("http://trademark.i-assist.jp/data/china/image_1908th/80136122.pdf", "80136122")</f>
        <v>80136122</v>
      </c>
      <c r="F2333" s="11" t="s">
        <v>6529</v>
      </c>
      <c r="G2333" s="11" t="s">
        <v>6530</v>
      </c>
      <c r="H2333" s="11" t="s">
        <v>6531</v>
      </c>
      <c r="I2333" s="11" t="s">
        <v>6363</v>
      </c>
    </row>
    <row r="2334" spans="1:9" x14ac:dyDescent="0.15">
      <c r="A2334" s="10">
        <v>2333</v>
      </c>
      <c r="B2334" s="11" t="s">
        <v>9</v>
      </c>
      <c r="C2334" s="11" t="s">
        <v>179</v>
      </c>
      <c r="D2334" s="11" t="s">
        <v>180</v>
      </c>
      <c r="E2334" s="9" t="str">
        <f>+HYPERLINK("http://trademark.i-assist.jp/data/china/image_1908th/80136505.pdf", "80136505")</f>
        <v>80136505</v>
      </c>
      <c r="F2334" s="11" t="s">
        <v>6532</v>
      </c>
      <c r="G2334" s="11" t="s">
        <v>6533</v>
      </c>
      <c r="H2334" s="11" t="s">
        <v>6534</v>
      </c>
      <c r="I2334" s="11" t="s">
        <v>6363</v>
      </c>
    </row>
    <row r="2335" spans="1:9" x14ac:dyDescent="0.15">
      <c r="A2335" s="10">
        <v>2334</v>
      </c>
      <c r="B2335" s="11" t="s">
        <v>9</v>
      </c>
      <c r="C2335" s="11" t="s">
        <v>179</v>
      </c>
      <c r="D2335" s="11" t="s">
        <v>180</v>
      </c>
      <c r="E2335" s="9" t="str">
        <f>+HYPERLINK("http://trademark.i-assist.jp/data/china/image_1908th/80137057.pdf", "80137057")</f>
        <v>80137057</v>
      </c>
      <c r="F2335" s="11" t="s">
        <v>6535</v>
      </c>
      <c r="G2335" s="11" t="s">
        <v>2786</v>
      </c>
      <c r="H2335" s="11" t="s">
        <v>6536</v>
      </c>
      <c r="I2335" s="11" t="s">
        <v>6363</v>
      </c>
    </row>
    <row r="2336" spans="1:9" x14ac:dyDescent="0.15">
      <c r="A2336" s="10">
        <v>2335</v>
      </c>
      <c r="B2336" s="11" t="s">
        <v>9</v>
      </c>
      <c r="C2336" s="11" t="s">
        <v>179</v>
      </c>
      <c r="D2336" s="11" t="s">
        <v>180</v>
      </c>
      <c r="E2336" s="9" t="str">
        <f>+HYPERLINK("http://trademark.i-assist.jp/data/china/image_1908th/80137153.pdf", "80137153")</f>
        <v>80137153</v>
      </c>
      <c r="F2336" s="11" t="s">
        <v>6537</v>
      </c>
      <c r="G2336" s="11" t="s">
        <v>6538</v>
      </c>
      <c r="H2336" s="11" t="s">
        <v>6539</v>
      </c>
      <c r="I2336" s="11" t="s">
        <v>6363</v>
      </c>
    </row>
    <row r="2337" spans="1:9" x14ac:dyDescent="0.15">
      <c r="A2337" s="10">
        <v>2336</v>
      </c>
      <c r="B2337" s="11" t="s">
        <v>9</v>
      </c>
      <c r="C2337" s="11" t="s">
        <v>179</v>
      </c>
      <c r="D2337" s="11" t="s">
        <v>180</v>
      </c>
      <c r="E2337" s="9" t="str">
        <f>+HYPERLINK("http://trademark.i-assist.jp/data/china/image_1908th/80137794.pdf", "80137794")</f>
        <v>80137794</v>
      </c>
      <c r="F2337" s="11" t="s">
        <v>6540</v>
      </c>
      <c r="G2337" s="11" t="s">
        <v>1770</v>
      </c>
      <c r="H2337" s="11" t="s">
        <v>6541</v>
      </c>
      <c r="I2337" s="11" t="s">
        <v>6363</v>
      </c>
    </row>
    <row r="2338" spans="1:9" x14ac:dyDescent="0.15">
      <c r="A2338" s="10">
        <v>2337</v>
      </c>
      <c r="B2338" s="11" t="s">
        <v>9</v>
      </c>
      <c r="C2338" s="11" t="s">
        <v>179</v>
      </c>
      <c r="D2338" s="11" t="s">
        <v>180</v>
      </c>
      <c r="E2338" s="9" t="str">
        <f>+HYPERLINK("http://trademark.i-assist.jp/data/china/image_1908th/80138237.pdf", "80138237")</f>
        <v>80138237</v>
      </c>
      <c r="F2338" s="11" t="s">
        <v>6542</v>
      </c>
      <c r="G2338" s="11" t="s">
        <v>6543</v>
      </c>
      <c r="H2338" s="11" t="s">
        <v>6544</v>
      </c>
      <c r="I2338" s="11" t="s">
        <v>6363</v>
      </c>
    </row>
    <row r="2339" spans="1:9" x14ac:dyDescent="0.15">
      <c r="A2339" s="10">
        <v>2338</v>
      </c>
      <c r="B2339" s="11" t="s">
        <v>9</v>
      </c>
      <c r="C2339" s="11" t="s">
        <v>179</v>
      </c>
      <c r="D2339" s="11" t="s">
        <v>180</v>
      </c>
      <c r="E2339" s="9" t="str">
        <f>+HYPERLINK("http://trademark.i-assist.jp/data/china/image_1908th/80138368.pdf", "80138368")</f>
        <v>80138368</v>
      </c>
      <c r="F2339" s="11" t="s">
        <v>6545</v>
      </c>
      <c r="G2339" s="11" t="s">
        <v>6494</v>
      </c>
      <c r="H2339" s="11" t="s">
        <v>6546</v>
      </c>
      <c r="I2339" s="11" t="s">
        <v>6363</v>
      </c>
    </row>
    <row r="2340" spans="1:9" x14ac:dyDescent="0.15">
      <c r="A2340" s="10">
        <v>2339</v>
      </c>
      <c r="B2340" s="11" t="s">
        <v>9</v>
      </c>
      <c r="C2340" s="11" t="s">
        <v>179</v>
      </c>
      <c r="D2340" s="11" t="s">
        <v>180</v>
      </c>
      <c r="E2340" s="9" t="str">
        <f>+HYPERLINK("http://trademark.i-assist.jp/data/china/image_1908th/80138474.pdf", "80138474")</f>
        <v>80138474</v>
      </c>
      <c r="F2340" s="11" t="s">
        <v>6547</v>
      </c>
      <c r="G2340" s="11" t="s">
        <v>6548</v>
      </c>
      <c r="H2340" s="11" t="s">
        <v>6549</v>
      </c>
      <c r="I2340" s="11" t="s">
        <v>6363</v>
      </c>
    </row>
    <row r="2341" spans="1:9" x14ac:dyDescent="0.15">
      <c r="A2341" s="10">
        <v>2340</v>
      </c>
      <c r="B2341" s="11" t="s">
        <v>9</v>
      </c>
      <c r="C2341" s="11" t="s">
        <v>179</v>
      </c>
      <c r="D2341" s="11" t="s">
        <v>180</v>
      </c>
      <c r="E2341" s="9" t="str">
        <f>+HYPERLINK("http://trademark.i-assist.jp/data/china/image_1908th/80138488.pdf", "80138488")</f>
        <v>80138488</v>
      </c>
      <c r="F2341" s="11" t="s">
        <v>6550</v>
      </c>
      <c r="G2341" s="11" t="s">
        <v>6551</v>
      </c>
      <c r="H2341" s="11" t="s">
        <v>6552</v>
      </c>
      <c r="I2341" s="11" t="s">
        <v>6363</v>
      </c>
    </row>
    <row r="2342" spans="1:9" x14ac:dyDescent="0.15">
      <c r="A2342" s="10">
        <v>2341</v>
      </c>
      <c r="B2342" s="11" t="s">
        <v>9</v>
      </c>
      <c r="C2342" s="11" t="s">
        <v>179</v>
      </c>
      <c r="D2342" s="11" t="s">
        <v>180</v>
      </c>
      <c r="E2342" s="9" t="str">
        <f>+HYPERLINK("http://trademark.i-assist.jp/data/china/image_1908th/80139081.pdf", "80139081")</f>
        <v>80139081</v>
      </c>
      <c r="F2342" s="11" t="s">
        <v>6553</v>
      </c>
      <c r="G2342" s="11" t="s">
        <v>6429</v>
      </c>
      <c r="H2342" s="11" t="s">
        <v>6554</v>
      </c>
      <c r="I2342" s="11" t="s">
        <v>6363</v>
      </c>
    </row>
    <row r="2343" spans="1:9" x14ac:dyDescent="0.15">
      <c r="A2343" s="10">
        <v>2342</v>
      </c>
      <c r="B2343" s="11" t="s">
        <v>9</v>
      </c>
      <c r="C2343" s="11" t="s">
        <v>179</v>
      </c>
      <c r="D2343" s="11" t="s">
        <v>180</v>
      </c>
      <c r="E2343" s="9" t="str">
        <f>+HYPERLINK("http://trademark.i-assist.jp/data/china/image_1908th/80139166.pdf", "80139166")</f>
        <v>80139166</v>
      </c>
      <c r="F2343" s="11" t="s">
        <v>6555</v>
      </c>
      <c r="G2343" s="11" t="s">
        <v>6556</v>
      </c>
      <c r="H2343" s="11" t="s">
        <v>6557</v>
      </c>
      <c r="I2343" s="11" t="s">
        <v>6363</v>
      </c>
    </row>
    <row r="2344" spans="1:9" x14ac:dyDescent="0.15">
      <c r="A2344" s="10">
        <v>2343</v>
      </c>
      <c r="B2344" s="11" t="s">
        <v>9</v>
      </c>
      <c r="C2344" s="11" t="s">
        <v>179</v>
      </c>
      <c r="D2344" s="11" t="s">
        <v>180</v>
      </c>
      <c r="E2344" s="9" t="str">
        <f>+HYPERLINK("http://trademark.i-assist.jp/data/china/image_1908th/80139357.pdf", "80139357")</f>
        <v>80139357</v>
      </c>
      <c r="F2344" s="11" t="s">
        <v>6558</v>
      </c>
      <c r="G2344" s="11" t="s">
        <v>6559</v>
      </c>
      <c r="H2344" s="11" t="s">
        <v>6560</v>
      </c>
      <c r="I2344" s="11" t="s">
        <v>6363</v>
      </c>
    </row>
    <row r="2345" spans="1:9" x14ac:dyDescent="0.15">
      <c r="A2345" s="10">
        <v>2344</v>
      </c>
      <c r="B2345" s="11" t="s">
        <v>9</v>
      </c>
      <c r="C2345" s="11" t="s">
        <v>179</v>
      </c>
      <c r="D2345" s="11" t="s">
        <v>180</v>
      </c>
      <c r="E2345" s="9" t="str">
        <f>+HYPERLINK("http://trademark.i-assist.jp/data/china/image_1908th/80139404.pdf", "80139404")</f>
        <v>80139404</v>
      </c>
      <c r="F2345" s="11" t="s">
        <v>6561</v>
      </c>
      <c r="G2345" s="11" t="s">
        <v>6472</v>
      </c>
      <c r="H2345" s="11" t="s">
        <v>6562</v>
      </c>
      <c r="I2345" s="11" t="s">
        <v>6363</v>
      </c>
    </row>
    <row r="2346" spans="1:9" x14ac:dyDescent="0.15">
      <c r="A2346" s="10">
        <v>2345</v>
      </c>
      <c r="B2346" s="11" t="s">
        <v>9</v>
      </c>
      <c r="C2346" s="11" t="s">
        <v>179</v>
      </c>
      <c r="D2346" s="11" t="s">
        <v>180</v>
      </c>
      <c r="E2346" s="9" t="str">
        <f>+HYPERLINK("http://trademark.i-assist.jp/data/china/image_1908th/80139468.pdf", "80139468")</f>
        <v>80139468</v>
      </c>
      <c r="F2346" s="11" t="s">
        <v>10</v>
      </c>
      <c r="G2346" s="11" t="s">
        <v>6563</v>
      </c>
      <c r="H2346" s="11" t="s">
        <v>6564</v>
      </c>
      <c r="I2346" s="11" t="s">
        <v>6363</v>
      </c>
    </row>
    <row r="2347" spans="1:9" x14ac:dyDescent="0.15">
      <c r="A2347" s="10">
        <v>2346</v>
      </c>
      <c r="B2347" s="11" t="s">
        <v>9</v>
      </c>
      <c r="C2347" s="11" t="s">
        <v>179</v>
      </c>
      <c r="D2347" s="11" t="s">
        <v>180</v>
      </c>
      <c r="E2347" s="9" t="str">
        <f>+HYPERLINK("http://trademark.i-assist.jp/data/china/image_1908th/80139693.pdf", "80139693")</f>
        <v>80139693</v>
      </c>
      <c r="F2347" s="11" t="s">
        <v>6565</v>
      </c>
      <c r="G2347" s="11" t="s">
        <v>6566</v>
      </c>
      <c r="H2347" s="11" t="s">
        <v>6567</v>
      </c>
      <c r="I2347" s="11" t="s">
        <v>6363</v>
      </c>
    </row>
    <row r="2348" spans="1:9" x14ac:dyDescent="0.15">
      <c r="A2348" s="10">
        <v>2347</v>
      </c>
      <c r="B2348" s="11" t="s">
        <v>9</v>
      </c>
      <c r="C2348" s="11" t="s">
        <v>179</v>
      </c>
      <c r="D2348" s="11" t="s">
        <v>180</v>
      </c>
      <c r="E2348" s="9" t="str">
        <f>+HYPERLINK("http://trademark.i-assist.jp/data/china/image_1908th/80139694.pdf", "80139694")</f>
        <v>80139694</v>
      </c>
      <c r="F2348" s="11" t="s">
        <v>6568</v>
      </c>
      <c r="G2348" s="11" t="s">
        <v>6566</v>
      </c>
      <c r="H2348" s="11" t="s">
        <v>6569</v>
      </c>
      <c r="I2348" s="11" t="s">
        <v>6363</v>
      </c>
    </row>
    <row r="2349" spans="1:9" x14ac:dyDescent="0.15">
      <c r="A2349" s="10">
        <v>2348</v>
      </c>
      <c r="B2349" s="11" t="s">
        <v>9</v>
      </c>
      <c r="C2349" s="11" t="s">
        <v>179</v>
      </c>
      <c r="D2349" s="11" t="s">
        <v>180</v>
      </c>
      <c r="E2349" s="9" t="str">
        <f>+HYPERLINK("http://trademark.i-assist.jp/data/china/image_1908th/80139698.pdf", "80139698")</f>
        <v>80139698</v>
      </c>
      <c r="F2349" s="11" t="s">
        <v>6570</v>
      </c>
      <c r="G2349" s="11" t="s">
        <v>6566</v>
      </c>
      <c r="H2349" s="11" t="s">
        <v>6571</v>
      </c>
      <c r="I2349" s="11" t="s">
        <v>6363</v>
      </c>
    </row>
    <row r="2350" spans="1:9" x14ac:dyDescent="0.15">
      <c r="A2350" s="10">
        <v>2349</v>
      </c>
      <c r="B2350" s="11" t="s">
        <v>9</v>
      </c>
      <c r="C2350" s="11" t="s">
        <v>179</v>
      </c>
      <c r="D2350" s="11" t="s">
        <v>180</v>
      </c>
      <c r="E2350" s="9" t="str">
        <f>+HYPERLINK("http://trademark.i-assist.jp/data/china/image_1908th/80139699.pdf", "80139699")</f>
        <v>80139699</v>
      </c>
      <c r="F2350" s="11" t="s">
        <v>6572</v>
      </c>
      <c r="G2350" s="11" t="s">
        <v>6455</v>
      </c>
      <c r="H2350" s="11" t="s">
        <v>6573</v>
      </c>
      <c r="I2350" s="11" t="s">
        <v>6363</v>
      </c>
    </row>
    <row r="2351" spans="1:9" x14ac:dyDescent="0.15">
      <c r="A2351" s="10">
        <v>2350</v>
      </c>
      <c r="B2351" s="11" t="s">
        <v>9</v>
      </c>
      <c r="C2351" s="11" t="s">
        <v>179</v>
      </c>
      <c r="D2351" s="11" t="s">
        <v>180</v>
      </c>
      <c r="E2351" s="9" t="str">
        <f>+HYPERLINK("http://trademark.i-assist.jp/data/china/image_1908th/80139701.pdf", "80139701")</f>
        <v>80139701</v>
      </c>
      <c r="F2351" s="11" t="s">
        <v>6574</v>
      </c>
      <c r="G2351" s="11" t="s">
        <v>6455</v>
      </c>
      <c r="H2351" s="11" t="s">
        <v>6575</v>
      </c>
      <c r="I2351" s="11" t="s">
        <v>6363</v>
      </c>
    </row>
    <row r="2352" spans="1:9" x14ac:dyDescent="0.15">
      <c r="A2352" s="10">
        <v>2351</v>
      </c>
      <c r="B2352" s="11" t="s">
        <v>9</v>
      </c>
      <c r="C2352" s="11" t="s">
        <v>179</v>
      </c>
      <c r="D2352" s="11" t="s">
        <v>180</v>
      </c>
      <c r="E2352" s="9" t="str">
        <f>+HYPERLINK("http://trademark.i-assist.jp/data/china/image_1908th/80139705.pdf", "80139705")</f>
        <v>80139705</v>
      </c>
      <c r="F2352" s="11" t="s">
        <v>6576</v>
      </c>
      <c r="G2352" s="11" t="s">
        <v>6455</v>
      </c>
      <c r="H2352" s="11" t="s">
        <v>6577</v>
      </c>
      <c r="I2352" s="11" t="s">
        <v>6363</v>
      </c>
    </row>
    <row r="2353" spans="1:9" x14ac:dyDescent="0.15">
      <c r="A2353" s="10">
        <v>2352</v>
      </c>
      <c r="B2353" s="11" t="s">
        <v>9</v>
      </c>
      <c r="C2353" s="11" t="s">
        <v>179</v>
      </c>
      <c r="D2353" s="11" t="s">
        <v>180</v>
      </c>
      <c r="E2353" s="9" t="str">
        <f>+HYPERLINK("http://trademark.i-assist.jp/data/china/image_1908th/80140443.pdf", "80140443")</f>
        <v>80140443</v>
      </c>
      <c r="F2353" s="11" t="s">
        <v>6578</v>
      </c>
      <c r="G2353" s="11" t="s">
        <v>6579</v>
      </c>
      <c r="H2353" s="11" t="s">
        <v>6580</v>
      </c>
      <c r="I2353" s="11" t="s">
        <v>6363</v>
      </c>
    </row>
    <row r="2354" spans="1:9" x14ac:dyDescent="0.15">
      <c r="A2354" s="10">
        <v>2353</v>
      </c>
      <c r="B2354" s="11" t="s">
        <v>9</v>
      </c>
      <c r="C2354" s="11" t="s">
        <v>179</v>
      </c>
      <c r="D2354" s="11" t="s">
        <v>180</v>
      </c>
      <c r="E2354" s="9" t="str">
        <f>+HYPERLINK("http://trademark.i-assist.jp/data/china/image_1908th/80140525.pdf", "80140525")</f>
        <v>80140525</v>
      </c>
      <c r="F2354" s="11" t="s">
        <v>6581</v>
      </c>
      <c r="G2354" s="11" t="s">
        <v>6582</v>
      </c>
      <c r="H2354" s="11" t="s">
        <v>6583</v>
      </c>
      <c r="I2354" s="11" t="s">
        <v>6363</v>
      </c>
    </row>
    <row r="2355" spans="1:9" x14ac:dyDescent="0.15">
      <c r="A2355" s="10">
        <v>2354</v>
      </c>
      <c r="B2355" s="11" t="s">
        <v>9</v>
      </c>
      <c r="C2355" s="11" t="s">
        <v>179</v>
      </c>
      <c r="D2355" s="11" t="s">
        <v>180</v>
      </c>
      <c r="E2355" s="9" t="str">
        <f>+HYPERLINK("http://trademark.i-assist.jp/data/china/image_1908th/80140585.pdf", "80140585")</f>
        <v>80140585</v>
      </c>
      <c r="F2355" s="11" t="s">
        <v>6584</v>
      </c>
      <c r="G2355" s="11" t="s">
        <v>6585</v>
      </c>
      <c r="H2355" s="11" t="s">
        <v>6586</v>
      </c>
      <c r="I2355" s="11" t="s">
        <v>6363</v>
      </c>
    </row>
    <row r="2356" spans="1:9" x14ac:dyDescent="0.15">
      <c r="A2356" s="10">
        <v>2355</v>
      </c>
      <c r="B2356" s="11" t="s">
        <v>9</v>
      </c>
      <c r="C2356" s="11" t="s">
        <v>179</v>
      </c>
      <c r="D2356" s="11" t="s">
        <v>180</v>
      </c>
      <c r="E2356" s="9" t="str">
        <f>+HYPERLINK("http://trademark.i-assist.jp/data/china/image_1908th/80140709.pdf", "80140709")</f>
        <v>80140709</v>
      </c>
      <c r="F2356" s="11" t="s">
        <v>6587</v>
      </c>
      <c r="G2356" s="11" t="s">
        <v>6588</v>
      </c>
      <c r="H2356" s="11" t="s">
        <v>6589</v>
      </c>
      <c r="I2356" s="11" t="s">
        <v>6363</v>
      </c>
    </row>
    <row r="2357" spans="1:9" x14ac:dyDescent="0.15">
      <c r="A2357" s="10">
        <v>2356</v>
      </c>
      <c r="B2357" s="11" t="s">
        <v>9</v>
      </c>
      <c r="C2357" s="11" t="s">
        <v>179</v>
      </c>
      <c r="D2357" s="11" t="s">
        <v>180</v>
      </c>
      <c r="E2357" s="9" t="str">
        <f>+HYPERLINK("http://trademark.i-assist.jp/data/china/image_1908th/80141194.pdf", "80141194")</f>
        <v>80141194</v>
      </c>
      <c r="F2357" s="11" t="s">
        <v>6590</v>
      </c>
      <c r="G2357" s="11" t="s">
        <v>6397</v>
      </c>
      <c r="H2357" s="11" t="s">
        <v>6591</v>
      </c>
      <c r="I2357" s="11" t="s">
        <v>6363</v>
      </c>
    </row>
    <row r="2358" spans="1:9" x14ac:dyDescent="0.15">
      <c r="A2358" s="10">
        <v>2357</v>
      </c>
      <c r="B2358" s="11" t="s">
        <v>9</v>
      </c>
      <c r="C2358" s="11" t="s">
        <v>179</v>
      </c>
      <c r="D2358" s="11" t="s">
        <v>180</v>
      </c>
      <c r="E2358" s="9" t="str">
        <f>+HYPERLINK("http://trademark.i-assist.jp/data/china/image_1908th/80143104.pdf", "80143104")</f>
        <v>80143104</v>
      </c>
      <c r="F2358" s="11" t="s">
        <v>6592</v>
      </c>
      <c r="G2358" s="11" t="s">
        <v>6593</v>
      </c>
      <c r="H2358" s="11" t="s">
        <v>6594</v>
      </c>
      <c r="I2358" s="11" t="s">
        <v>6595</v>
      </c>
    </row>
    <row r="2359" spans="1:9" x14ac:dyDescent="0.15">
      <c r="A2359" s="10">
        <v>2358</v>
      </c>
      <c r="B2359" s="11" t="s">
        <v>9</v>
      </c>
      <c r="C2359" s="11" t="s">
        <v>179</v>
      </c>
      <c r="D2359" s="11" t="s">
        <v>180</v>
      </c>
      <c r="E2359" s="9" t="str">
        <f>+HYPERLINK("http://trademark.i-assist.jp/data/china/image_1908th/80145345.pdf", "80145345")</f>
        <v>80145345</v>
      </c>
      <c r="F2359" s="11" t="s">
        <v>6596</v>
      </c>
      <c r="G2359" s="11" t="s">
        <v>6597</v>
      </c>
      <c r="H2359" s="11" t="s">
        <v>6598</v>
      </c>
      <c r="I2359" s="11" t="s">
        <v>6595</v>
      </c>
    </row>
    <row r="2360" spans="1:9" x14ac:dyDescent="0.15">
      <c r="A2360" s="10">
        <v>2359</v>
      </c>
      <c r="B2360" s="11" t="s">
        <v>9</v>
      </c>
      <c r="C2360" s="11" t="s">
        <v>179</v>
      </c>
      <c r="D2360" s="11" t="s">
        <v>180</v>
      </c>
      <c r="E2360" s="9" t="str">
        <f>+HYPERLINK("http://trademark.i-assist.jp/data/china/image_1908th/80146540.pdf", "80146540")</f>
        <v>80146540</v>
      </c>
      <c r="F2360" s="11" t="s">
        <v>6599</v>
      </c>
      <c r="G2360" s="11" t="s">
        <v>177</v>
      </c>
      <c r="H2360" s="11" t="s">
        <v>178</v>
      </c>
      <c r="I2360" s="11" t="s">
        <v>6595</v>
      </c>
    </row>
    <row r="2361" spans="1:9" x14ac:dyDescent="0.15">
      <c r="A2361" s="10">
        <v>2360</v>
      </c>
      <c r="B2361" s="11" t="s">
        <v>9</v>
      </c>
      <c r="C2361" s="11" t="s">
        <v>179</v>
      </c>
      <c r="D2361" s="11" t="s">
        <v>180</v>
      </c>
      <c r="E2361" s="9" t="str">
        <f>+HYPERLINK("http://trademark.i-assist.jp/data/china/image_1908th/80153842.pdf", "80153842")</f>
        <v>80153842</v>
      </c>
      <c r="F2361" s="11" t="s">
        <v>6600</v>
      </c>
      <c r="G2361" s="11" t="s">
        <v>6601</v>
      </c>
      <c r="H2361" s="11" t="s">
        <v>6602</v>
      </c>
      <c r="I2361" s="11" t="s">
        <v>6595</v>
      </c>
    </row>
    <row r="2362" spans="1:9" x14ac:dyDescent="0.15">
      <c r="A2362" s="10">
        <v>2361</v>
      </c>
      <c r="B2362" s="11" t="s">
        <v>9</v>
      </c>
      <c r="C2362" s="11" t="s">
        <v>179</v>
      </c>
      <c r="D2362" s="11" t="s">
        <v>180</v>
      </c>
      <c r="E2362" s="9" t="str">
        <f>+HYPERLINK("http://trademark.i-assist.jp/data/china/image_1908th/80153903.pdf", "80153903")</f>
        <v>80153903</v>
      </c>
      <c r="F2362" s="11" t="s">
        <v>6603</v>
      </c>
      <c r="G2362" s="11" t="s">
        <v>6604</v>
      </c>
      <c r="H2362" s="11" t="s">
        <v>6605</v>
      </c>
      <c r="I2362" s="11" t="s">
        <v>6595</v>
      </c>
    </row>
    <row r="2363" spans="1:9" x14ac:dyDescent="0.15">
      <c r="A2363" s="10">
        <v>2362</v>
      </c>
      <c r="B2363" s="11" t="s">
        <v>9</v>
      </c>
      <c r="C2363" s="11" t="s">
        <v>179</v>
      </c>
      <c r="D2363" s="11" t="s">
        <v>180</v>
      </c>
      <c r="E2363" s="9" t="str">
        <f>+HYPERLINK("http://trademark.i-assist.jp/data/china/image_1908th/80158050.pdf", "80158050")</f>
        <v>80158050</v>
      </c>
      <c r="F2363" s="11" t="s">
        <v>6606</v>
      </c>
      <c r="G2363" s="11" t="s">
        <v>6607</v>
      </c>
      <c r="H2363" s="11" t="s">
        <v>6608</v>
      </c>
      <c r="I2363" s="11" t="s">
        <v>6595</v>
      </c>
    </row>
    <row r="2364" spans="1:9" x14ac:dyDescent="0.15">
      <c r="A2364" s="10">
        <v>2363</v>
      </c>
      <c r="B2364" s="11" t="s">
        <v>9</v>
      </c>
      <c r="C2364" s="11" t="s">
        <v>179</v>
      </c>
      <c r="D2364" s="11" t="s">
        <v>180</v>
      </c>
      <c r="E2364" s="9" t="str">
        <f>+HYPERLINK("http://trademark.i-assist.jp/data/china/image_1908th/80166105.pdf", "80166105")</f>
        <v>80166105</v>
      </c>
      <c r="F2364" s="11" t="s">
        <v>6609</v>
      </c>
      <c r="G2364" s="11" t="s">
        <v>6610</v>
      </c>
      <c r="H2364" s="11" t="s">
        <v>6611</v>
      </c>
      <c r="I2364" s="11" t="s">
        <v>6612</v>
      </c>
    </row>
    <row r="2365" spans="1:9" x14ac:dyDescent="0.15">
      <c r="A2365" s="10">
        <v>2364</v>
      </c>
      <c r="B2365" s="11" t="s">
        <v>9</v>
      </c>
      <c r="C2365" s="11" t="s">
        <v>179</v>
      </c>
      <c r="D2365" s="11" t="s">
        <v>180</v>
      </c>
      <c r="E2365" s="9" t="str">
        <f>+HYPERLINK("http://trademark.i-assist.jp/data/china/image_1908th/80172841.pdf", "80172841")</f>
        <v>80172841</v>
      </c>
      <c r="F2365" s="11" t="s">
        <v>6613</v>
      </c>
      <c r="G2365" s="11" t="s">
        <v>6614</v>
      </c>
      <c r="H2365" s="11" t="s">
        <v>6615</v>
      </c>
      <c r="I2365" s="11" t="s">
        <v>6616</v>
      </c>
    </row>
    <row r="2366" spans="1:9" x14ac:dyDescent="0.15">
      <c r="A2366" s="10">
        <v>2365</v>
      </c>
      <c r="B2366" s="11" t="s">
        <v>9</v>
      </c>
      <c r="C2366" s="11" t="s">
        <v>179</v>
      </c>
      <c r="D2366" s="11" t="s">
        <v>180</v>
      </c>
      <c r="E2366" s="9" t="str">
        <f>+HYPERLINK("http://trademark.i-assist.jp/data/china/image_1908th/80176211.pdf", "80176211")</f>
        <v>80176211</v>
      </c>
      <c r="F2366" s="11" t="s">
        <v>6617</v>
      </c>
      <c r="G2366" s="11" t="s">
        <v>6618</v>
      </c>
      <c r="H2366" s="11" t="s">
        <v>6619</v>
      </c>
      <c r="I2366" s="11" t="s">
        <v>6616</v>
      </c>
    </row>
    <row r="2367" spans="1:9" x14ac:dyDescent="0.15">
      <c r="A2367" s="10">
        <v>2366</v>
      </c>
      <c r="B2367" s="11" t="s">
        <v>9</v>
      </c>
      <c r="C2367" s="11" t="s">
        <v>179</v>
      </c>
      <c r="D2367" s="11" t="s">
        <v>180</v>
      </c>
      <c r="E2367" s="9" t="str">
        <f>+HYPERLINK("http://trademark.i-assist.jp/data/china/image_1908th/80183587.pdf", "80183587")</f>
        <v>80183587</v>
      </c>
      <c r="F2367" s="11" t="s">
        <v>6620</v>
      </c>
      <c r="G2367" s="11" t="s">
        <v>6621</v>
      </c>
      <c r="H2367" s="11" t="s">
        <v>6622</v>
      </c>
      <c r="I2367" s="11" t="s">
        <v>6616</v>
      </c>
    </row>
    <row r="2368" spans="1:9" x14ac:dyDescent="0.15">
      <c r="A2368" s="10">
        <v>2367</v>
      </c>
      <c r="B2368" s="11" t="s">
        <v>9</v>
      </c>
      <c r="C2368" s="11" t="s">
        <v>179</v>
      </c>
      <c r="D2368" s="11" t="s">
        <v>180</v>
      </c>
      <c r="E2368" s="9" t="str">
        <f>+HYPERLINK("http://trademark.i-assist.jp/data/china/image_1908th/80186150.pdf", "80186150")</f>
        <v>80186150</v>
      </c>
      <c r="F2368" s="11" t="s">
        <v>6623</v>
      </c>
      <c r="G2368" s="11" t="s">
        <v>6614</v>
      </c>
      <c r="H2368" s="11" t="s">
        <v>6624</v>
      </c>
      <c r="I2368" s="11" t="s">
        <v>6616</v>
      </c>
    </row>
    <row r="2369" spans="1:9" x14ac:dyDescent="0.15">
      <c r="A2369" s="10">
        <v>2368</v>
      </c>
      <c r="B2369" s="11" t="s">
        <v>9</v>
      </c>
      <c r="C2369" s="11" t="s">
        <v>179</v>
      </c>
      <c r="D2369" s="11" t="s">
        <v>180</v>
      </c>
      <c r="E2369" s="9" t="str">
        <f>+HYPERLINK("http://trademark.i-assist.jp/data/china/image_1908th/80189272.pdf", "80189272")</f>
        <v>80189272</v>
      </c>
      <c r="F2369" s="11" t="s">
        <v>6625</v>
      </c>
      <c r="G2369" s="11" t="s">
        <v>6618</v>
      </c>
      <c r="H2369" s="11" t="s">
        <v>6626</v>
      </c>
      <c r="I2369" s="11" t="s">
        <v>6616</v>
      </c>
    </row>
    <row r="2370" spans="1:9" x14ac:dyDescent="0.15">
      <c r="A2370" s="10">
        <v>2369</v>
      </c>
      <c r="B2370" s="11" t="s">
        <v>9</v>
      </c>
      <c r="C2370" s="11" t="s">
        <v>179</v>
      </c>
      <c r="D2370" s="11" t="s">
        <v>180</v>
      </c>
      <c r="E2370" s="9" t="str">
        <f>+HYPERLINK("http://trademark.i-assist.jp/data/china/image_1908th/80194871.pdf", "80194871")</f>
        <v>80194871</v>
      </c>
      <c r="F2370" s="11" t="s">
        <v>6627</v>
      </c>
      <c r="G2370" s="11" t="s">
        <v>6618</v>
      </c>
      <c r="H2370" s="11" t="s">
        <v>6628</v>
      </c>
      <c r="I2370" s="11" t="s">
        <v>6616</v>
      </c>
    </row>
    <row r="2371" spans="1:9" x14ac:dyDescent="0.15">
      <c r="A2371" s="10">
        <v>2370</v>
      </c>
      <c r="B2371" s="11" t="s">
        <v>9</v>
      </c>
      <c r="C2371" s="11" t="s">
        <v>179</v>
      </c>
      <c r="D2371" s="11" t="s">
        <v>180</v>
      </c>
      <c r="E2371" s="9" t="str">
        <f>+HYPERLINK("http://trademark.i-assist.jp/data/china/image_1908th/80195202.pdf", "80195202")</f>
        <v>80195202</v>
      </c>
      <c r="F2371" s="11" t="s">
        <v>6629</v>
      </c>
      <c r="G2371" s="11" t="s">
        <v>6618</v>
      </c>
      <c r="H2371" s="11" t="s">
        <v>6630</v>
      </c>
      <c r="I2371" s="11" t="s">
        <v>6616</v>
      </c>
    </row>
    <row r="2372" spans="1:9" x14ac:dyDescent="0.15">
      <c r="A2372" s="10">
        <v>2371</v>
      </c>
      <c r="B2372" s="11" t="s">
        <v>9</v>
      </c>
      <c r="C2372" s="11" t="s">
        <v>179</v>
      </c>
      <c r="D2372" s="11" t="s">
        <v>180</v>
      </c>
      <c r="E2372" s="9" t="str">
        <f>+HYPERLINK("http://trademark.i-assist.jp/data/china/image_1908th/80233462.pdf", "80233462")</f>
        <v>80233462</v>
      </c>
      <c r="F2372" s="11" t="s">
        <v>10</v>
      </c>
      <c r="G2372" s="11" t="s">
        <v>6631</v>
      </c>
      <c r="H2372" s="11" t="s">
        <v>6632</v>
      </c>
      <c r="I2372" s="11" t="s">
        <v>6633</v>
      </c>
    </row>
    <row r="2373" spans="1:9" x14ac:dyDescent="0.15">
      <c r="A2373" s="10">
        <v>2372</v>
      </c>
      <c r="B2373" s="11" t="s">
        <v>9</v>
      </c>
      <c r="C2373" s="11" t="s">
        <v>179</v>
      </c>
      <c r="D2373" s="11" t="s">
        <v>180</v>
      </c>
      <c r="E2373" s="9" t="str">
        <f>+HYPERLINK("http://trademark.i-assist.jp/data/china/image_1908th/80248741.pdf", "80248741")</f>
        <v>80248741</v>
      </c>
      <c r="F2373" s="11" t="s">
        <v>6634</v>
      </c>
      <c r="G2373" s="11" t="s">
        <v>6635</v>
      </c>
      <c r="H2373" s="11" t="s">
        <v>6636</v>
      </c>
      <c r="I2373" s="11" t="s">
        <v>6637</v>
      </c>
    </row>
    <row r="2374" spans="1:9" x14ac:dyDescent="0.15">
      <c r="A2374" s="10">
        <v>2373</v>
      </c>
      <c r="B2374" s="11" t="s">
        <v>9</v>
      </c>
      <c r="C2374" s="11" t="s">
        <v>179</v>
      </c>
      <c r="D2374" s="11" t="s">
        <v>180</v>
      </c>
      <c r="E2374" s="9" t="str">
        <f>+HYPERLINK("http://trademark.i-assist.jp/data/china/image_1908th/80263772.pdf", "80263772")</f>
        <v>80263772</v>
      </c>
      <c r="F2374" s="11" t="s">
        <v>10</v>
      </c>
      <c r="G2374" s="11" t="s">
        <v>6638</v>
      </c>
      <c r="H2374" s="11" t="s">
        <v>6639</v>
      </c>
      <c r="I2374" s="11" t="s">
        <v>6637</v>
      </c>
    </row>
    <row r="2375" spans="1:9" x14ac:dyDescent="0.15">
      <c r="A2375" s="10">
        <v>2374</v>
      </c>
      <c r="B2375" s="11" t="s">
        <v>9</v>
      </c>
      <c r="C2375" s="11" t="s">
        <v>179</v>
      </c>
      <c r="D2375" s="11" t="s">
        <v>180</v>
      </c>
      <c r="E2375" s="9" t="str">
        <f>+HYPERLINK("http://trademark.i-assist.jp/data/china/image_1908th/80279219.pdf", "80279219")</f>
        <v>80279219</v>
      </c>
      <c r="F2375" s="11" t="s">
        <v>6640</v>
      </c>
      <c r="G2375" s="11" t="s">
        <v>6641</v>
      </c>
      <c r="H2375" s="11" t="s">
        <v>6642</v>
      </c>
      <c r="I2375" s="11" t="s">
        <v>6643</v>
      </c>
    </row>
    <row r="2376" spans="1:9" x14ac:dyDescent="0.15">
      <c r="A2376" s="10">
        <v>2375</v>
      </c>
      <c r="B2376" s="11" t="s">
        <v>9</v>
      </c>
      <c r="C2376" s="11" t="s">
        <v>179</v>
      </c>
      <c r="D2376" s="11" t="s">
        <v>180</v>
      </c>
      <c r="E2376" s="9" t="str">
        <f>+HYPERLINK("http://trademark.i-assist.jp/data/china/image_1908th/80286310.pdf", "80286310")</f>
        <v>80286310</v>
      </c>
      <c r="F2376" s="11" t="s">
        <v>6644</v>
      </c>
      <c r="G2376" s="11" t="s">
        <v>6645</v>
      </c>
      <c r="H2376" s="11" t="s">
        <v>6646</v>
      </c>
      <c r="I2376" s="11" t="s">
        <v>6643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1908th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2025-03-11T08:40:53Z</dcterms:modified>
</cp:coreProperties>
</file>