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B40AC736-F46C-4BCD-AC38-5E389E4B40DA}" xr6:coauthVersionLast="47" xr6:coauthVersionMax="47" xr10:uidLastSave="{00000000-0000-0000-0000-000000000000}"/>
  <bookViews>
    <workbookView xWindow="5715" yWindow="1710" windowWidth="21600" windowHeight="11295" xr2:uid="{00000000-000D-0000-FFFF-FFFF00000000}"/>
  </bookViews>
  <sheets>
    <sheet name="1906th" sheetId="2" r:id="rId1"/>
  </sheets>
  <definedNames>
    <definedName name="_xlnm._FilterDatabase" localSheetId="0" hidden="1">'1906th'!$A$1:$I$1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</calcChain>
</file>

<file path=xl/sharedStrings.xml><?xml version="1.0" encoding="utf-8"?>
<sst xmlns="http://schemas.openxmlformats.org/spreadsheetml/2006/main" count="10250" uniqueCount="4204">
  <si>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</si>
  <si>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</si>
  <si>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</si>
  <si>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</si>
  <si>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</si>
  <si>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</si>
  <si>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</si>
  <si>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</si>
  <si>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</si>
  <si>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</si>
  <si>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</si>
  <si>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</si>
  <si>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图形</t>
  </si>
  <si>
    <t>酒精饮料（啤酒除外）</t>
  </si>
  <si>
    <t/>
  </si>
  <si>
    <t>⽩酒</t>
  </si>
  <si>
    <t>中国红双喜集团股份有限公司</t>
  </si>
  <si>
    <t>贵州京谭酒业有限责任公司</t>
  </si>
  <si>
    <t>2024/04/16</t>
  </si>
  <si>
    <t>2024/04/26</t>
  </si>
  <si>
    <t>2024/04/29</t>
  </si>
  <si>
    <t>2024/05/06</t>
  </si>
  <si>
    <t>贵州省仁怀市茅台镇衡昌烧坊酿酒有限公司</t>
  </si>
  <si>
    <t>2024/05/08</t>
  </si>
  <si>
    <t>2024/05/09</t>
  </si>
  <si>
    <t>2024/05/10</t>
  </si>
  <si>
    <t>2024/05/11</t>
  </si>
  <si>
    <t>山东百脉泉酒业股份有限公司</t>
  </si>
  <si>
    <t>2024/05/14</t>
  </si>
  <si>
    <t>2024/05/15</t>
  </si>
  <si>
    <t>2024/05/28</t>
  </si>
  <si>
    <t>河南睢王酒业有限公司</t>
  </si>
  <si>
    <t>⽩⼲酒（中国⽩酒）;除啤酒外的酒精饮料;⽶酒;⻩酒;烧酒;鸡尾酒;⾼粱酒;⽩酒;烈酒;葡萄酒</t>
  </si>
  <si>
    <t>2023/09/07</t>
  </si>
  <si>
    <t>2023/09/27</t>
  </si>
  <si>
    <t>2024/03/19</t>
  </si>
  <si>
    <t>查银桃</t>
  </si>
  <si>
    <t>袁龙</t>
  </si>
  <si>
    <t>2024/05/16</t>
  </si>
  <si>
    <t>2024/05/17</t>
  </si>
  <si>
    <t>2024/05/22</t>
  </si>
  <si>
    <t>2024/05/23</t>
  </si>
  <si>
    <t>王坤</t>
  </si>
  <si>
    <t>2024/05/25</t>
  </si>
  <si>
    <t>2024/05/27</t>
  </si>
  <si>
    <t>2024/05/29</t>
  </si>
  <si>
    <t>王明刚</t>
  </si>
  <si>
    <t>2024/05/30</t>
  </si>
  <si>
    <t>许冬惠</t>
  </si>
  <si>
    <t>2024/05/31</t>
  </si>
  <si>
    <t>佘锦亮</t>
  </si>
  <si>
    <t>2024/06/03</t>
  </si>
  <si>
    <t>2024/06/05</t>
  </si>
  <si>
    <t>吴婵</t>
  </si>
  <si>
    <t>新疆沁园春雪信息科技有限责任公司</t>
  </si>
  <si>
    <t>2024/06/06</t>
  </si>
  <si>
    <t>2024/06/07</t>
  </si>
  <si>
    <t>2024/06/08</t>
  </si>
  <si>
    <t>2024/06/11</t>
  </si>
  <si>
    <t>2024/06/12</t>
  </si>
  <si>
    <t>2024/06/13</t>
  </si>
  <si>
    <t>2024/06/14</t>
  </si>
  <si>
    <t>2024/06/15</t>
  </si>
  <si>
    <t>2024/06/17</t>
  </si>
  <si>
    <t>2024/06/18</t>
  </si>
  <si>
    <t>2024/06/19</t>
  </si>
  <si>
    <t>2024/06/20</t>
  </si>
  <si>
    <t>刘海欢</t>
  </si>
  <si>
    <t>贵州研牌酒业有限公司</t>
  </si>
  <si>
    <t>2023/06/30</t>
  </si>
  <si>
    <t>福泉泉酒</t>
  </si>
  <si>
    <t>朱怀珊</t>
  </si>
  <si>
    <t>2023/07/24</t>
  </si>
  <si>
    <t>2023/09/12</t>
  </si>
  <si>
    <t>2023/09/15</t>
  </si>
  <si>
    <t>2023/10/23</t>
  </si>
  <si>
    <t>2023/10/27</t>
  </si>
  <si>
    <t>2023/11/06</t>
  </si>
  <si>
    <t>2023/11/17</t>
  </si>
  <si>
    <t>2023/11/21</t>
  </si>
  <si>
    <t>2023/11/23</t>
  </si>
  <si>
    <t>2024/04/24</t>
  </si>
  <si>
    <t>河南德信诚商贸有限公司</t>
  </si>
  <si>
    <t>杰罗尊达股份公司</t>
  </si>
  <si>
    <t>内蒙古世纪呼白酒业有限责任公司</t>
  </si>
  <si>
    <t>黄佳浩</t>
  </si>
  <si>
    <t>肆拾玖坊（天津）电子商务有限公司</t>
  </si>
  <si>
    <t>山西青瓷酒厂股份有限公司</t>
  </si>
  <si>
    <t>稒阳</t>
  </si>
  <si>
    <t>石振华</t>
  </si>
  <si>
    <t>贵州国炫酒业有限公司</t>
  </si>
  <si>
    <t>向娟</t>
  </si>
  <si>
    <t>谢升伟</t>
  </si>
  <si>
    <t>王辉</t>
  </si>
  <si>
    <t>北京酒追誉贸易有限公司</t>
  </si>
  <si>
    <t>姜富双</t>
  </si>
  <si>
    <t>毛元辉</t>
  </si>
  <si>
    <t>安徽有无酒业有限公司</t>
  </si>
  <si>
    <t>浏阳高朗烈酒酿造有限公司</t>
  </si>
  <si>
    <t>倪小刚</t>
  </si>
  <si>
    <t>山西百年青瓷老酒坊酒业有限公司</t>
  </si>
  <si>
    <t>昆明清雾百货商行（个人独资）</t>
  </si>
  <si>
    <t>2024/06/21</t>
  </si>
  <si>
    <t>2024/06/22</t>
  </si>
  <si>
    <t>谢事成</t>
  </si>
  <si>
    <t>2024/06/24</t>
  </si>
  <si>
    <t>李佳</t>
  </si>
  <si>
    <t>宜宾邓祖企业管理有限公司</t>
  </si>
  <si>
    <t>张科锦</t>
  </si>
  <si>
    <t>2024/06/25</t>
  </si>
  <si>
    <t>莫日华</t>
  </si>
  <si>
    <t>李玉振</t>
  </si>
  <si>
    <t>2024/06/26</t>
  </si>
  <si>
    <t>贵州金谷裕坊酒业有限公司</t>
  </si>
  <si>
    <t>刘晓龙</t>
  </si>
  <si>
    <t>2024/06/27</t>
  </si>
  <si>
    <t>2024/06/28</t>
  </si>
  <si>
    <t>邵艳轻41042********5644X</t>
  </si>
  <si>
    <t>张盛开</t>
  </si>
  <si>
    <t>冯雨阳</t>
  </si>
  <si>
    <t>2024/06/29</t>
  </si>
  <si>
    <t>落羽杉(北京)健康科技有限公司</t>
  </si>
  <si>
    <t>孟礼韩</t>
  </si>
  <si>
    <t>2024/06/30</t>
  </si>
  <si>
    <t>2024/07/01</t>
  </si>
  <si>
    <t>君顶葡萄酒控股有限公司</t>
  </si>
  <si>
    <t>习水古赤酒业有限公司</t>
  </si>
  <si>
    <t>2024/07/02</t>
  </si>
  <si>
    <t>袁梅新</t>
  </si>
  <si>
    <t>河南润瀚玻璃有限公司</t>
  </si>
  <si>
    <t>史开锐</t>
  </si>
  <si>
    <t>2024/07/03</t>
  </si>
  <si>
    <t>崇州市人生酒业有限公司</t>
  </si>
  <si>
    <t>天津市大强酒业贸易有限公司</t>
  </si>
  <si>
    <t>黄展成</t>
  </si>
  <si>
    <t>2024/07/04</t>
  </si>
  <si>
    <t>赵亚洲</t>
  </si>
  <si>
    <t>云南地标运营产业发展有限公司</t>
  </si>
  <si>
    <t>2024/07/05</t>
  </si>
  <si>
    <t>李庆洪</t>
  </si>
  <si>
    <t>2024/07/06</t>
  </si>
  <si>
    <t>2024/07/07</t>
  </si>
  <si>
    <t>2024/07/08</t>
  </si>
  <si>
    <t>2024/07/09</t>
  </si>
  <si>
    <t>绍兴虞之梦食品有限公司</t>
  </si>
  <si>
    <t>2024/07/10</t>
  </si>
  <si>
    <t>王鹏</t>
  </si>
  <si>
    <t>王芳</t>
  </si>
  <si>
    <t>温福祥</t>
  </si>
  <si>
    <t>菏泽福岭酒店管理有限公司</t>
  </si>
  <si>
    <t>2024/07/11</t>
  </si>
  <si>
    <t>曾庆文</t>
  </si>
  <si>
    <t>1906</t>
  </si>
  <si>
    <t>2024/10/6</t>
  </si>
  <si>
    <t>发财金</t>
  </si>
  <si>
    <t>保定名世科技有限公司</t>
  </si>
  <si>
    <t>鸡尾酒;⻩酒;含⽔果酒精饮料;葡萄酒;酒精饮料（啤酒除外）;烈酒（饮料）;烧酒;果酒（含酒精）;⽩兰地;⽶酒</t>
  </si>
  <si>
    <t>2020/09/16</t>
  </si>
  <si>
    <t>睢酒王</t>
  </si>
  <si>
    <t>果酒（含酒精）;苦味酒;蒸馏饮料;葡萄酒;开胃酒;酒精饮料原汁;含⽔果酒精饮料;⽶酒;⽩酒;烈酒（饮料）</t>
  </si>
  <si>
    <t>2020/10/15</t>
  </si>
  <si>
    <t>红遵宴</t>
  </si>
  <si>
    <t>遵义琳珊商贸有限公司</t>
  </si>
  <si>
    <t>威⼠忌;由⾕物蒸馏的⽩酒;⽩酒;伏特加酒;⻩酒;果酒;酒精饮料（啤酒除外）;烧酒;⾼粱酒;鸡尾酒</t>
  </si>
  <si>
    <t>2021/03/30</t>
  </si>
  <si>
    <t>知北村</t>
  </si>
  <si>
    <t>梅河口市鹭航旅游管理有限公司</t>
  </si>
  <si>
    <t>⽩酒;果酒（含酒精）;酒精饮料（啤酒除外）;⽶酒;烈酒（饮料）;⽩兰地;清酒（⽇本⽶酒）;开胃酒;烧酒;葡萄酒</t>
  </si>
  <si>
    <t>2021/12/08</t>
  </si>
  <si>
    <t>悠夫农庄</t>
  </si>
  <si>
    <t>北京诚智恒硕生态农业发展有限公司</t>
  </si>
  <si>
    <t>2022/01/14</t>
  </si>
  <si>
    <t>溪谷留香</t>
  </si>
  <si>
    <t>叶家亮</t>
  </si>
  <si>
    <t>⽼酒（中国蒸馏烈酒）;开胃酒;葡萄酒;⽶酒;⻘稞酒;果酒;果酒（含酒精）;蒸煮提取物（利⼝酒和烈酒）;利⼝酒;⽩酒</t>
  </si>
  <si>
    <t>2022/02/23</t>
  </si>
  <si>
    <t>酩露</t>
  </si>
  <si>
    <t>成都市华天悦商贸有限公司</t>
  </si>
  <si>
    <t>威⼠忌;起泡⽩葡萄酒;起泡红葡萄酒;果酒（含酒精）;⽩兰地;蜂蜜酒;酒精饮料原汁;伏特加酒;汽酒;葡萄酒</t>
  </si>
  <si>
    <t>2022/05/11</t>
  </si>
  <si>
    <t>崇牌年份封藏</t>
  </si>
  <si>
    <t>贵州最藏酒业有限公司</t>
  </si>
  <si>
    <t>2022/06/16</t>
  </si>
  <si>
    <t>胜境庄园</t>
  </si>
  <si>
    <t>盘州市贵仁农业科技开发有限公司</t>
  </si>
  <si>
    <t>葡萄酒;含⽔果酒精饮料;威⼠忌;烈酒（饮料）;果酒（含酒精）;⽩酒;蒸煮提取物（利⼝酒和烈酒）;酒精饮料（啤酒除外）;鸡尾酒;⽩兰地</t>
  </si>
  <si>
    <t>2022/07/04</t>
  </si>
  <si>
    <t>崇 崇崇年藏</t>
  </si>
  <si>
    <t>果酒（含酒精）;蒸馏饮料;葡萄酒;酒精饮料（啤酒除外）;预先混合的酒精饮料（以啤酒为主的除外）;汽酒;⻩酒;烧酒;⽩酒;⽶酒</t>
  </si>
  <si>
    <t>2022/07/05</t>
  </si>
  <si>
    <t>雪峰</t>
  </si>
  <si>
    <t>四川剑南春(集团)有限责任公司</t>
  </si>
  <si>
    <t>⽩⼲酒（中国⽩酒）;由⾕物蒸馏的⽩酒;威⼠忌;酒精饮料（啤酒除外）;果酒;⽩酒;⻩酒;烧酒;烈酒;⽶酒</t>
  </si>
  <si>
    <t>2022/07/06</t>
  </si>
  <si>
    <t>7 健 SEVENKINS</t>
  </si>
  <si>
    <t>文山市永兴副食批发部</t>
  </si>
  <si>
    <t>⻘稞酒;⽩酒;⽩⼲酒（中国⽩酒）;果酒;⽶酒;伏特加酒;葡萄酒;烈酒（饮料）;酒精饮料（啤酒除外）;杜松⼦酒</t>
  </si>
  <si>
    <t>海涵天下</t>
  </si>
  <si>
    <t>上海中易得环保科技有限公司</t>
  </si>
  <si>
    <t>烧酒;果酒（含酒精）;葡萄酒;清酒（⽇本⽶酒）;⽩酒;⽶酒;鸡尾酒;烈酒（饮料）;酒精饮料（啤酒除外）;⻩酒</t>
  </si>
  <si>
    <t>2022/08/31</t>
  </si>
  <si>
    <t>罗斯福牛扒馆</t>
  </si>
  <si>
    <t>罗斯福有限公司</t>
  </si>
  <si>
    <t>鸡尾酒;烈酒（饮料）;酒精饮料（啤酒除外）;⽩兰地;威⼠忌;葡萄酒</t>
  </si>
  <si>
    <t>2022/09/02</t>
  </si>
  <si>
    <t>古藏封 N 36</t>
  </si>
  <si>
    <t>果酒（含酒精）;葡萄酒;酒精饮料（啤酒除外）;⽶酒;蒸馏饮料;汽酒;⻩酒;烧酒;⽩酒;预先混合的酒精饮料（以啤酒为主的除外）</t>
  </si>
  <si>
    <t>2022/09/07</t>
  </si>
  <si>
    <t>ESPOLON</t>
  </si>
  <si>
    <t>金巴利墨西哥股份有限公司</t>
  </si>
  <si>
    <t>烈酒（饮料）;含⽔果酒精饮料;龙⾆兰酒;葡萄酒;酒精饮料（啤酒除外）;利⼝酒;威⼠忌;杜松⼦酒;蒸馏饮料;苦味酒</t>
  </si>
  <si>
    <t>2022/09/14</t>
  </si>
  <si>
    <t>宾竹液</t>
  </si>
  <si>
    <t>四川宾竹酱酒业有限公司</t>
  </si>
  <si>
    <t>果酒（含酒精）;开胃酒;蒸馏饮料;葡萄酒;⽩酒;清酒（⽇本⽶酒）;酒精饮料（啤酒除外）;⽶酒;⾷⽤酒精;烈酒（饮料）</t>
  </si>
  <si>
    <t>2022/09/19</t>
  </si>
  <si>
    <t>年份睢酒</t>
  </si>
  <si>
    <t>2022/10/17</t>
  </si>
  <si>
    <t>晋粮陈</t>
  </si>
  <si>
    <t>广西夜来香茶叶集团有限公司</t>
  </si>
  <si>
    <t>果酒（含酒精）;⽶酒;⽩兰地;威⼠忌;烈酒（饮料）;酒精饮料（啤酒除外）;葡萄酒;⻩酒;⽩酒;蒸馏饮料</t>
  </si>
  <si>
    <t>2022/11/10</t>
  </si>
  <si>
    <t>真年古</t>
  </si>
  <si>
    <t>⽩酒;烧酒;果酒（含酒精）;蒸馏饮料;⻩酒;酒精饮料（啤酒除外）;⽶酒;预先混合的酒精饮料（以啤酒为主的除外）;汽酒;葡萄酒</t>
  </si>
  <si>
    <t>2022/11/11</t>
  </si>
  <si>
    <t>真年岁原</t>
  </si>
  <si>
    <t>2023/01/04</t>
  </si>
  <si>
    <t>徽老大 酒</t>
  </si>
  <si>
    <t>董曙光</t>
  </si>
  <si>
    <t>汽酒;⽩酒;烈酒（饮料）;威⼠忌;含⽔果酒精饮料;葡萄酒;⽩兰地;鸡尾酒;烧酒;伏特加酒</t>
  </si>
  <si>
    <t>2023/03/24</t>
  </si>
  <si>
    <t>露雅</t>
  </si>
  <si>
    <t>克罗红雅酒庄</t>
  </si>
  <si>
    <t>酒精饮料（啤酒除外）;红葡萄酒;⽩葡萄酒;葡萄酒</t>
  </si>
  <si>
    <t>2023/04/07</t>
  </si>
  <si>
    <t>琏酒</t>
  </si>
  <si>
    <t>果酒（含酒精）;蒸馏饮料;葡萄酒;酒精饮料（啤酒除外）;烧酒;⽶酒;预先混合的酒精饮料（以啤酒为主的除外）;汽酒;⻩酒;⽩酒</t>
  </si>
  <si>
    <t>2023/05/11</t>
  </si>
  <si>
    <t>WAKE UP</t>
  </si>
  <si>
    <t>郑州三位光农业科技有限公司</t>
  </si>
  <si>
    <t>⻩酒;烈酒（饮料）;烧酒;葡萄酒;清酒（⽇本⽶酒）;⽶酒;果酒（含酒精）;酒精饮料（啤酒除外）;鸡尾酒;⽩酒</t>
  </si>
  <si>
    <t>2023/05/31</t>
  </si>
  <si>
    <t>青空</t>
  </si>
  <si>
    <t>郑州青空文化传播有限公司</t>
  </si>
  <si>
    <t>⾼粱酒;清酒（⽇本⽶酒）;⾷⽤酒精;⽶酒;⻩酒;果酒;葡萄酒;烧酒;⽩酒;酒精饮料（啤酒除外）</t>
  </si>
  <si>
    <t>2023/06/26</t>
  </si>
  <si>
    <t>MAERSK</t>
  </si>
  <si>
    <t>A.P.穆勒-马士基有限公司</t>
  </si>
  <si>
    <t>酒精饮料（啤酒除外）;鸡尾酒;酒精饮料原汁;果酒（含酒精）;含⽔果酒精饮料;开胃酒;⾷⽤酒精;预先混合的酒精饮料（以啤酒为主的除外）;葡萄酒;烈酒（饮料）</t>
  </si>
  <si>
    <t>DOLADIRA</t>
  </si>
  <si>
    <t>埃尔比纳公司</t>
  </si>
  <si>
    <t>开胃酒;含酒精的鸡尾酒;酒精饮料（啤酒除外）;含酒精的利⼝酒;烈酒;烧酒（烈酒）</t>
  </si>
  <si>
    <t>2023/07/06</t>
  </si>
  <si>
    <t>BEAUTIFUL 必优特夫</t>
  </si>
  <si>
    <t>韩利荣</t>
  </si>
  <si>
    <t>伏特加酒;梨酒;烧酒;酒精饮料原汁;葡萄酒;含⽔果酒精饮料;⽶酒;开胃酒;果酒（含酒精）;⻘稞酒</t>
  </si>
  <si>
    <t>姬小满</t>
  </si>
  <si>
    <t>吴晶洋370402********3638</t>
  </si>
  <si>
    <t>威⼠忌;蒸馏饮料;果酒（含酒精）;⽩酒;⻩酒;烧酒;烈酒（饮料）;酒精饮料（啤酒除外）;鸡尾酒;⽶酒</t>
  </si>
  <si>
    <t>2023/07/27</t>
  </si>
  <si>
    <t>石板贡</t>
  </si>
  <si>
    <t>沈阳优米农业有限公司</t>
  </si>
  <si>
    <t>葡萄酒;⽶酒;汽酒;蒸馏饮料;⽩酒;酒精饮料（啤酒除外）;⾕物制蒸馏酒精饮料;⻩酒;预先混合的酒精饮料（以啤酒为主的除外）;果酒（含酒精）</t>
  </si>
  <si>
    <t>2023/08/11</t>
  </si>
  <si>
    <t>机遇</t>
  </si>
  <si>
    <t>范李明</t>
  </si>
  <si>
    <t>薄荷酒;亚⼒酒;茴⾹酒（利⼝酒）;开胃酒;清酒;苦味酒;⽶酒;⻩酒;⽩酒;果酒（含酒精）</t>
  </si>
  <si>
    <t>2023/08/18</t>
  </si>
  <si>
    <t>布鲁曼</t>
  </si>
  <si>
    <t>白玛扎扎</t>
  </si>
  <si>
    <t>苹果酒;利⼝酒;葡萄酒;⽶酒;由⾕物蒸馏的⽩酒;烈酒（饮料）;烈酒;⽩酒;⾼粱酒;⻘稞酒</t>
  </si>
  <si>
    <t>2023/08/24</t>
  </si>
  <si>
    <t>墨宝</t>
  </si>
  <si>
    <t>贵州财到福到贸易有限公司</t>
  </si>
  <si>
    <t>⾷⽤酒精;⽩酒;酒精饮料（啤酒除外）;汽酒;烧酒;果酒（含酒精）;鸡尾酒;葡萄酒;烈酒（饮料）;甜酒</t>
  </si>
  <si>
    <t>文萃</t>
  </si>
  <si>
    <t>郑州市鹤道企业管理咨询有限公司</t>
  </si>
  <si>
    <t>⻩酒;酒精饮料（啤酒除外）;果酒（含酒精）;鸡尾酒;烧酒;⽩酒;葡萄酒;烈酒（饮料）;⽶酒;清酒（⽇本⽶酒）</t>
  </si>
  <si>
    <t>黔哆客</t>
  </si>
  <si>
    <t>天津爱皓睿网络科技有限公司</t>
  </si>
  <si>
    <t>⽩⼲酒（中国⽩酒）;红葡萄酒;杨梅酒;⽶酒;开胃酒;⽩酒;⽩葡萄酒;餐后酒（利⼝酒和烈酒）;葡萄酒;鸡尾酒</t>
  </si>
  <si>
    <t>黄土人家</t>
  </si>
  <si>
    <t>榆林黄土人家文化产业发展有限公司</t>
  </si>
  <si>
    <t>酒精饮料（啤酒除外）;⽩兰地;葡萄酒;⻩酒;烧酒;开胃酒;⽶酒;蜂蜜酒;威⼠忌;果酒</t>
  </si>
  <si>
    <t>2023/09/20</t>
  </si>
  <si>
    <t>献典</t>
  </si>
  <si>
    <t>贵州荣聚烧坊品牌运营有限公司</t>
  </si>
  <si>
    <t>蜂蜜酒;⽶酒;⽩酒;烧酒;烈酒（饮料）;⻩酒;鸡尾酒;葡萄酒;果酒（含酒精）;⽩兰地</t>
  </si>
  <si>
    <t>2023/09/21</t>
  </si>
  <si>
    <t>大窑</t>
  </si>
  <si>
    <t>内蒙古金元集团呼和浩特制酒厂股份有限公司</t>
  </si>
  <si>
    <t>⻩酒;⽩酒;果酒（含酒精）;葡萄酒;烈酒（饮料）;⾷⽤酒精;烧酒;开胃酒;⻘稞酒;酒精饮料（啤酒除外）</t>
  </si>
  <si>
    <t>酒本粮</t>
  </si>
  <si>
    <t>李芸龙</t>
  </si>
  <si>
    <t>⽩酒;已调味的蒸馏酒;烧酒（烈酒）;烧酒;⾼粱酒;⽼酒（中国蒸馏烈酒）;露酒;⽩⼲酒（中国⽩酒）;由⾕物蒸馏的⽩酒;烈酒</t>
  </si>
  <si>
    <t>2023/10/07</t>
  </si>
  <si>
    <t>富阎</t>
  </si>
  <si>
    <t>陕西宏元庆商贸有限公司</t>
  </si>
  <si>
    <t>红葡萄酒;果酒;清酒;葡萄潘趣酒;⾼粱酒;⻩酒;⽶酒;⽩酒;甜酒;⽩⼲酒（中国⽩酒）</t>
  </si>
  <si>
    <t>2023/10/11</t>
  </si>
  <si>
    <t>楂楂兔</t>
  </si>
  <si>
    <t>商丘森林餐饮管理有限公司</t>
  </si>
  <si>
    <t>酒精饮料（啤酒除外）;蒸馏饮料;葡萄酒;⽶酒;含⽔果酒精饮料;利⼝酒;⽩酒;汽酒;果酒（含酒精）;清酒</t>
  </si>
  <si>
    <t>2023/10/18</t>
  </si>
  <si>
    <t>X BY GLENMORANGIE</t>
  </si>
  <si>
    <t>麦克唐纳和缪尔有限公司</t>
  </si>
  <si>
    <t>烈酒;酒精饮料（啤酒除外）;威⼠忌;葡萄酒;混合威⼠忌酒;⻨芽威⼠忌;利⼝酒</t>
  </si>
  <si>
    <t>奉酬</t>
  </si>
  <si>
    <t>孙开放</t>
  </si>
  <si>
    <t>蒸馏饮料;⾷⽤酒精;果酒;薄荷酒;⽩酒;葡萄酒;威⼠忌;鸡尾酒;⻩酒;苹果酒</t>
  </si>
  <si>
    <t>跪哺</t>
  </si>
  <si>
    <t>湖北中选穗粮商贸有限公司</t>
  </si>
  <si>
    <t>预先混合的酒精饮料（以啤酒为主的除外）;酒精饮料（啤酒除外）;⾕物制蒸馏酒精饮料;蒸馏⽶酒（泡盛酒）;含⽔果酒精饮料;烈酒;⽩酒;由⾕物蒸馏的⽩酒;⽼酒（中国蒸馏烈酒）;果酒（含酒精）</t>
  </si>
  <si>
    <t>刀耕火种</t>
  </si>
  <si>
    <t>河北刀耕火种米业有限公司</t>
  </si>
  <si>
    <t>酒精饮料原汁;酒精饮料（啤酒除外）;葡萄酒;⽩酒;果酒;⻘稞酒;⾷⽤酒精;⽼酒（中国蒸馏烈酒）;烧酒;⻩酒</t>
  </si>
  <si>
    <t>2023/11/02</t>
  </si>
  <si>
    <t>HSHONGSUI</t>
  </si>
  <si>
    <t>酒图酒储重庆供应链管理有限公司</t>
  </si>
  <si>
    <t>烧酒;果酒（含酒精）;葡萄酒;⻩酒;酒精饮料（啤酒除外）;⽶酒;鸡尾酒;⽩兰地;威⼠忌;⽩酒</t>
  </si>
  <si>
    <t>果酒;⽩兰地;蒸煮提取物（利⼝酒和烈酒）;蒸馏饮料;含⽔果酒精饮料;⽩酒;⾷⽤酒精;鸡尾酒;葡萄酒;酒精饮料（啤酒除外）</t>
  </si>
  <si>
    <t>2023/11/08</t>
  </si>
  <si>
    <t>AZUKI</t>
  </si>
  <si>
    <t>藏羚实验室公司</t>
  </si>
  <si>
    <t>葡萄酒;烧酒;利⼝酒;酒精饮料（啤酒除外）;果酒;含酒精的鸡尾酒混合饮品;以葡萄酒为主的饮料;鸡尾酒;开胃酒;烈酒（饮料）</t>
  </si>
  <si>
    <t>畴阳曦窖</t>
  </si>
  <si>
    <t>西畴县蚌谷乡鑫伟酒厂</t>
  </si>
  <si>
    <t>烈酒;威⼠忌;酒精饮料（啤酒除外）;⽶酒;烧酒;果酒;葡萄酒;开胃酒;⽩酒;预先混合的酒精饮料（以啤酒为主的除外）</t>
  </si>
  <si>
    <t>望斛亭</t>
  </si>
  <si>
    <t>安徽逸品山庄现代农业发展有限公司</t>
  </si>
  <si>
    <t>烈酒（饮料）;⽩兰地;⽶酒;果酒（含酒精）;⻩酒;鸡尾酒;酒精饮料（啤酒除外）;葡萄酒;⾷⽤酒精;⽩酒</t>
  </si>
  <si>
    <t>2023/11/10</t>
  </si>
  <si>
    <t>新富贵</t>
  </si>
  <si>
    <t>陈菊如</t>
  </si>
  <si>
    <t>烧酒;⻩酒;⽩酒;⽶酒;酒精饮料（啤酒除外）;烈酒;葡萄酒;梅酒;清酒;⾷⽤酒精</t>
  </si>
  <si>
    <t>2023/11/14</t>
  </si>
  <si>
    <t>西施优黄</t>
  </si>
  <si>
    <t>夏云奴</t>
  </si>
  <si>
    <t>葡萄酒;利⼝酒;⽶酒;⻩酒;烧酒;⽩酒;⾷⽤酒精;开胃酒;果酒（含酒精）;蜂蜜酒</t>
  </si>
  <si>
    <t>泉康达</t>
  </si>
  <si>
    <t>泉康达（广东）生物科技有限公司</t>
  </si>
  <si>
    <t>⾕物制蒸馏酒精饮料;⽶酒;⽩酒;⻩酒;烈酒（饮料）;果酒（含酒精）;葡萄酒;烧酒;含⽔果酒精饮料;汽酒</t>
  </si>
  <si>
    <t>2023/11/20</t>
  </si>
  <si>
    <t>京美源</t>
  </si>
  <si>
    <t>太原市京美源生鲜便利连锁有限公司</t>
  </si>
  <si>
    <t>蒸煮提取物（利⼝酒和烈酒）;果酒（含酒精）;⻩酒;⽩酒;酒精饮料（啤酒除外）;葡萄酒;⽩兰地;含酒精⽔果饮料;⽼酒（中国蒸馏烈酒）;⾼粱酒;蒸馏饮料;鸡尾酒;烧酒</t>
  </si>
  <si>
    <t>黔中梦</t>
  </si>
  <si>
    <t>广州美台酒业有限公司</t>
  </si>
  <si>
    <t>葡萄酒;烧酒;⽩酒;含⽔果酒精饮料;⻘稞酒;⻩酒</t>
  </si>
  <si>
    <t>泸世</t>
  </si>
  <si>
    <t>黄欢欢</t>
  </si>
  <si>
    <t>梨酒;露酒;烧酒;烈酒（饮料）;⽩酒;⽶酒;烈酒;甜酒;梅酒;⾼粱酒</t>
  </si>
  <si>
    <t>德品天下</t>
  </si>
  <si>
    <t>廖健健</t>
  </si>
  <si>
    <t>蒸煮提取物（利⼝酒和烈酒）;⾼粱酒;烧酒;葡萄酒;⽶酒;果酒（含酒精）;酒精饮料（啤酒除外）;⽩酒;鸡尾酒;⽼酒（中国蒸馏烈酒）</t>
  </si>
  <si>
    <t>2023/12/05</t>
  </si>
  <si>
    <t>万川汇泽</t>
  </si>
  <si>
    <t>福建万川电子商务服务有限公司</t>
  </si>
  <si>
    <t>⽩兰地;烈酒（饮料）;烧酒;⽩酒;威⼠忌;⽶酒;蒸馏饮料;葡萄酒;果酒（含酒精）</t>
  </si>
  <si>
    <t>2023/12/06</t>
  </si>
  <si>
    <t>阔酒</t>
  </si>
  <si>
    <t>忍酒(北京)酒业有限公司</t>
  </si>
  <si>
    <t>烧酒;⽼酒（中国蒸馏烈酒）;⽶酒;烈酒;伏特加酒;⽩酒;鸡尾酒;果酒;⽩兰地;⽩⼲酒（中国⽩酒）</t>
  </si>
  <si>
    <t>2023/12/07</t>
  </si>
  <si>
    <t>半腰酒</t>
  </si>
  <si>
    <t>内蒙古敕勒歌酒业有限责任公司</t>
  </si>
  <si>
    <t>蒸馏饮料;蒸煮提取物（利⼝酒和烈酒）;开胃酒;⽶酒;⾷⽤酒精;⻩酒;烧酒;烈酒（饮料）;酒精饮料（啤酒除外）;⽩酒</t>
  </si>
  <si>
    <t>2023/12/11</t>
  </si>
  <si>
    <t>御酒人</t>
  </si>
  <si>
    <t>东莞市御酒人酒业有限公司</t>
  </si>
  <si>
    <t>烧酒;梨酒;利⼝酒;⻘稞酒;清酒（⽇本⽶酒）;⽶酒;⻩酒;⽩酒;葡萄酒;开胃酒</t>
  </si>
  <si>
    <t>2023/12/17</t>
  </si>
  <si>
    <t>⻩酒;葡萄酒;烧酒;预先混合的酒精饮料（以啤酒为主的除外）;含⽔果酒精饮料;⽩酒;清酒;朗姆酒;威⼠忌;⽩兰地</t>
  </si>
  <si>
    <t>2023/12/18</t>
  </si>
  <si>
    <t>寿府</t>
  </si>
  <si>
    <t>河南太极陈家沟酒业有限公司</t>
  </si>
  <si>
    <t>酒精饮料浓缩汁;果酒（含酒精）;含⽔果酒精饮料;⽶酒;葡萄酒;酒精饮料（啤酒除外）;烧酒;蒸馏饮料;烈酒（饮料）;⽩酒</t>
  </si>
  <si>
    <t>2023/12/19</t>
  </si>
  <si>
    <t>LEDE TRADE</t>
  </si>
  <si>
    <t>芜湖乐得贸易有限公司</t>
  </si>
  <si>
    <t>鸡尾酒;威⼠忌;⻩酒;葡萄酒;果酒（含酒精）;酒精饮料（啤酒除外）;朗姆酒;烧酒;⽶酒;⽩酒</t>
  </si>
  <si>
    <t>2023/12/20</t>
  </si>
  <si>
    <t>饮 JY MUSIC BAR</t>
  </si>
  <si>
    <t>江苏蔚蓝上饮餐饮管理有限公司</t>
  </si>
  <si>
    <t>⽩酒;汽酒;果酒（含酒精）;鸡尾酒;烈酒（饮料）;利⼝酒;酒精饮料（啤酒除外）;酒精饮料原汁;含⽔果酒精饮料;预先混合的酒精饮料（以啤酒为主的除外）</t>
  </si>
  <si>
    <t>2023/12/28</t>
  </si>
  <si>
    <t>康养乡食</t>
  </si>
  <si>
    <t>道孚雪域卓玛商贸有限公司</t>
  </si>
  <si>
    <t>酒精饮料（啤酒除外）;烧酒;⾕物制蒸馏酒精饮料;⻘稞酒;果酒（含酒精）;苹果酒;⽶酒;含⽔果酒精饮料;烈酒（饮料）;⽩酒</t>
  </si>
  <si>
    <t>2024/01/17</t>
  </si>
  <si>
    <t>尔滨</t>
  </si>
  <si>
    <t>哈尔滨马迭尔文化旅游投资集团有限公司</t>
  </si>
  <si>
    <t>果酒（含酒精）;开胃酒;鸡尾酒;葡萄酒;⽩酒;酒精饮料（啤酒除外）;汽酒;烧酒;⽶酒;利⼝酒</t>
  </si>
  <si>
    <t>2024/01/29</t>
  </si>
  <si>
    <t>宜顺 宋</t>
  </si>
  <si>
    <t>重庆科宋酒店管理有限公司</t>
  </si>
  <si>
    <t>⽩酒;调制好的葡萄酒鸡尾酒;以朗姆酒为主的饮料;含酒精的鸡尾酒混合饮品;⻩酒;⾕物制蒸馏酒精饮料;果酒（含酒精）;蒸馏饮料;酒精饮料（啤酒除外）;葡萄酒</t>
  </si>
  <si>
    <t>2024/03/15</t>
  </si>
  <si>
    <t>醉襄江</t>
  </si>
  <si>
    <t>湖北古隆中演义酒业有限公司</t>
  </si>
  <si>
    <t>葡萄酒;酒精饮料原汁;烈酒（饮料）;汽酒;酒精饮料（啤酒除外）;果酒（含酒精）;蒸馏饮料;鸡尾酒;威⼠忌;⽩酒</t>
  </si>
  <si>
    <t>2024/03/18</t>
  </si>
  <si>
    <t>蜜雪冰城</t>
  </si>
  <si>
    <t>蜜雪冰城股份有限公司</t>
  </si>
  <si>
    <t>清酒;葡萄酒;含⽔果酒精饮料;⽩酒;汽酒;果酒（含酒精）;蒸馏饮料;酒精饮料（啤酒除外）;⽶酒;利⼝酒</t>
  </si>
  <si>
    <t>野鹿魅格利口酒 WILD DEER MOUTH</t>
  </si>
  <si>
    <t>山东驰恒酒水有限公司</t>
  </si>
  <si>
    <t>含⽔果酒精饮料;预先混合的酒精饮料（以啤酒为主的除外）;威⼠忌;酒精饮料原汁;利⼝酒;葡萄酒;⽩酒;鸡尾酒;⽩兰地;含酒精的⽓泡⽔</t>
  </si>
  <si>
    <t>2024/04/07</t>
  </si>
  <si>
    <t>醉翁鉴</t>
  </si>
  <si>
    <t>伍小梅</t>
  </si>
  <si>
    <t>烧酒;葡萄酒;⻩酒;蒸馏饮料;威⼠忌;⽶酒;⽩酒;果酒（含酒精）;鸡尾酒;⽩兰地</t>
  </si>
  <si>
    <t>2024/04/09</t>
  </si>
  <si>
    <t>李欢喜</t>
  </si>
  <si>
    <t>上海肆望饮料有限公司</t>
  </si>
  <si>
    <t>葡萄酒;利⼝酒;⽩兰地;威⼠忌;含⽔果酒精饮料;汽酒;⽩酒;鸡尾酒;酒精饮料原汁;⽶酒</t>
  </si>
  <si>
    <t>BAYVISTA WINE</t>
  </si>
  <si>
    <t>刘广宝</t>
  </si>
  <si>
    <t>老厂氿</t>
  </si>
  <si>
    <t>东方缘酿酒股份有限公司</t>
  </si>
  <si>
    <t>清酒（⽇本⽶酒）;⽶酒;烈酒;果酒（含酒精）;葡萄酒;⻩酒;⽩酒;开胃酒;烧酒;酒精饮料（啤酒除外）</t>
  </si>
  <si>
    <t>2024/04/22</t>
  </si>
  <si>
    <t>路香金酒</t>
  </si>
  <si>
    <t>深圳华滋餐饮文化管理有限公司</t>
  </si>
  <si>
    <t>果酒（含酒精）;⻩酒;⽩兰地;威⼠忌;杜松⼦酒;⽶酒;⽩酒;露酒;利⼝酒;烈酒</t>
  </si>
  <si>
    <t>铁血男儿</t>
  </si>
  <si>
    <t>⽶酒;⻩酒;⾼粱酒;果酒（含酒精）;露酒;⽩酒;葡萄酒;烧酒;烈酒;餐后酒（利⼝酒和烈酒）</t>
  </si>
  <si>
    <t>2024/04/25</t>
  </si>
  <si>
    <t>澜翻庄</t>
  </si>
  <si>
    <t>九江中菲国际酒业有限公司</t>
  </si>
  <si>
    <t>烈酒;⽶酒;混合威⼠忌酒;以葡萄酒为主的开胃酒;⻩酒;⾼粱酒;烧酒;开胃酒;葡萄酒;⽩酒</t>
  </si>
  <si>
    <t>麦甘蔗</t>
  </si>
  <si>
    <t>沈刚</t>
  </si>
  <si>
    <t>语盐美</t>
  </si>
  <si>
    <t>盐城市盐南高新区巨厘视觉科技有限公司</t>
  </si>
  <si>
    <t>烈酒（饮料）;预先混合的酒精饮料（以啤酒为主的除外）;酒精饮料（啤酒除外）;果酒（含酒精）;含酒精的⽓泡⽔;⽩酒;⾷⽤酒精;已调味的⻨芽酿制的酒精饮料（啤酒除外）;⽶酒;含⽔果酒精饮料</t>
  </si>
  <si>
    <t>太山湖</t>
  </si>
  <si>
    <t>北京太山文化传媒有限公司</t>
  </si>
  <si>
    <t>⻩酒;酒精饮料（啤酒除外）;⽩酒;果酒（含酒精）;清酒（⽇本⽶酒）;烧酒</t>
  </si>
  <si>
    <t>2024/04/27</t>
  </si>
  <si>
    <t>RICE WINE</t>
  </si>
  <si>
    <t>朴日男</t>
  </si>
  <si>
    <t>葡萄酒;烧酒;含⽔果酒精饮料;⾷⽤酒精;⽶酒;清酒;威⼠忌;果酒（含酒精）;开胃酒;朗姆酒</t>
  </si>
  <si>
    <t>2024/04/28</t>
  </si>
  <si>
    <t>鄂香茗品</t>
  </si>
  <si>
    <t>广东中则科技有限公司</t>
  </si>
  <si>
    <t>⽩酒;烈酒;由⾕物蒸馏的⽩酒;开胃酒;⽶酒;烧酒;葡萄酒;果酒;⻩酒;蒸馏饮料</t>
  </si>
  <si>
    <t>WALK WINE OCEAN</t>
  </si>
  <si>
    <t>夏强强</t>
  </si>
  <si>
    <t>伏特加酒;威⼠忌;鸡尾酒;⽶酒;葡萄酒;朗姆酒;果酒（含酒精）;烈酒（饮料）;清酒（⽇本⽶酒）;预先混合的酒精饮料（以啤酒为主的除外）</t>
  </si>
  <si>
    <t>ROAM WINE OCEAN</t>
  </si>
  <si>
    <t>威⼠忌;果酒（含酒精）;鸡尾酒;烈酒（饮料）;葡萄酒;预先混合的酒精饮料（以啤酒为主的除外）;朗姆酒;伏特加酒;清酒（⽇本⽶酒）;⽶酒</t>
  </si>
  <si>
    <t>有香如故</t>
  </si>
  <si>
    <t>年年有余（浙江）文化科技有限公司</t>
  </si>
  <si>
    <t>果酒（含酒精）;⽩酒;薄荷酒;苹果酒;烈酒（饮料）;清酒（⽇本⽶酒）;⽶酒;葡萄酒;含⽔果酒精饮料;酒精饮料原汁</t>
  </si>
  <si>
    <t>果酒（含酒精）;伏特加酒;威⼠忌;朗姆酒;葡萄酒;烈酒（饮料）;预先混合的酒精饮料（以啤酒为主的除外）;清酒（⽇本⽶酒）;⽶酒;鸡尾酒</t>
  </si>
  <si>
    <t>果酒（含酒精）;烈酒（饮料）;清酒（⽇本⽶酒）;威⼠忌;葡萄酒;朗姆酒;鸡尾酒;⽶酒;伏特加酒;预先混合的酒精饮料（以啤酒为主的除外）</t>
  </si>
  <si>
    <t>有香如故记</t>
  </si>
  <si>
    <t>薄荷酒;⽶酒;烈酒（饮料）;果酒（含酒精）;含⽔果酒精饮料;酒精饮料原汁;苹果酒;清酒（⽇本⽶酒）;⽩酒;葡萄酒</t>
  </si>
  <si>
    <t>廖月琴</t>
  </si>
  <si>
    <t>⽶酒</t>
  </si>
  <si>
    <t>圣醉翁 酒</t>
  </si>
  <si>
    <t>刘建</t>
  </si>
  <si>
    <t>葡萄酒;开胃酒;⻩酒;果酒;烧酒;威⼠忌;烈酒（饮料）;⾷⽤酒精;⽩酒;鸡尾酒</t>
  </si>
  <si>
    <t>桂满福</t>
  </si>
  <si>
    <t>深圳市丹桂轩控股集团有限公司</t>
  </si>
  <si>
    <t>果酒（含酒精）;利⼝酒;⻩酒;含酒精的鸡尾酒混合饮品;葡萄酒;⽩酒;含酒精的⽔果鸡尾酒饮料;烈酒（饮料）;甜酒;烈酒</t>
  </si>
  <si>
    <t>涌福源</t>
  </si>
  <si>
    <t>贵州盛世福源商贸有限公司</t>
  </si>
  <si>
    <t>烧酒;果酒（含酒精）;烈酒（饮料）;⽩酒;⻩酒;开胃酒;苹果酒;葡萄酒;⽶酒;薄荷酒</t>
  </si>
  <si>
    <t>观兴二锅头</t>
  </si>
  <si>
    <t>泸州长窖酒业有限公司</t>
  </si>
  <si>
    <t>开胃酒;⽩兰地;⻘稞酒;果酒（含酒精）;烧酒;酒精饮料（啤酒除外）;葡萄酒;威⼠忌;⽩酒;苦味酒</t>
  </si>
  <si>
    <t>陕西茗誉晟晟商贸有限公司</t>
  </si>
  <si>
    <t>鸡尾酒;酒精饮料原汁;⽩酒;含⽔果酒精饮料;酒精饮料（啤酒除外）;⽶酒;蒸煮提取物（利⼝酒和烈酒）;葡萄酒;烈酒（饮料）;⾕物制蒸馏酒精饮料</t>
  </si>
  <si>
    <t>稻粮囤 RICE HOARDING</t>
  </si>
  <si>
    <t>刘志凯</t>
  </si>
  <si>
    <t>果酒（含酒精）;鸡尾酒;酒精饮料浓缩汁;朗姆酒;⽶酒;苹果酒;⻩酒;⽩酒;伏特加酒;蒸馏饮料</t>
  </si>
  <si>
    <t>家运名酒</t>
  </si>
  <si>
    <t>杨家亮</t>
  </si>
  <si>
    <t>葡萄酒;清酒（⽇本⽶酒）;⽶酒;果酒（含酒精）;酒精饮料（啤酒除外）;烧酒;⽩酒;开胃酒;威⼠忌;烈酒（饮料）</t>
  </si>
  <si>
    <t>樽众</t>
  </si>
  <si>
    <t>徐坛</t>
  </si>
  <si>
    <t>葡萄酒;⻩酒;⽶酒;⻘稞酒;⽩酒;烧酒</t>
  </si>
  <si>
    <t>罐运邦</t>
  </si>
  <si>
    <t>宁夏泰富能源有限公司</t>
  </si>
  <si>
    <t>酒精饮料（啤酒除外）;⾷⽤酒精;伏特加酒;威⼠忌;⻩酒;⽩酒;葡萄酒;果酒（含酒精）;⽩兰地;烈酒（饮料）</t>
  </si>
  <si>
    <t>PUYBARBE</t>
  </si>
  <si>
    <t>普巴贝酒庄有限公司</t>
  </si>
  <si>
    <t>酒精饮料（啤酒除外）;葡萄酒</t>
  </si>
  <si>
    <t>玉樽苏</t>
  </si>
  <si>
    <t>杨柳青</t>
  </si>
  <si>
    <t>威⼠忌;⽩酒;果酒（含酒精）;蒸煮提取物（利⼝酒和烈酒）;鸡尾酒;烈酒（饮料）;葡萄酒;⽶酒;清酒（⽇本⽶酒）;酒精饮料（啤酒除外）</t>
  </si>
  <si>
    <t>斛盛</t>
  </si>
  <si>
    <t>葡萄酒;⻩酒;果酒（含酒精）;⾼粱酒;⽶酒;⻘稞酒;⽩酒;烧酒（烈酒）;餐后酒（利⼝酒和烈酒）;露酒</t>
  </si>
  <si>
    <t>金陵首排酒</t>
  </si>
  <si>
    <t>宿迁市洋河镇鑫梦缘酒业有限公司</t>
  </si>
  <si>
    <t>威⼠忌;朗姆酒;葡萄酒;伏特加酒;⾼粱酒;烧酒;⽶酒;⻩酒;⽩酒;⻘稞酒</t>
  </si>
  <si>
    <t>2024/05/20</t>
  </si>
  <si>
    <t>金陵首牌</t>
  </si>
  <si>
    <t>烧酒;⻘稞酒;⻩酒;⽶酒;伏特加酒;⾼粱酒;葡萄酒;威⼠忌;朗姆酒;⽩酒</t>
  </si>
  <si>
    <t>每日够</t>
  </si>
  <si>
    <t>南京万优商业连锁管理有限公司</t>
  </si>
  <si>
    <t>酒精饮料浓缩汁;蒸馏饮料;鸡尾酒;葡萄酒;⽩酒;⽩⼲酒（中国⽩酒）;烈酒;酒精饮料（啤酒除外）;⽶酒;果酒（含酒精）</t>
  </si>
  <si>
    <t>戈壁北山羊</t>
  </si>
  <si>
    <t>乌拉特中旗鸿腾文化旅游投资有限公司</t>
  </si>
  <si>
    <t>薄荷酒;烧酒;⽩酒;茴芹酒（利⼝酒）;茴⾹酒（利⼝酒）;苦味酒;含⽔果酒精饮料;⽶酒;⾷⽤酒精;果酒（含酒精）</t>
  </si>
  <si>
    <t>圣水湾</t>
  </si>
  <si>
    <t>贵州深水湾酒业有限公司</t>
  </si>
  <si>
    <t>⽩酒;薄荷酒;鸡尾酒;烈酒（饮料）;⽩兰地;果酒（含酒精）;以葡萄酒为主的饮料;苦味酒;茴芹酒（利⼝酒）;⻩酒</t>
  </si>
  <si>
    <t>天估作坊</t>
  </si>
  <si>
    <t>无锡市利德华纸品有限公司</t>
  </si>
  <si>
    <t>酒精饮料（啤酒除外）;⻘稞酒;烧酒;果酒（含酒精）;烈酒（饮料）;葡萄酒;⽶酒;含⽔果酒精饮料;⽩酒;蒸馏饮料</t>
  </si>
  <si>
    <t>学海</t>
  </si>
  <si>
    <t>福建省泉州亚矛酒业有限公司</t>
  </si>
  <si>
    <t>⻩酒;开胃酒;葡萄酒;利⼝酒;⽶酒;汽酒;⽩酒;烧酒;果酒（含酒精）;露酒</t>
  </si>
  <si>
    <t>南福 酒 光瓶王</t>
  </si>
  <si>
    <t>四川宜宾恒生福酒业集团有限公司</t>
  </si>
  <si>
    <t>威⼠忌;酒精饮料（啤酒除外）;⽩酒;蒸馏饮料;葡萄酒;含⽔果酒精饮料;汽酒;果酒;烧酒;烈酒（饮料）</t>
  </si>
  <si>
    <t>卢江彬</t>
  </si>
  <si>
    <t>烈酒;⾷⽤酒精;果酒;酒精饮料（啤酒除外）;威⼠忌;葡萄酒;⻩酒;⽩兰地;⽩酒;⽶酒</t>
  </si>
  <si>
    <t>瓷茶印象</t>
  </si>
  <si>
    <t>景德镇瓷茶印象陶瓷有限公司</t>
  </si>
  <si>
    <t>⽩酒;果酒;红葡萄酒;葡萄酒;清酒;烧酒;烈酒;含⽔果酒精饮料;⽶酒;⻩酒</t>
  </si>
  <si>
    <t>和平颂 PEACE PRAISE</t>
  </si>
  <si>
    <t>甘诚锦</t>
  </si>
  <si>
    <t>⻩酒;清酒;⽶酒;⽩兰地;⽩酒;梅酒;葡萄酒;烧酒;⻘稞酒;⾼粱酒</t>
  </si>
  <si>
    <t>黉学山</t>
  </si>
  <si>
    <t>普洱凤井酒业有限公司</t>
  </si>
  <si>
    <t>苦味酒;鸡尾酒;烈酒（饮料）;⽩酒;威⼠忌;⽶酒;混合威⼠忌酒;⽩兰地;烈酒;烧酒（烈酒）</t>
  </si>
  <si>
    <t>老八县</t>
  </si>
  <si>
    <t>尤旭</t>
  </si>
  <si>
    <t>烧酒;烈酒（饮料）;鸡尾酒;⽶酒;果酒（含酒精）;葡萄酒;伏特加酒;酒精饮料（啤酒除外）;以葡萄酒为主的饮料</t>
  </si>
  <si>
    <t>FINCA SAN MARTIN</t>
  </si>
  <si>
    <t>托勒德奥纳有限公司</t>
  </si>
  <si>
    <t>烧酒;酒精饮料（啤酒除外）;利⼝酒;鸡尾酒;葡萄酒;汽酒;⽩酒;⽩兰地</t>
  </si>
  <si>
    <t>长元坊</t>
  </si>
  <si>
    <t>青岛长元坊商贸有限公司</t>
  </si>
  <si>
    <t>威⼠忌;果酒（含酒精）;⽩兰地;鸡尾酒;葡萄酒;⽶酒;薄荷酒;酒精饮料（啤酒除外）;朝鲜族⽶酒;⽩酒</t>
  </si>
  <si>
    <t>EXIT BABYLON</t>
  </si>
  <si>
    <t>彭光华</t>
  </si>
  <si>
    <t>威⼠忌;含⽔果酒精饮料;⽶酒;鸡尾酒;清酒（⽇本⽶酒）;⽩兰地;果酒（含酒精）;⽩酒;酒精饮料（啤酒除外）;葡萄酒</t>
  </si>
  <si>
    <t>艾榕俐</t>
  </si>
  <si>
    <t>广州艾榕俐生物科技有限公司</t>
  </si>
  <si>
    <t>蒸馏饮料;开胃酒;烈酒（饮料）;酒精饮料（啤酒除外）;⽩酒;葡萄酒;含⽔果酒精饮料;⽶酒;酒精饮料原汁;果酒（含酒精）</t>
  </si>
  <si>
    <t>根抱石</t>
  </si>
  <si>
    <t>保定市粮匠商贸有限公司</t>
  </si>
  <si>
    <t>⽩兰地;清酒（⽇本⽶酒）;⻩酒;开胃酒;烈酒;苹果酒;果酒（含酒精）;⽶酒;酒精饮料（啤酒除外）;⽩酒</t>
  </si>
  <si>
    <t>谷景柒芬醉</t>
  </si>
  <si>
    <t>湖北柒芬醉品牌营销有限公司</t>
  </si>
  <si>
    <t>⽶酒;果酒（含酒精）;葡萄酒;⽩酒;酒精饮料（啤酒除外）;鸡尾酒;蒸馏饮料;烧酒;威⼠忌;烈酒（饮料）</t>
  </si>
  <si>
    <t>古亭清花</t>
  </si>
  <si>
    <t>任浩东</t>
  </si>
  <si>
    <t>⾼粱酒;⽩⼲酒（中国⽩酒）;由⾕物蒸馏的⽩酒;⽼酒（中国蒸馏烈酒）;烧酒（烈酒）;烧酒;露酒;⽩酒;烈酒（饮料）;果酒（含酒精）</t>
  </si>
  <si>
    <t>囍馆 憙馆 喜馆 憘馆 嘻馆 禧馆 熙馆</t>
  </si>
  <si>
    <t>葡萄酒;⽩酒;⽼酒（中国蒸馏烈酒）;酒精饮料（啤酒除外）;果酒;清酒;烈酒;烧酒;⻩酒;⽶酒</t>
  </si>
  <si>
    <t>霸业天承</t>
  </si>
  <si>
    <t>游小强</t>
  </si>
  <si>
    <t>⽩酒;威⼠忌;葡萄酒;汽酒;果酒（含酒精）;烈酒;酒精饮料（啤酒除外）;清酒（⽇本⽶酒）;蒸馏饮料;⽶酒</t>
  </si>
  <si>
    <t>苏州正本堂健康管理有限公司</t>
  </si>
  <si>
    <t>果酒（含酒精）;⽶酒;苦荞酒;⽩酒;清酒;五加⽪酒（中国混合烈酒）;含酒精的饮料（啤酒除外）;开胃酒;⻩酒;甜酒</t>
  </si>
  <si>
    <t>赣品庐山窖九</t>
  </si>
  <si>
    <t>吴夏霖</t>
  </si>
  <si>
    <t>⻩酒;⽼酒（中国蒸馏烈酒）;⽶酒;红葡萄酒;⽩⼲酒（中国⽩酒）;葡萄酒;⾼粱酒;露酒;⽩酒;烧酒</t>
  </si>
  <si>
    <t>香港威有限公司</t>
  </si>
  <si>
    <t>烈酒（饮料）;酒精饮料原汁;果酒（含酒精）;鸡尾酒;清酒（⽇本⽶酒）;蒸馏饮料;酒精饮料浓缩汁;酒精饮料（啤酒除外）;威⼠忌;混合威⼠忌酒</t>
  </si>
  <si>
    <t>疆夜</t>
  </si>
  <si>
    <t>上海金恪生态农业投资有限公司</t>
  </si>
  <si>
    <t>烈酒（饮料）;⽶酒;葡萄酒;清酒（⽇本⽶酒）;⻩酒;果酒（含酒精）;⽩酒;鸡尾酒;酒精饮料（啤酒除外）;烧酒</t>
  </si>
  <si>
    <t>䅰娘</t>
  </si>
  <si>
    <t>义乌市祁牧商贸有限公司</t>
  </si>
  <si>
    <t>酒精饮料（啤酒除外）;⽶酒;烧酒;⻩酒;⽩酒;葡萄酒;蒸馏饮料;烈酒（饮料）;果酒（含酒精）;鸡尾酒</t>
  </si>
  <si>
    <t>⽩酒;葡萄酒;露酒;清酒;⾕物制蒸馏酒精饮料</t>
  </si>
  <si>
    <t>强英雄</t>
  </si>
  <si>
    <t>刘永田</t>
  </si>
  <si>
    <t>清酒（⽇本⽶酒）;威⼠忌;烈酒;开胃酒;⽩酒;⻩酒;果酒（含酒精）;鸡尾酒;葡萄酒;酒精饮料（啤酒除外）</t>
  </si>
  <si>
    <t>迦禾科技（温州）有限公司</t>
  </si>
  <si>
    <t>鸡尾酒;果酒;⽩酒;甜酒;清酒;烈酒;烧酒;⽶酒;葡萄酒;威⼠忌</t>
  </si>
  <si>
    <t>金龙清水仙泉</t>
  </si>
  <si>
    <t>重庆清水仙泉酒业有限公司</t>
  </si>
  <si>
    <t>开胃酒;蒸馏饮料;果酒;葡萄酒;清酒;酒精饮料原汁;预先混合的酒精饮料（以啤酒为主的除外）;⽩酒;⾼粱酒;利⼝酒</t>
  </si>
  <si>
    <t>LV LIANG SHAN</t>
  </si>
  <si>
    <t>山西杏花村酒业集团有限公司</t>
  </si>
  <si>
    <t>利⼝酒;⻩酒;⽶酒;⾼粱酒;烈酒（饮料）;⾷⽤酒精;⽩酒;开胃酒;葡萄酒;果酒（含酒精）</t>
  </si>
  <si>
    <t>川醉不醒</t>
  </si>
  <si>
    <t>林典川</t>
  </si>
  <si>
    <t>含⽔果酒精饮料;鸡尾酒;⽶酒;酒精饮料（啤酒除外）;烧酒;⽩酒;葡萄酒;⻩酒;果酒（含酒精）;烈酒（饮料）</t>
  </si>
  <si>
    <t>山西贵鑫酒业有限公司</t>
  </si>
  <si>
    <t>果酒;⻩酒;威⼠忌;⾼粱酒;⽶酒;⽩酒;鸡尾酒;葡萄酒;含酒精的饮料（啤酒除外）;⽩⼲酒（中国⽩酒）</t>
  </si>
  <si>
    <t>胤钦</t>
  </si>
  <si>
    <t>贵州省仁怀市君之品酒业有限公司</t>
  </si>
  <si>
    <t>烧酒;酒精饮料（啤酒除外）;⾷⽤酒精;⽩酒;⽼酒（中国蒸馏烈酒）;⽶酒;葡萄酒;烈酒（饮料）;果酒（含酒精）;⻘稞酒</t>
  </si>
  <si>
    <t>天笙摩漾</t>
  </si>
  <si>
    <t>贵州牧童村品牌咨询管理有限公司</t>
  </si>
  <si>
    <t>烧酒;⽩酒;果酒（含酒精）;含⽔果酒精饮料;甜果酒;酒精饮料（啤酒除外）;烈酒（饮料）;⽶酒;蒸馏饮料;蜂蜜酒</t>
  </si>
  <si>
    <t>钢博汇</t>
  </si>
  <si>
    <t>潘放</t>
  </si>
  <si>
    <t>威⼠忌;鸡尾酒;含⽔果酒精饮料;葡萄酒;⽩兰地;⽩酒;果酒（含酒精）;甜酒;⽶酒;烈酒（饮料）</t>
  </si>
  <si>
    <t>番人古寨</t>
  </si>
  <si>
    <t>宁蒗番人古寨文化旅游开发有限公司</t>
  </si>
  <si>
    <t>以葡萄酒为主的饮料;蒸馏饮料;葡萄酒;⽩兰地;⻘稞酒;烧酒;⾕物制蒸馏酒精饮料;⽩酒;烈酒（饮料）;酒精饮料（啤酒除外）</t>
  </si>
  <si>
    <t>醉美阳缆</t>
  </si>
  <si>
    <t>房军</t>
  </si>
  <si>
    <t>清酒（⽇本⽶酒）;含⽔果酒精饮料;⽩兰地;烧酒;⽩酒;鸡尾酒;⽶酒;果酒（含酒精）;蒸馏饮料;烈酒（饮料）</t>
  </si>
  <si>
    <t>浭宝</t>
  </si>
  <si>
    <t>遵化市晶海食品有限公司</t>
  </si>
  <si>
    <t>烧酒;⽩酒;果酒（含酒精）;清酒（⽇本⽶酒）;⻩酒;鸡尾酒;葡萄酒;烈酒（饮料）;酒精饮料（啤酒除外）;⽶酒</t>
  </si>
  <si>
    <t>汉弥</t>
  </si>
  <si>
    <t>果酒（含酒精）;烈酒（饮料）;餐后酒（利⼝酒和烈酒）;酒精饮料原汁;⽩酒;葡萄酒;酒精饮料（啤酒除外）;⽶酒;烧酒;⻩酒</t>
  </si>
  <si>
    <t>泓袍</t>
  </si>
  <si>
    <t>贵州省仁怀市梦溪窖酒业科技有限公司</t>
  </si>
  <si>
    <t>⾼粱酒;开胃酒;⽼酒（中国蒸馏烈酒）;烧酒;梅酒;⽩⼲酒（中国⽩酒）;烈酒（饮料）;⾕物制蒸馏酒精饮料;甜酒;⽩酒</t>
  </si>
  <si>
    <t>汉圣</t>
  </si>
  <si>
    <t>贵州茅台镇汉圣酒业有限公司</t>
  </si>
  <si>
    <t>蒸馏饮料;⽶酒;烧酒;烈酒;⾼粱酒;⽩酒;酒精饮料原汁;酒精饮料（啤酒除外）;预先混合的酒精饮料（以啤酒为主的除外）;⽼酒（中国蒸馏烈酒）</t>
  </si>
  <si>
    <t>粒粮村</t>
  </si>
  <si>
    <t>赵玉周</t>
  </si>
  <si>
    <t>鸡尾酒;葡萄酒;烈酒;果酒（含酒精）;⽩酒;开胃酒;清酒（⽇本⽶酒）;威⼠忌;酒精饮料（啤酒除外）;⻩酒</t>
  </si>
  <si>
    <t>首钢大食堂 SHOUGANG CANTEEN</t>
  </si>
  <si>
    <t>首钢集团有限公司</t>
  </si>
  <si>
    <t>酒精饮料（啤酒除外）;葡萄酒;鸡尾酒;⽩兰地;⾷⽤酒精;⻩酒;⽶酒;汽酒;⽩酒;果酒（含酒精）</t>
  </si>
  <si>
    <t>道霁粮仓</t>
  </si>
  <si>
    <t>成都市崇州市道明镇济民村供销合作社有限公司</t>
  </si>
  <si>
    <t>果酒（含酒精）;⾷⽤酒精;蒸馏⽶酒（泡盛酒）;⻘稞酒;天然汽酒;含酒精⽔果饮料;⽩酒;⽶酒;葡萄酒;⽼酒（中国蒸馏烈酒）</t>
  </si>
  <si>
    <t>LESLEY 礼事利</t>
  </si>
  <si>
    <t>礼事利（广东）酒业有限公司</t>
  </si>
  <si>
    <t>烧酒;酒精饮料原汁;葡萄酒;酒精饮料浓缩汁;开胃酒;利⼝酒;威⼠忌;⽶酒;朗姆酒;伏特加酒;果酒（含酒精）;⾕物制蒸馏酒精饮料;柑⾹酒;烈酒（饮料）;酒精饮料（啤酒除外）;鸡尾酒;蒸煮提取物（利⼝酒和烈酒）;⽩兰地;蒸馏饮料</t>
  </si>
  <si>
    <t>赤秘老规矩</t>
  </si>
  <si>
    <t>贵州赤印酒业有限公司</t>
  </si>
  <si>
    <t>⽼酒（中国蒸馏烈酒）;⽶酒;⾼粱酒;烧酒;酒精饮料（啤酒除外）;蒸煮提取物（利⼝酒和烈酒）;⽩⼲酒（中国⽩酒）;果酒;⽩酒;⻩酒</t>
  </si>
  <si>
    <t>贵州麦特熙和商业管理（集团）有限公司</t>
  </si>
  <si>
    <t>⽩酒;⽩兰地;威⼠忌;酒精饮料（啤酒除外）;葡萄酒;⽶酒;蜂蜜酒;⻩酒;⾷⽤酒精;果酒（含酒精）</t>
  </si>
  <si>
    <t>贵礼贺</t>
  </si>
  <si>
    <t>葡萄酒;清酒（⽇本⽶酒）;酒精饮料（啤酒除外）;果酒;朗姆酒;利⼝酒;⽩酒;鸡尾酒;开胃酒;烧酒</t>
  </si>
  <si>
    <t>华斡</t>
  </si>
  <si>
    <t>贵州翰帝台品牌管理有限公司</t>
  </si>
  <si>
    <t>烧酒;威⼠忌;⻩酒;⽶酒;鸡尾酒;⽩兰地;果酒;酒精饮料（啤酒除外）;⽩酒;烈酒</t>
  </si>
  <si>
    <t>益珍源</t>
  </si>
  <si>
    <t>戚景耀</t>
  </si>
  <si>
    <t>清酒（⽇本⽶酒）;烈酒（饮料）;⽩兰地;果酒（含酒精）;汽酒;伏特加酒;⽩酒;⻩酒;酒精饮料（啤酒除外）;葡萄酒</t>
  </si>
  <si>
    <t>贵礼仙</t>
  </si>
  <si>
    <t>清酒（⽇本⽶酒）;葡萄酒;鸡尾酒;开胃酒;烧酒;利⼝酒;⽩酒;果酒;酒精饮料（啤酒除外）;朗姆酒</t>
  </si>
  <si>
    <t>清照家</t>
  </si>
  <si>
    <t>葡萄酒;酸酒（低等葡萄酒）;果酒（含酒精）;开胃酒;汽酒;⽩酒;苹果酒;⻩酒;⽶酒;酒精饮料（啤酒除外）</t>
  </si>
  <si>
    <t>赤冈金</t>
  </si>
  <si>
    <t>马荣仔</t>
  </si>
  <si>
    <t>⾕物制蒸馏酒精饮料;⽼酒（中国蒸馏烈酒）;烈酒（饮料）;五加⽪酒（中国混合烈酒）;清酒;⽩酒;果酒（含酒精）;烧酒;⻩酒;葡萄酒</t>
  </si>
  <si>
    <t>浏一白</t>
  </si>
  <si>
    <t>兴化市浏一白食品厂（个体工商户）</t>
  </si>
  <si>
    <t>⽩酒;⻩酒;酒精饮料（啤酒除外）;烈酒（饮料）;葡萄酒;果酒（含酒精）;利⼝酒;含⽔果酒精饮料;清酒（⽇本⽶酒）;开胃酒</t>
  </si>
  <si>
    <t>沙糖仔在</t>
  </si>
  <si>
    <t>果酒;⽩酒;威⼠忌;伏特加酒;预调甜酒;清酒;葡萄酒;⽶酒;烧酒;⽩兰地</t>
  </si>
  <si>
    <t>星宝八八纯原 升级版</t>
  </si>
  <si>
    <t>温祖义</t>
  </si>
  <si>
    <t>⽩酒;葡萄酒;蒸煮提取物（利⼝酒和烈酒）;⽩兰地;蒸馏饮料;除啤酒外的酒精饮料;鸡尾酒;薄荷酒;烧酒;威⼠忌</t>
  </si>
  <si>
    <t>秋暝科技（天津）有限公司</t>
  </si>
  <si>
    <t>酒精饮料（啤酒除外）;⻩酒;果酒（含酒精）;⽶酒;⽩酒;蒸馏饮料;含酒精的⽓泡⽔;蜂蜜酒;⾕物制蒸馏酒精饮料;烈酒（饮料）</t>
  </si>
  <si>
    <t>发财麒麟</t>
  </si>
  <si>
    <t>武汉白大夫医美皮肤医学研究所（有限合伙）</t>
  </si>
  <si>
    <t>果酒（含酒精）;开胃酒;蒸馏饮料;葡萄酒;⽩酒;酒精饮料（啤酒除外）;威⼠忌;含⽔果酒精饮料;⻩酒;薄荷酒</t>
  </si>
  <si>
    <t>秘酒仙</t>
  </si>
  <si>
    <t>胡海欧</t>
  </si>
  <si>
    <t>守恩宏图</t>
  </si>
  <si>
    <t>河南守恩进出口贸易有限公司</t>
  </si>
  <si>
    <t>⽶酒;⻘稞酒;果酒（含酒精）;酒精饮料（啤酒除外）;⽩酒;葡萄酒;汽酒;⾷⽤酒精;蜂蜜酒;⻩酒</t>
  </si>
  <si>
    <t>贵州仁怀了凡酒业有限公司</t>
  </si>
  <si>
    <t>⽩酒;葡萄酒;⾕物制蒸馏酒精饮料;餐后酒（利⼝酒和烈酒）;露酒;⽶酒;果酒（含酒精）;苹果酒;烈酒（饮料）;蒸馏饮料</t>
  </si>
  <si>
    <t>大漠胡杨</t>
  </si>
  <si>
    <t>沙雅县国有资产营运公司</t>
  </si>
  <si>
    <t>葡萄酒;⽩酒;⽶酒;威⼠忌;酒精饮料（啤酒除外）;烈酒（饮料）;伏特加酒;酒精饮料原汁;果酒（含酒精）;鸡尾酒</t>
  </si>
  <si>
    <t>健合香港有限公司</t>
  </si>
  <si>
    <t>酒精饮料（啤酒除外）;葡萄酒;⾼粱酒;果酒;甜酒;开胃酒;甜果酒;含⽔果酒精饮料;含酒精的⽓泡⽔;⽶酒</t>
  </si>
  <si>
    <t>江门市坚煌实业投资发展有限公司</t>
  </si>
  <si>
    <t>威⼠忌;含⽔果酒精饮料;果酒;葡萄酒;⽶酒;鸡尾酒;清酒;烧酒;⽩兰地;⽩酒</t>
  </si>
  <si>
    <t>孝亲</t>
  </si>
  <si>
    <t>青岛足谱科技有限公司</t>
  </si>
  <si>
    <t>⽩酒;⾼粱酒;果酒;⻩酒;葡萄酒;含酒精⽔果饮料;⽶酒;威⼠忌</t>
  </si>
  <si>
    <t>阿满醉</t>
  </si>
  <si>
    <t>河南佳酿天成酒业有限公司</t>
  </si>
  <si>
    <t>⻩酒;伏特加酒;烧酒;开胃酒;⽶酒;⽩酒;⻘稞酒;葡萄酒;清酒;⽩兰地</t>
  </si>
  <si>
    <t>果酒（含酒精）;酒精饮料（啤酒除外）;⽶酒;鸡尾酒;酒精饮料原汁;葡萄酒;⽩酒;威⼠忌;伏特加酒;烈酒（饮料）</t>
  </si>
  <si>
    <t>赛伦迪皮亚</t>
  </si>
  <si>
    <t>海南正业实业有限公司</t>
  </si>
  <si>
    <t>葡萄酒;餐后酒（利⼝酒和烈酒）;⽩兰地;调制好的葡萄酒鸡尾酒;红葡萄酒;葡萄汽酒;朗姆酒;⽩酒;⽩葡萄酒;酒精饮料（啤酒除外）</t>
  </si>
  <si>
    <t>赛伦迪皮亚 SERENDIPIA</t>
  </si>
  <si>
    <t>葡萄酒;餐后酒（利⼝酒和烈酒）;⽩兰地;调制好的葡萄酒鸡尾酒;酒精饮料（啤酒除外）;朗姆酒;红葡萄酒;⽩酒;葡萄汽酒;⽩葡萄酒</t>
  </si>
  <si>
    <t>XDNTS</t>
  </si>
  <si>
    <t>温州重名国际贸易有限公司</t>
  </si>
  <si>
    <t>汽酒;开胃酒;鸡尾酒;⽶酒;清酒;⽩酒;果酒（含酒精）;葡萄酒;甜酒;蜂蜜酒</t>
  </si>
  <si>
    <t>洪州桥</t>
  </si>
  <si>
    <t>樟树市赣邦网络科技有限公司</t>
  </si>
  <si>
    <t>烧酒;含酒精的饮料（啤酒除外）;开胃酒;葡萄酒;甜酒;烈酒;酒精饮料（啤酒除外）;⽶酒;露酒;⽩酒</t>
  </si>
  <si>
    <t>酒U粮仓</t>
  </si>
  <si>
    <t>安徽慢粮酒业有限公司</t>
  </si>
  <si>
    <t>⻩酒;⽶酒;⾼粱酒;果酒;⽩⼲酒（中国⽩酒）;⽩酒;由⾕物蒸馏的⽩酒;烧酒;⽼酒（中国蒸馏烈酒）;酒精饮料（啤酒除外）</t>
  </si>
  <si>
    <t>佤绿</t>
  </si>
  <si>
    <t>银生诸山商贸（临沧）有限公司</t>
  </si>
  <si>
    <t>⽶酒;含⽔果酒精饮料;伏特加酒;果酒;酒精饮料（啤酒除外）;威⼠忌;清酒;葡萄酒;⽩兰地;⽩酒</t>
  </si>
  <si>
    <t>万三富</t>
  </si>
  <si>
    <t>云南国恩企业管理有限公司</t>
  </si>
  <si>
    <t>葡萄酒;蒸馏饮料;烈酒（饮料）;⽶酒;⽩酒;鸡尾酒;甜酒;果酒（含酒精）;威⼠忌;烧酒</t>
  </si>
  <si>
    <t>瓦爷酒</t>
  </si>
  <si>
    <t>邵尉</t>
  </si>
  <si>
    <t>清酒;⾷⽤酒精;烈酒（饮料）;蒸馏饮料;果酒（含酒精）;⽶酒;⽩酒;酒精饮料（啤酒除外）;葡萄酒;鸡尾酒</t>
  </si>
  <si>
    <t>OIAC</t>
  </si>
  <si>
    <t>⽩酒;⽶酒;葡萄酒;⻩酒;烧酒（烈酒）;⻘稞酒;清酒（⽇本⽶酒）;酒精饮料（啤酒除外）;朗姆酒;果酒</t>
  </si>
  <si>
    <t>薛好记</t>
  </si>
  <si>
    <t>厦门海舒商贸有限公司</t>
  </si>
  <si>
    <t>餐后酒（利⼝酒和烈酒）;烧酒;开胃酒;⽶酒;⽩酒;酒精饮料原汁;酒精饮料浓缩汁;酒精饮料（啤酒除外）;⾷⽤酒精;预先混合的酒精饮料（以啤酒为主的除外）</t>
  </si>
  <si>
    <t>FLORAGE</t>
  </si>
  <si>
    <t>山东黑狮啤酒销售有限公司</t>
  </si>
  <si>
    <t>⽩兰地;葡萄酒;⽩酒;威⼠忌;伏特加酒;果酒（含酒精）;酒精饮料（啤酒除外）;蜂蜜酒;含⽔果酒精饮料;鸡尾酒</t>
  </si>
  <si>
    <t>馀庆匠</t>
  </si>
  <si>
    <t>李德洪</t>
  </si>
  <si>
    <t>葡萄酒;⽼酒（中国蒸馏烈酒）;果酒（含酒精）;蒸馏饮料;⽩酒;烧酒;⽩⼲酒（中国⽩酒）;⽶酒;⾷⽤酒精;烈酒（饮料）</t>
  </si>
  <si>
    <t>大鹏古城</t>
  </si>
  <si>
    <t>成都历博青铜器复仿制品有限公司</t>
  </si>
  <si>
    <t>⻘稞酒;鸡尾酒;⽶酒;烈酒;⽩兰地;⽩酒;威⼠忌;烧酒;清酒;⻩酒</t>
  </si>
  <si>
    <t>VALUES HUB 聚享汇</t>
  </si>
  <si>
    <t>聚享汇（深圳）共享平台有限公司</t>
  </si>
  <si>
    <t>开胃酒;烧酒;葡萄酒;酒精饮料（啤酒除外）;鸡尾酒;果酒（含酒精）;⽩酒;⻘稞酒;⻩酒;⽶酒</t>
  </si>
  <si>
    <t>邹旺酒业</t>
  </si>
  <si>
    <t>贵州邹旺酒业（集团）有限公司</t>
  </si>
  <si>
    <t>蜂蜜酒;樱桃酒;⽶酒;茴⾹酒（利⼝酒）;⻩酒;果酒（含酒精）;苹果酒;⽩酒;⻘稞酒;酸酒（低等葡萄酒）</t>
  </si>
  <si>
    <t>淳养道</t>
  </si>
  <si>
    <t>孟祥龙</t>
  </si>
  <si>
    <t>⽶酒;⽩酒;开胃酒;杜松⼦酒;⻘稞酒;葡萄酒;果酒（含酒精）;烧酒;⻩酒;清酒</t>
  </si>
  <si>
    <t>状元楼世家</t>
  </si>
  <si>
    <t>陈洪铭</t>
  </si>
  <si>
    <t>由⾕物蒸馏的⽩酒;烧酒;酒精饮料浓缩汁;果酒;烈酒;⽩酒;鸡尾酒;伏特加酒;清酒;葡萄酒</t>
  </si>
  <si>
    <t>裕穗香</t>
  </si>
  <si>
    <t>锦屏县穗香醇盛铭酒坊（个人独资）</t>
  </si>
  <si>
    <t>蒸馏饮料;⽩酒;烈酒（饮料）;⾷⽤酒精;烧酒;葡萄酒;酒精饮料原汁;酒精饮料（啤酒除外）;⽶酒;果酒（含酒精）</t>
  </si>
  <si>
    <t>贵州省蓝鹏酒业有限责任公司</t>
  </si>
  <si>
    <t>⽩酒;葡萄酒;蜂蜜酒;含⽔果酒精饮料;⽶酒;⻩酒;果酒（含酒精）;樱桃酒;烈酒（饮料）;烧酒</t>
  </si>
  <si>
    <t>三河嘉</t>
  </si>
  <si>
    <t>安徽皖之源酒业有限公司</t>
  </si>
  <si>
    <t>清酒（⽇本⽶酒）;烧酒（烈酒）;由⾕物蒸馏的⽩酒;⽩酒;已调味的蒸馏酒;⽩⼲酒（中国⽩酒）;果酒（含酒精）;⽶酒;以葡萄酒为主的开胃酒;⾼粱酒</t>
  </si>
  <si>
    <t>HOCHLAND</t>
  </si>
  <si>
    <t>域景国际贸易（上海）有限公司</t>
  </si>
  <si>
    <t>⽢蔗制酒精饮料;葡萄酒;利⼝酒;含酒精的饮料（啤酒除外）;⽩兰地;杜松⼦酒;威⼠忌;⾕物制蒸馏酒精饮料;伏特加酒;朗姆酒</t>
  </si>
  <si>
    <t>莯霂玻三锁</t>
  </si>
  <si>
    <t>酒精饮料（啤酒除外）;利⼝酒;甜酒;鸡尾酒;开胃酒;预先混合的酒精饮料（以啤酒为主的除外）;含⽔果酒精饮料;⽩酒;果酒（含酒精）;樱桃酒</t>
  </si>
  <si>
    <t>贵州金沙毕窖酒业有限公司</t>
  </si>
  <si>
    <t>⽶酒;烧酒;葡萄酒;⽩酒;果酒;⽼酒（中国蒸馏烈酒）;⻘稞酒;⾼粱酒;⻩酒;露酒</t>
  </si>
  <si>
    <t>AI 词元</t>
  </si>
  <si>
    <t>中国邮政集团有限公司黔东南苗族侗族自治州分公司</t>
  </si>
  <si>
    <t>蒸馏饮料;⽶酒;餐后酒（利⼝酒和烈酒）;⾕物制蒸馏酒精饮料;葡萄酒;果酒（含酒精）;烈酒（饮料）;露酒;苹果酒;⽩酒</t>
  </si>
  <si>
    <t>云罩泉 的 酒窖 私藏</t>
  </si>
  <si>
    <t>天津市永乐酒业有限公司</t>
  </si>
  <si>
    <t>苹果酒;鸡尾酒;梨酒;含⽔果酒精饮料;⽩酒;汽酒;红葡萄酒;酒精饮料原汁;烧酒;果酒</t>
  </si>
  <si>
    <t>1吉瓦</t>
  </si>
  <si>
    <t>贵州华密老酒酒业有限公司</t>
  </si>
  <si>
    <t>葡萄酒;甜酒;⽩酒;⽶酒;烈酒;⽼酒（中国蒸馏烈酒）;⾼粱酒;果酒;烧酒;⾕物制蒸馏酒精饮料</t>
  </si>
  <si>
    <t>壹吉瓦</t>
  </si>
  <si>
    <t>⽶酒;⾼粱酒;果酒;葡萄酒;⽩酒;烈酒;甜酒;⽼酒（中国蒸馏烈酒）;烧酒;⾕物制蒸馏酒精饮料</t>
  </si>
  <si>
    <t>韶之畔</t>
  </si>
  <si>
    <t>韶山市红韵酒业有限公司</t>
  </si>
  <si>
    <t>果酒（含酒精）;蒸馏饮料;鸡尾酒;⽩兰地;⽩酒;⽶酒;烧酒;葡萄酒;⻩酒;威⼠忌</t>
  </si>
  <si>
    <t>高亿台</t>
  </si>
  <si>
    <t>贵州高亿医疗科技研发有限责任公司</t>
  </si>
  <si>
    <t>葡萄酒;⻩酒;果酒（含酒精）;⽶酒;汽酒;威⼠忌;苦荞酒;⽩兰地;⽩酒;蒸馏饮料</t>
  </si>
  <si>
    <t>澻洲灥</t>
  </si>
  <si>
    <t>果酒（含酒精）;开胃酒;葡萄酒;酒精饮料（啤酒除外）;含⽔果酒精饮料;⽼酒（中国蒸馏烈酒）;含酒精的饮料（啤酒除外）;由⾕物蒸馏的⽩酒;⽩⼲酒（中国⽩酒）;⽩酒</t>
  </si>
  <si>
    <t>老皇苐</t>
  </si>
  <si>
    <t>石狮展顺名飞贸易有限公司</t>
  </si>
  <si>
    <t>⻩酒;威⼠忌;⽩酒;葡萄酒;鸡尾酒;果酒;⽶酒;清酒;烈酒;⽩兰地</t>
  </si>
  <si>
    <t>苐王上品</t>
  </si>
  <si>
    <t>⽶酒;清酒;果酒;烈酒;鸡尾酒;⽩酒;⻩酒;葡萄酒;威⼠忌;⽩兰地</t>
  </si>
  <si>
    <t>柳州市龙升餐饮管理有限公司</t>
  </si>
  <si>
    <t>含⽔果酒精饮料;清酒（⽇本⽶酒）;烧酒;烈酒（饮料）;蒸煮提取物（利⼝酒和烈酒）;⽶酒;酒精饮料（啤酒除外）;开胃酒;⾕物制蒸馏酒精饮料;⽩酒</t>
  </si>
  <si>
    <t>野宗师</t>
  </si>
  <si>
    <t>湖南骏骆工艺品有限公司</t>
  </si>
  <si>
    <t>⽶酒;威⼠忌;果酒（含酒精）;⽩酒;⻩酒;⽩兰地;鸡尾酒;葡萄酒;烈酒（饮料）;烧酒</t>
  </si>
  <si>
    <t>阅厚</t>
  </si>
  <si>
    <t>贵州阅厚酒业有限公司</t>
  </si>
  <si>
    <t>酒精饮料（啤酒除外）;⻩酒;果酒（含酒精）;汽酒;⽶酒;开胃酒;烈酒（饮料）;⽩酒;⻘稞酒;烧酒</t>
  </si>
  <si>
    <t>张洪雨</t>
  </si>
  <si>
    <t>酒精饮料（啤酒除外）;蒸馏饮料;⽩酒;葡萄酒;烈酒（饮料）;鸡尾酒;⻩酒;⽶酒;烧酒;果酒（含酒精）</t>
  </si>
  <si>
    <t>中策</t>
  </si>
  <si>
    <t>杭州中策科技有限公司</t>
  </si>
  <si>
    <t>烧酒;⻩酒;⽶酒;⽩酒;⽩兰地;葡萄酒;酒精饮料（啤酒除外）;烈酒（饮料）;果酒（含酒精）;鸡尾酒</t>
  </si>
  <si>
    <t>浓凤呈祥</t>
  </si>
  <si>
    <t>四川快聘人力资源有限公司</t>
  </si>
  <si>
    <t>汽酒;蒸馏饮料;⽩酒;⽶酒;开胃酒;烧酒;酒精饮料（啤酒除外）;⻩酒;葡萄酒;利⼝酒</t>
  </si>
  <si>
    <t>TENUTA L'ENTRATA</t>
  </si>
  <si>
    <t>维奥龙农业有限公司</t>
  </si>
  <si>
    <t>佐餐酒;酒精饮料（啤酒除外）;红葡萄酒;桃红葡萄酒;葡萄酒;以葡萄酒为主的饮料;烈酒（饮料）;果酒（含酒精）;预先混合的酒精饮料（以啤酒为主的除外）;葡萄汽酒;加⾹料的热葡萄酒</t>
  </si>
  <si>
    <t>恒枝烧坊</t>
  </si>
  <si>
    <t>高能</t>
  </si>
  <si>
    <t>⽩酒;伏特加酒;葡萄酒;果酒;⽶酒;⻩酒;清酒;烧酒;威⼠忌;蜂蜜酒</t>
  </si>
  <si>
    <t>小不谋</t>
  </si>
  <si>
    <t>黄晓峰</t>
  </si>
  <si>
    <t>贵州国黔酒业有限公司</t>
  </si>
  <si>
    <t>⽩酒;⾷⽤酒精;蒸馏饮料;烧酒;烈酒（饮料）;酒精饮料（啤酒除外）;酒精饮料原汁;⻩酒;葡萄酒;蒸煮提取物（利⼝酒和烈酒）</t>
  </si>
  <si>
    <t>⽶酒;清酒;葡萄酒;酒精饮料（啤酒除外）;⽼酒（中国蒸馏烈酒）;烈酒;果酒;⻩酒;⽩酒;烧酒</t>
  </si>
  <si>
    <t>U&amp;Q</t>
  </si>
  <si>
    <t>杨芯军</t>
  </si>
  <si>
    <t>⽩酒;酒精饮料（啤酒除外）;⾼粱酒;烈酒（饮料）;⽶酒;葡萄酒;烧酒;含酒精⽔果饮料;⻩酒;果酒</t>
  </si>
  <si>
    <t>九上仙</t>
  </si>
  <si>
    <t>刘非平</t>
  </si>
  <si>
    <t>鸡尾酒;酒精饮料（啤酒除外）;烈酒（饮料）;开胃酒;果酒;⻩酒;⽩酒;清酒（⽇本⽶酒）;威⼠忌;葡萄酒</t>
  </si>
  <si>
    <t>宗敬台 ZONG JING JIU YE</t>
  </si>
  <si>
    <t>贵州宗敬酒业有限公司</t>
  </si>
  <si>
    <t>由⾕物蒸馏的⽩酒;⽩⼲酒（中国⽩酒）;⽩酒</t>
  </si>
  <si>
    <t>金纲圈</t>
  </si>
  <si>
    <t>贵州金纲酒业有限公司</t>
  </si>
  <si>
    <t>酒精饮料（啤酒除外）;⽩酒;果酒;⻩酒;清酒（⽇本⽶酒）;烧酒;葡萄酒;⻘稞酒;⽶酒;蒸煮提取物（利⼝酒和烈酒）</t>
  </si>
  <si>
    <t>亿佰岁</t>
  </si>
  <si>
    <t>中农国信功能食品科技开发有限公司</t>
  </si>
  <si>
    <t>⽩酒;⽶酒;果酒;除啤酒外的酒精饮料;威⼠忌;⽩兰地;清酒;烧酒;⻩酒;烈酒</t>
  </si>
  <si>
    <t>INSPIRIT</t>
  </si>
  <si>
    <t>新电英雄（上海）文化传播有限公司</t>
  </si>
  <si>
    <t>葡萄酒;⽩兰地;威⼠忌;果酒;⻩酒;清酒;开胃酒;鸡尾酒;⽩酒;利⼝酒</t>
  </si>
  <si>
    <t>酉欢</t>
  </si>
  <si>
    <t>张万福</t>
  </si>
  <si>
    <t>烈酒;⽩兰地;威⼠忌;烧酒;⻩酒;鸡尾酒;葡萄酒;⻘稞酒;⽩酒;⽶酒</t>
  </si>
  <si>
    <t>小不忍</t>
  </si>
  <si>
    <t>⽶酒;含酒精的⽓泡⽔;薄荷酒;酒精饮料原汁;⻩酒;⽩酒;蒸馏饮料;果酒（含酒精）;烈酒（饮料）;酒精饮料（啤酒除外）</t>
  </si>
  <si>
    <t>易盟控股（深圳）有限公司</t>
  </si>
  <si>
    <t>蒸馏饮料;蒸煮提取物（利⼝酒和烈酒）;清酒（⽇本⽶酒）;⾕物制蒸馏酒精饮料;烈酒（饮料）;葡萄酒;⽩兰地;威⼠忌;预先混合的酒精饮料（以啤酒为主的除外）;鸡尾酒</t>
  </si>
  <si>
    <t>3279 叁贰柒玖</t>
  </si>
  <si>
    <t>潍坊高见商贸有限公司</t>
  </si>
  <si>
    <t>烈酒（饮料）;⾷⽤酒精;蒸煮提取物（利⼝酒和烈酒）;清酒（⽇本⽶酒）;⻩酒;⻘稞酒;⽩酒;烧酒;⾼粱酒;⽶酒</t>
  </si>
  <si>
    <t>纳里</t>
  </si>
  <si>
    <t>纳里健康科技有限公司</t>
  </si>
  <si>
    <t>⻩酒;⻘稞酒;⽩兰地;苦味酒;⽩酒;薄荷酒;烧酒;⽶酒;利⼝酒;蒸馏饮料</t>
  </si>
  <si>
    <t>蜀汉布衣</t>
  </si>
  <si>
    <t>四川桓江实业有限公司</t>
  </si>
  <si>
    <t>含⽔果酒精饮料;⽩酒;葡萄酒;预调甜酒;⾕物制蒸馏酒精饮料;汽酒;鸡尾酒;⽶酒;烧酒（烈酒）;⻩酒</t>
  </si>
  <si>
    <t>邢乡</t>
  </si>
  <si>
    <t>乔立华</t>
  </si>
  <si>
    <t>申致</t>
  </si>
  <si>
    <t>致为公品牌管理（上海）有限公司</t>
  </si>
  <si>
    <t>薄荷酒;鸡尾酒;烧酒;苦味酒;朗姆酒;果酒（含酒精）;清酒（⽇本⽶酒）;苹果酒;烈酒（饮料）;⽩酒</t>
  </si>
  <si>
    <t>峰阅万卷</t>
  </si>
  <si>
    <t>苏州峰阅万卷文化图书有限公司</t>
  </si>
  <si>
    <t>苹果酒;含⽔果酒精饮料;⽶酒;蜂蜜酒;⽩兰地;⽩酒;果酒（含酒精）;开胃酒;葡萄酒;⻩酒</t>
  </si>
  <si>
    <t>分转</t>
  </si>
  <si>
    <t>深圳市分转科技有限公司</t>
  </si>
  <si>
    <t>果酒（含酒精）;薄荷酒;蒸馏饮料;威⼠忌;⽶酒;⽩兰地;鸡尾酒;⻩酒;酒精饮料（啤酒除外）;⽩酒</t>
  </si>
  <si>
    <t>游龙门</t>
  </si>
  <si>
    <t>烧酒;⽩酒;⽶酒;葡萄酒;鸡尾酒;威⼠忌;开胃酒;烈酒（饮料）;⽩兰地;⾼粱酒</t>
  </si>
  <si>
    <t>百印烧坊</t>
  </si>
  <si>
    <t>烧酒;⽩酒;葡萄酒;蜂蜜酒;威⼠忌;⻩酒;⽶酒;清酒;果酒;伏特加酒</t>
  </si>
  <si>
    <t>贵客绥在</t>
  </si>
  <si>
    <t>贵州聚能供应链管理有限公司</t>
  </si>
  <si>
    <t>⽶酒;烧酒;烈性⼲酒;⽩酒;果酒;杨梅酒;蜂蜜酒;⻩酒;甜酒;⽼酒（中国蒸馏烈酒）</t>
  </si>
  <si>
    <t>苏格汀</t>
  </si>
  <si>
    <t>福建世展星宏供应链有限公司</t>
  </si>
  <si>
    <t>梅酒;葡萄酒;利⼝酒;⽩兰地;⻩酒;酒精饮料（啤酒除外）;威⼠忌;⽶酒;汽酒;⽩酒</t>
  </si>
  <si>
    <t>苏格纳</t>
  </si>
  <si>
    <t>葡萄酒;威⼠忌;酒精饮料（啤酒除外）;汽酒;⻩酒;利⼝酒;⽩酒;⽩兰地;⽶酒;梅酒</t>
  </si>
  <si>
    <t>帝宴酒庄</t>
  </si>
  <si>
    <t>贵州天日酒业有限公司</t>
  </si>
  <si>
    <t>⾕物制蒸馏酒精饮料;苹果酒;蒸馏饮料;⽶酒;餐后酒（利⼝酒和烈酒）;果酒（含酒精）;葡萄酒;烈酒（饮料）;⽩酒;露酒</t>
  </si>
  <si>
    <t>HZ</t>
  </si>
  <si>
    <t>⽩兰地;果酒（含酒精）;葡萄酒;⻩酒;酒精饮料（啤酒除外）;⽶酒;烧酒;⽩酒;烈酒（饮料）;威⼠忌</t>
  </si>
  <si>
    <t>贵州牡丹荟酒业有限公司</t>
  </si>
  <si>
    <t>爽途</t>
  </si>
  <si>
    <t>贵州九月酒商贸有限公司</t>
  </si>
  <si>
    <t>酒精饮料原汁;葡萄酒;⾷⽤酒精;烈酒(饮料);烧酒;预先混合的酒精饮料(以啤酒为主的除外);⽩酒;蒸馏饮料;果酒（含酒精）;酒精饮料(啤酒除外)</t>
  </si>
  <si>
    <t>山野生机</t>
  </si>
  <si>
    <t>邱德阁</t>
  </si>
  <si>
    <t>蒸馏饮料;鸡尾酒;烈酒（饮料）;蒸馏⽶酒（泡盛酒）;烧酒;果酒（含酒精）;葡萄酒;清酒（⽇本⽶酒）;⽩酒;⽶酒</t>
  </si>
  <si>
    <t>冰结 KIRIN</t>
  </si>
  <si>
    <t>麒麟控股株式会社</t>
  </si>
  <si>
    <t>清酒（⽇本⽶酒）;苹果酒;葡萄酒;威⼠忌;含⽔果酒精饮料;果酒（含酒精）;酒精饮料原汁;利⼝酒;汽酒;酒精饮料（啤酒除外）;鸡尾酒;预先混合的酒精饮料（以啤酒为主的除外）;蒸馏饮料</t>
  </si>
  <si>
    <t>赖正衡红醴</t>
  </si>
  <si>
    <t>贵州赖正衡酒业集团有限公司</t>
  </si>
  <si>
    <t>⾷⽤酒精;⽩酒;蒸煮提取物（利⼝酒和烈酒）;清酒;烧酒;开胃酒;烈酒（饮料）;酒精饮料（啤酒除外）;含⽔果酒精饮料;鸡尾酒</t>
  </si>
  <si>
    <t>帝宴御</t>
  </si>
  <si>
    <t>⾕物制蒸馏酒精饮料;果酒（含酒精）;蒸馏饮料;⽶酒;苹果酒;⽩酒;露酒;葡萄酒;餐后酒（利⼝酒和烈酒）;烈酒（饮料）</t>
  </si>
  <si>
    <t>杞都</t>
  </si>
  <si>
    <t>曹广江</t>
  </si>
  <si>
    <t>果酒（含酒精）;烈酒（饮料）;⽩兰地;含⽔果酒精饮料;⽩⼲酒（中国⽩酒）;烈酒;葡萄酒;威⼠忌;烧酒;⽩酒</t>
  </si>
  <si>
    <t>帝宴醇</t>
  </si>
  <si>
    <t>蒸馏饮料;⾕物制蒸馏酒精饮料;苹果酒;葡萄酒;⽩酒;果酒（含酒精）;烈酒（饮料）;露酒;餐后酒（利⼝酒和烈酒）;⽶酒</t>
  </si>
  <si>
    <t>BOYJIN</t>
  </si>
  <si>
    <t>青田县博伊金进出口贸易有限公司</t>
  </si>
  <si>
    <t>烧酒;开胃酒;威⼠忌;清酒（⽇本⽶酒）;⽩酒;⽩兰地;⾕物制蒸馏酒精饮料;果酒（含酒精）;鸡尾酒;葡萄酒</t>
  </si>
  <si>
    <t>全厨佳</t>
  </si>
  <si>
    <t>蒸馏米酒（泡盛酒）;鸡尾酒;清酒（日本米酒）;白酒;烈酒（饮料）;果酒（含酒精）;葡萄酒;烧酒;蒸馏饮料;米酒</t>
  </si>
  <si>
    <t>泓翔</t>
  </si>
  <si>
    <t>贵州龙陆号企业管理有限公司</t>
  </si>
  <si>
    <t>酒精饮料（啤酒除外）;⽼酒（中国蒸馏烈酒）;果酒;⽩酒;⾕物制蒸馏酒精饮料;预先混合的酒精饮料（以啤酒为主的除外）;威⼠忌;葡萄酒;酒精饮料原汁;⾼粱酒</t>
  </si>
  <si>
    <t>点道</t>
  </si>
  <si>
    <t>陈进现</t>
  </si>
  <si>
    <t>含⽔果酒精饮料;果酒（含酒精）;酒精饮料（啤酒除外）;苹果酒;以葡萄酒为主的饮料;⽩酒;⽶酒;⻩酒;清酒（⽇本⽶酒）;樱桃酒</t>
  </si>
  <si>
    <t>保卫萝卜</t>
  </si>
  <si>
    <t>北京凯罗天下科技有限公司</t>
  </si>
  <si>
    <t>鸡尾酒;⽩兰地;果酒（含酒精）;烧酒;葡萄酒;⽩酒;伏特加酒;酒精饮料（啤酒除外）;威⼠忌;开胃酒</t>
  </si>
  <si>
    <t>戎马梦</t>
  </si>
  <si>
    <t>黄敏</t>
  </si>
  <si>
    <t>利⼝酒;开胃酒;⽩酒;葡萄酒;酒精饮料（啤酒除外）;含⽔果酒精饮料;⽶酒;⻩酒;烧酒;烈酒（饮料）</t>
  </si>
  <si>
    <t>沽好成义烧坊</t>
  </si>
  <si>
    <t>贵州谢鼎天酒业有限公司</t>
  </si>
  <si>
    <t>薄荷酒;⽩酒;⽼酒（中国蒸馏烈酒）;果酒;葡萄汽酒;⽩葡萄酒;⽩兰地;⽶酒;⻩酒;烧酒</t>
  </si>
  <si>
    <t>誉图</t>
  </si>
  <si>
    <t>⻩酒;⽩兰地;⽶酒;果酒（含酒精）;葡萄酒;含⽔果酒精饮料;⾷⽤酒精;⽩酒;鸡尾酒;酒精饮料（啤酒除外）</t>
  </si>
  <si>
    <t>阿古酣酒</t>
  </si>
  <si>
    <t>惠州市昇泰利实业有限公司</t>
  </si>
  <si>
    <t>⽩酒;苹果酒;梨酒;露酒;威⼠忌;蒸馏饮料;蜂蜜酒;烧酒;果酒（含酒精）;⻩酒</t>
  </si>
  <si>
    <t>不老潭神</t>
  </si>
  <si>
    <t>四川不老潭企业管理有限公司</t>
  </si>
  <si>
    <t>果酒（含酒精）;烧酒;⽩酒;⾼粱酒;果酒;梅酒;汽酒;⻩酒;⽶酒</t>
  </si>
  <si>
    <t>FUZIMIAO</t>
  </si>
  <si>
    <t>杜林垚</t>
  </si>
  <si>
    <t>葡萄酒;鸡尾酒;甜酒;烧酒（烈酒）;⽩兰地;⽩酒;果酒（含酒精）;朗姆酒;⻩酒;梅酒</t>
  </si>
  <si>
    <t>WONITA</t>
  </si>
  <si>
    <t>南通烈阳食品有限公司</t>
  </si>
  <si>
    <t>朗姆酒;利⼝酒;含酒精的饮料（啤酒除外）;⽢蔗汁酿朗姆酒;含酒精的充⽓饮料（啤酒除外）;含⽔果酒精饮料;⽢蔗制酒精饮料;以朗姆酒为主的饮料;果酒（含酒精）</t>
  </si>
  <si>
    <t>石头公园</t>
  </si>
  <si>
    <t>海南华隆铜鼓岭旅游控股有限公司</t>
  </si>
  <si>
    <t>开胃酒;葡萄酒;含⽔果酒精饮料;果酒（含酒精）;⻩酒;酒精饮料（啤酒除外）;⽩酒;威⼠忌;蒸馏饮料;薄荷酒</t>
  </si>
  <si>
    <t>顶造</t>
  </si>
  <si>
    <t>汪光松</t>
  </si>
  <si>
    <t>酒精饮料（啤酒除外）;烧酒;果酒（含酒精）;鸡尾酒;⻩酒;蒸馏饮料;葡萄酒;⽶酒;⽩酒;威⼠忌</t>
  </si>
  <si>
    <t>不老潭京酿</t>
  </si>
  <si>
    <t>⾼粱酒;果酒（含酒精）;汽酒;⽶酒;果酒;⽩酒;梅酒;⻩酒;烧酒</t>
  </si>
  <si>
    <t>周玉朋</t>
  </si>
  <si>
    <t>⻩酒;⽩兰地;鸡尾酒;⽶酒;⽩酒;朗姆酒;烧酒;蜂蜜酒;葡萄酒;清酒</t>
  </si>
  <si>
    <t>杭州汇浩盛科技有限公司</t>
  </si>
  <si>
    <t>葡萄酒;果酒（含酒精）;⽩兰地;加烈葡萄酒;威⼠忌;葡萄汽酒;以葡萄酒为主的开胃酒;⽶酒;以葡萄酒为主的饮料;⽩酒</t>
  </si>
  <si>
    <t>粤掼</t>
  </si>
  <si>
    <t>国科文创发展(深圳)有限公司</t>
  </si>
  <si>
    <t>果酒;烧酒（烈酒）;⽢蔗制酒精饮料;威⼠忌;鸡尾酒;葡萄酒;⽶酒;⻩酒;⽩兰地;⽩酒</t>
  </si>
  <si>
    <t>聚师台基酒</t>
  </si>
  <si>
    <t>贵州上酝台技术服务有限公司</t>
  </si>
  <si>
    <t>烈酒（饮料）;蒸馏饮料;⽩酒;⽶酒;⾕物制蒸馏酒精饮料;葡萄酒;苹果酒;果酒（含酒精）;露酒;餐后酒（利⼝酒和烈酒）</t>
  </si>
  <si>
    <t>保酒府窖</t>
  </si>
  <si>
    <t>保定金名片酒业有限公司</t>
  </si>
  <si>
    <t>酒精饮料（啤酒除外）;⽩酒;清酒;⻩酒;烈酒;烧酒（烈酒）;除啤酒外的酒精饮料;⽶酒;红葡萄酒;烧酒</t>
  </si>
  <si>
    <t>中纣</t>
  </si>
  <si>
    <t>张年有</t>
  </si>
  <si>
    <t>⽶酒;汽酒;⻩酒;含酒精的⽓泡⽔;酒精饮料（啤酒除外）;⽩酒;果酒;⽩⼲酒（中国⽩酒）;葡萄酒;烧酒</t>
  </si>
  <si>
    <t>帝元一康</t>
  </si>
  <si>
    <t>贵州龙森酒业有限公司</t>
  </si>
  <si>
    <t>果酒（含酒精）;葡萄酒;⽶酒;鸡尾酒;⾕物制蒸馏酒精饮料;酒精饮料（啤酒除外）;⻩酒;烧酒;⽩酒;烈酒（饮料）</t>
  </si>
  <si>
    <t>高埂佳酿</t>
  </si>
  <si>
    <t>成都市福泉酒业有限公司</t>
  </si>
  <si>
    <t>酒精饮料（啤酒除外）;葡萄酒;⽶酒;烧酒;清酒（⽇本⽶酒）;鸡尾酒;⽩酒;果酒（含酒精）;开胃酒;⾼粱酒</t>
  </si>
  <si>
    <t>湘鲜姐</t>
  </si>
  <si>
    <t>徐宝珍</t>
  </si>
  <si>
    <t>⽩酒;蒸馏饮料;⽶酒;葡萄酒;杨梅酒;鸡尾酒;果酒;烈酒（饮料）;⾷⽤酒精;除啤酒外的酒精饮料</t>
  </si>
  <si>
    <t>尧山</t>
  </si>
  <si>
    <t>贾新民</t>
  </si>
  <si>
    <t>调制好的葡萄酒鸡尾酒;果酒（含酒精）;苹果酒;含⽔果酒精饮料;⽩酒;葡萄酒;以葡萄酒为主的饮料;果酒;含酒精⽔果饮料;⻩酒</t>
  </si>
  <si>
    <t>⽩酒;调制好的葡萄酒鸡尾酒;果酒（含酒精）;苹果酒;果酒;以葡萄酒为主的饮料;含酒精⽔果饮料;含⽔果酒精饮料;⻩酒;葡萄酒</t>
  </si>
  <si>
    <t>窖老旗扎</t>
  </si>
  <si>
    <t>果酒（含酒精）;烈酒（饮料）;含⽔果酒精饮料;薄荷酒;烧酒;酒精饮料（啤酒除外）;⽩酒;苹果酒;葡萄酒;蒸馏饮料</t>
  </si>
  <si>
    <t>2024/06/23</t>
  </si>
  <si>
    <t>贵号天下</t>
  </si>
  <si>
    <t>姚宇洁</t>
  </si>
  <si>
    <t>已调味的蒸馏酒;⾼粱酒;⽩⼲酒（中国⽩酒）;⽼酒（中国蒸馏烈酒）;含酒精的饮料（啤酒除外）;烧酒（烈酒）;酒精饮料（啤酒除外）;⽩酒;果酒;由⾕物蒸馏的⽩酒</t>
  </si>
  <si>
    <t>诺德棠比安诺</t>
  </si>
  <si>
    <t>广东丽达国际酒业有限公司</t>
  </si>
  <si>
    <t>果酒;烈酒;⽩酒;⽶酒;⻩酒;除啤酒外的酒精饮料;清酒;⻘稞酒;烧酒;葡萄酒</t>
  </si>
  <si>
    <t>江小皖</t>
  </si>
  <si>
    <t>泉州市泉港区越后制果日用百货商行</t>
  </si>
  <si>
    <t>鸡尾酒;清酒;葡萄酒;烈酒（饮料）;果酒;开胃酒;苹果酒;威⼠忌;利⼝酒;⽩酒</t>
  </si>
  <si>
    <t>窖宦</t>
  </si>
  <si>
    <t>张柏川</t>
  </si>
  <si>
    <t>⽩兰地;⽩酒;鸡尾酒;⻩酒;⽶酒;葡萄酒;威⼠忌;⻘稞酒;烧酒;烈酒</t>
  </si>
  <si>
    <t>ZHANG GONG LAO JIU</t>
  </si>
  <si>
    <t>北京中安和光控股有限公司</t>
  </si>
  <si>
    <t>烧酒;⽼酒（中国蒸馏烈酒）;烧酒（烈酒）;由⾕物蒸馏的⽩酒;烈性⼲酒;含酒精的饮料（啤酒除外）;⾷⽤酒精;烈酒;⽩酒;五加⽪酒（中国混合烈酒）</t>
  </si>
  <si>
    <t>疆疆豪</t>
  </si>
  <si>
    <t>苏永强</t>
  </si>
  <si>
    <t>露酒;⽶酒;烧酒;⽩酒;酒精饮料原汁;⻩酒;甜酒;果酒（含酒精）;开胃酒;以葡萄酒为主的饮料</t>
  </si>
  <si>
    <t>赵简王</t>
  </si>
  <si>
    <t>程玉斌</t>
  </si>
  <si>
    <t>烈酒;葡萄酒;⽩兰地;威⼠忌;⻩酒;含酒精的饮料（啤酒除外）;含⽔果酒精饮料;⽩酒;果酒（含酒精）;⽼酒（中国蒸馏烈酒）</t>
  </si>
  <si>
    <t>梦眺雄心酒</t>
  </si>
  <si>
    <t>绩溪县梦眺酒厂</t>
  </si>
  <si>
    <t>蒸馏饮料;⽩酒;酒精饮料原汁;⽶酒;⻩酒;酒精饮料（啤酒除外）;含⽔果酒精饮料;果酒（含酒精）;樱桃酒;烧酒</t>
  </si>
  <si>
    <t>御临农珍</t>
  </si>
  <si>
    <t>重庆展图统景农业科技有限公司</t>
  </si>
  <si>
    <t>烈酒（饮料）;酒精饮料（啤酒除外）;鸡尾酒;⽶酒;⻩酒;酒精饮料原汁;⽩酒;开胃酒;果酒（含酒精）;葡萄酒</t>
  </si>
  <si>
    <t>和壹琼醴</t>
  </si>
  <si>
    <t>黄成</t>
  </si>
  <si>
    <t>薄荷酒;烧酒（烈酒）;果酒（含酒精）;葡萄酒;酒精饮料（啤酒除外）;⽩酒;含⽔果酒精饮料;五加⽪酒（中国混合烈酒）;威⼠忌;⻩酒</t>
  </si>
  <si>
    <t>开开华彩</t>
  </si>
  <si>
    <t>德瑞骅科技（北京）有限公司</t>
  </si>
  <si>
    <t>果酒（含酒精）;梨酒;⽩酒;蒸馏饮料;含酒精⽔果饮料;红葡萄酒;酒精饮料浓缩汁;含酒精的⽓泡⽔;⽶酒;薄荷酒</t>
  </si>
  <si>
    <t>江小植</t>
  </si>
  <si>
    <t>程二红</t>
  </si>
  <si>
    <t>⽩酒;⽶酒;果酒（含酒精）;酒精饮料浓缩汁;果酒;清酒;⾷⽤酒精;甜酒;葡萄酒;含⽔果酒精饮料</t>
  </si>
  <si>
    <t>汉风皇礼</t>
  </si>
  <si>
    <t>⾼粱酒;葡萄酒;露酒;⽩酒;⾕物制蒸馏酒精饮料;⽼酒（中国蒸馏烈酒）;果酒（含酒精）;⻘梅酒;酒精饮料（啤酒除外）;⾷⽤酒精</t>
  </si>
  <si>
    <t>御窖龙</t>
  </si>
  <si>
    <t>魏丰登</t>
  </si>
  <si>
    <t>鸡尾酒;果酒;⽩酒;葡萄酒;烧酒;利⼝酒;开胃酒;清酒（⽇本⽶酒）;酒精饮料（啤酒除外）;朗姆酒</t>
  </si>
  <si>
    <t>杜仙贵宾品鉴酒</t>
  </si>
  <si>
    <t>王绍光</t>
  </si>
  <si>
    <t>开胃酒;⽩兰地;酒精饮料（啤酒除外）;利⼝酒;⽶酒;果酒（含酒精）;⽩⼲酒（中国⽩酒）;烧酒;葡萄酒;⽩酒</t>
  </si>
  <si>
    <t>黔多多福满人间</t>
  </si>
  <si>
    <t>贵州内飞精品酒业股份有限公司</t>
  </si>
  <si>
    <t>葡萄酒;酒精饮料（啤酒除外）;烧酒;⽶酒;⽩酒;蒸馏饮料;鸡尾酒;⻩酒;⽩兰地;果酒（含酒精）</t>
  </si>
  <si>
    <t>玺央云</t>
  </si>
  <si>
    <t>方荷璐</t>
  </si>
  <si>
    <t>⽩酒;蒸馏饮料;鸡尾酒;清酒;含⽔果酒精饮料;烈酒（饮料）;威⼠忌;烧酒;酒精饮料原汁;果酒（含酒精）</t>
  </si>
  <si>
    <t>听梅开</t>
  </si>
  <si>
    <t>⾼粱酒;甜酒;杨梅酒;鸡尾酒;烈酒;烧酒;葡萄酒;果酒;⻩酒;⽩酒</t>
  </si>
  <si>
    <t>蓝宝河</t>
  </si>
  <si>
    <t>张贺梅</t>
  </si>
  <si>
    <t>果酒（含酒精）;鸡尾酒;葡萄酒;⾷⽤酒精;⽶酒;⽩酒;蒸馏饮料;烈酒（饮料）;⻩酒;酒精饮料（啤酒除外）</t>
  </si>
  <si>
    <t>八家益</t>
  </si>
  <si>
    <t>罗姜富</t>
  </si>
  <si>
    <t>以葡萄酒为主的饮料;果酒;烈酒（饮料）;⽶酒;利⼝酒;⽩酒;葡萄酒;⻩酒;烧酒;蒸馏⽶酒（泡盛酒）</t>
  </si>
  <si>
    <t>LAMEIZI</t>
  </si>
  <si>
    <t>辣妹子食品股份有限公司</t>
  </si>
  <si>
    <t>酒精饮料（啤酒除外）;柑⾹酒;⽶酒;含酒精⽔果饮料;葡萄酒;汽酒;烧酒;果酒（含酒精）;苹果酒;⽩酒</t>
  </si>
  <si>
    <t>CARIBBEAN FLAME</t>
  </si>
  <si>
    <t>美集美嘉(青岛)国际供应链有限公司</t>
  </si>
  <si>
    <t>朗姆酒;鸡尾酒;烈酒（饮料）;威⼠忌;杜松⼦酒;果酒（含酒精）;伏特加酒;⽩酒;⽩兰地;葡萄酒</t>
  </si>
  <si>
    <t>龙尊汉玺</t>
  </si>
  <si>
    <t>深圳市燕鹿科技有限公司</t>
  </si>
  <si>
    <t>⾕物制蒸馏酒精饮料;葡萄酒;威⼠忌;⽩酒;⽼酒（中国蒸馏烈酒）;⾼粱酒;露酒;梅酒;⽩兰地;酒精饮料（啤酒除外）</t>
  </si>
  <si>
    <t>销通</t>
  </si>
  <si>
    <t>广东美略信息科技有限公司</t>
  </si>
  <si>
    <t>红葡萄酒;果酒（含酒精）;⽩兰地;酒精饮料（啤酒除外）;烧酒;⽶酒;⽩酒;威⼠忌;⻩酒;鸡尾酒</t>
  </si>
  <si>
    <t>酬道合</t>
  </si>
  <si>
    <t>王伟</t>
  </si>
  <si>
    <t>含⽔果酒精饮料;⾷⽤酒精;烧酒;⽶酒;果酒;⽩酒;⽩兰地;清酒;葡萄酒;酒精饮料（啤酒除外）</t>
  </si>
  <si>
    <t>多多发彩</t>
  </si>
  <si>
    <t>贵州衡毅烧坊酒业集团有限公司</t>
  </si>
  <si>
    <t>果酒（含酒精）;⻩酒;蒸馏饮料;⽶酒;葡萄酒;蒸煮提取物（利⼝酒和烈酒）;开胃酒;汽酒;酒精饮料（啤酒除外）;⽩酒</t>
  </si>
  <si>
    <t>轩博泽芝坊</t>
  </si>
  <si>
    <t>贵州祝式包装科技有限公司</t>
  </si>
  <si>
    <t>烧酒;果酒;红葡萄酒;烈酒;⽩酒;烈酒（饮料）;⻩酒;威⼠忌;含酒精⽔果饮料;酒精饮料（啤酒除外）</t>
  </si>
  <si>
    <t>琬</t>
  </si>
  <si>
    <t>孙治国</t>
  </si>
  <si>
    <t>烧酒;⻩酒;果酒（含酒精）;葡萄酒;清酒（⽇本⽶酒）;酒精饮料（啤酒除外）;⽩酒;⽶酒;鸡尾酒;⾷⽤酒精</t>
  </si>
  <si>
    <t>醉美花溪</t>
  </si>
  <si>
    <t>山东花冠酒业有限公司</t>
  </si>
  <si>
    <t>葡萄酒;⽩酒;烧酒;果酒（含酒精）;⽶酒;烈酒（饮料）;苹果酒;酒精饮料原汁;酒精饮料（啤酒除外）;鸡尾酒</t>
  </si>
  <si>
    <t>奔面面</t>
  </si>
  <si>
    <t>贵州省仁怀市忆酿坊酒业销售有限公司</t>
  </si>
  <si>
    <t>葡萄酒;烈酒（饮料）;清酒（⽇本⽶酒）;⾕物制蒸馏酒精饮料;⽩酒;酒精饮料（啤酒除外）;⽶酒;烧酒;果酒（含酒精）;开胃酒</t>
  </si>
  <si>
    <t>沐清风 酒</t>
  </si>
  <si>
    <t>百川名品供应链股份有限公司</t>
  </si>
  <si>
    <t>葡萄酒;清酒（⽇本⽶酒）;⽶酒;伏特加酒;⽩酒;果酒（含酒精）;鸡尾酒;⽩兰地;⻩酒;烧酒</t>
  </si>
  <si>
    <t>金府金祥</t>
  </si>
  <si>
    <t>魏洪涛</t>
  </si>
  <si>
    <t>烈酒（饮料）;烧酒;⽩酒;鸡尾酒;⾷⽤酒精;开胃酒;⽶酒;餐后酒（利⼝酒和烈酒）;酒精饮料（啤酒除外）;果酒（含酒精）</t>
  </si>
  <si>
    <t>米糯谣</t>
  </si>
  <si>
    <t>刘振夫</t>
  </si>
  <si>
    <t>⾷⽤酒精;果酒（含酒精）;烈酒（饮料）;⻘稞酒;⽶酒;⽩酒;⻩酒;烧酒;含⽔果酒精饮料;威⼠忌</t>
  </si>
  <si>
    <t>湾尼斯</t>
  </si>
  <si>
    <t>广东石湾酒厂集团有限公司</t>
  </si>
  <si>
    <t>葡萄酒;威⼠忌;⻩酒;蒸馏饮料;酒精饮料（啤酒除外）;含⽔果酒精饮料;⽶酒;烧酒;⽩酒;⽩兰地</t>
  </si>
  <si>
    <t>后生大成</t>
  </si>
  <si>
    <t>含酒精⽔果饮料;果酒（含酒精）;葡萄酒;威⼠忌;烧酒;⽩兰地;⽶酒;⾕物制蒸馏酒精饮料;⻩酒;⽩酒</t>
  </si>
  <si>
    <t>蒙罕帝</t>
  </si>
  <si>
    <t>赵生荣</t>
  </si>
  <si>
    <t>⽩兰地;蒸馏饮料;葡萄酒;烈酒;果酒;⻘稞酒;⽩酒;⻩酒;⽶酒;苹果酒</t>
  </si>
  <si>
    <t>苍山冰</t>
  </si>
  <si>
    <t>赵忠伟</t>
  </si>
  <si>
    <t>鸡尾酒;蒸馏饮料;蜂蜜酒;烧酒;⽩酒;葡萄酒;⽶酒;⻩酒;果酒（含酒精）;开胃酒</t>
  </si>
  <si>
    <t>DOUBLE KIRIN</t>
  </si>
  <si>
    <t>许进禄</t>
  </si>
  <si>
    <t>开胃酒;鸡尾酒;利⼝酒;烧酒;威⼠忌;蒸馏饮料;⽩酒;葡萄酒;⽩兰地;⽶酒</t>
  </si>
  <si>
    <t>绍牌王黄清</t>
  </si>
  <si>
    <t>浙江圣塔绍兴酒有限公司</t>
  </si>
  <si>
    <t>⻩酒;⽼酒（中国蒸馏烈酒）;汽酒;⽩酒;果酒;葡萄酒;⽶酒;清酒;梅酒;烧酒</t>
  </si>
  <si>
    <t>国王的气概</t>
  </si>
  <si>
    <t>韩学记</t>
  </si>
  <si>
    <t>⽩酒;⾷⽤酒精;鸡尾酒;⽶酒;⻘稞酒;蒸馏饮料;烧酒;果酒（含酒精）;酒精饮料（啤酒除外）;葡萄酒</t>
  </si>
  <si>
    <t>福临德</t>
  </si>
  <si>
    <t>贵州福临德酒业有限公司</t>
  </si>
  <si>
    <t>葡萄酒;果酒;含酒精⽔果饮料;鸡尾酒;⾼粱酒;烈酒;以葡萄酒为主的开胃酒;⻘稞酒;烧酒;⽩酒</t>
  </si>
  <si>
    <t>贵文湘</t>
  </si>
  <si>
    <t>北京文湘建设工程有限公司</t>
  </si>
  <si>
    <t>⽩酒;⾷⽤酒精;含⽔果酒精饮料;开胃酒;⻩酒;汽酒;烧酒;⽶酒;酒精饮料（啤酒除外）;果酒（含酒精）</t>
  </si>
  <si>
    <t>魂中友</t>
  </si>
  <si>
    <t>蒋财正</t>
  </si>
  <si>
    <t>⽶酒;⻩酒;开胃酒;鸡尾酒;烧酒;⽩酒;威⼠忌;葡萄酒;汽酒;蒸馏饮料</t>
  </si>
  <si>
    <t>醉文湘</t>
  </si>
  <si>
    <t>⻩酒;含⽔果酒精饮料;烧酒;⽩酒;开胃酒;果酒（含酒精）;汽酒;⽶酒;酒精饮料（啤酒除外）;⾷⽤酒精</t>
  </si>
  <si>
    <t>秦统汉扩</t>
  </si>
  <si>
    <t>谢艾尔</t>
  </si>
  <si>
    <t>⻩酒;⽩酒;果酒（含酒精）;含酒精⽔果饮料;⾕物制蒸馏酒精饮料;威⼠忌;葡萄酒;烧酒;⽶酒;⽩兰地</t>
  </si>
  <si>
    <t>靖山红</t>
  </si>
  <si>
    <t>赵洪祥</t>
  </si>
  <si>
    <t>葡萄酒;鸡尾酒;蒸馏饮料;含酒精⽔果饮料;⽩兰地;⽩酒;⾷⽤酒精;烈酒（饮料）;果酒（含酒精）;⽶酒</t>
  </si>
  <si>
    <t>天中湖</t>
  </si>
  <si>
    <t>登封市天中湖物业管理有限公司</t>
  </si>
  <si>
    <t>威⼠忌;⽶酒;烧酒;⻘稞酒;⻩酒;果酒（含酒精）;苹果酒;葡萄酒;酒精饮料（啤酒除外）;⽩酒</t>
  </si>
  <si>
    <t>吉乡源</t>
  </si>
  <si>
    <t>吉林省兴梦商贸有限公司</t>
  </si>
  <si>
    <t>威⼠忌;汽酒;⻩酒;⽩酒;清酒;果酒;酒精饮料（啤酒除外）;甜酒;葡萄酒;⽶酒</t>
  </si>
  <si>
    <t>志远龙顺</t>
  </si>
  <si>
    <t>青龙满族自治县志远龙顺矿业有限公司</t>
  </si>
  <si>
    <t>预先混合的酒精饮料（以啤酒为主的除外）;⻩酒;开胃酒;⾕物制蒸馏酒精饮料;⽶酒;烈酒（饮料）;烧酒;葡萄酒;果酒（含酒精）;⽩酒</t>
  </si>
  <si>
    <t>阿南</t>
  </si>
  <si>
    <t>刘胜南</t>
  </si>
  <si>
    <t>鸡尾酒;⽩兰地;⽶酒;⻩酒;⽩酒;威⼠忌;烧酒;果酒（含酒精）;蒸馏饮料;葡萄酒</t>
  </si>
  <si>
    <t>鹿晓辉</t>
  </si>
  <si>
    <t>吉林长春瑞鹿祥鹿业有限公司</t>
  </si>
  <si>
    <t>含⽔果酒精饮料;⻩酒;五加⽪酒（中国混合烈酒）;蜂蜜酒;⾕物制蒸馏酒精饮料;果酒（含酒精）;烧酒;烈酒（饮料）;露酒;⽩酒</t>
  </si>
  <si>
    <t>HX</t>
  </si>
  <si>
    <t>德州海新商贸有限公司</t>
  </si>
  <si>
    <t>清酒;烧酒;红葡萄酒;⽩葡萄酒;⽩兰地;朗姆酒;⽩酒</t>
  </si>
  <si>
    <t>潭色清花</t>
  </si>
  <si>
    <t>孙世磊</t>
  </si>
  <si>
    <t>葡萄酒;酒精饮料（啤酒除外）;⻩酒;烧酒;清酒（⽇本⽶酒）;鸡尾酒;⽩酒;朗姆酒;伏特加酒;果酒（含酒精）</t>
  </si>
  <si>
    <t>淮河沟</t>
  </si>
  <si>
    <t>段鑫强</t>
  </si>
  <si>
    <t>果酒（含酒精）;⽶酒;酒精饮料（啤酒除外）;蒸馏饮料;烈酒（饮料）;烧酒;葡萄酒;⻩酒;鸡尾酒;⽩酒</t>
  </si>
  <si>
    <t>FERNET HUNTER</t>
  </si>
  <si>
    <t>猎人饮料有限公司</t>
  </si>
  <si>
    <t>伏特加酒;朗姆酒;汽酒;⽩酒;葡萄酒;鸡尾酒;以葡萄酒为主的饮料;含酒精的⽓泡⽔;清酒（⽇本⽶酒）;酒精饮料（啤酒除外）</t>
  </si>
  <si>
    <t>海堤</t>
  </si>
  <si>
    <t>方小锋</t>
  </si>
  <si>
    <t>⽩酒;⽶酒;果酒（含酒精）;⽔果汽酒;蒸馏饮料;威⼠忌;酒精饮料（啤酒除外）;烈酒;清酒（⽇本⽶酒）;葡萄酒</t>
  </si>
  <si>
    <t>禧家禧嫁</t>
  </si>
  <si>
    <t>莆田市大冬文化传媒有限公司</t>
  </si>
  <si>
    <t>⽩葡萄酒;⽩⼲酒（中国⽩酒）;葡萄酒;餐后酒（利⼝酒和烈酒）;果酒（含酒精）;⾼粱酒;红葡萄酒;露酒;烈酒;⽩酒</t>
  </si>
  <si>
    <t>秦县令</t>
  </si>
  <si>
    <t>王怀国</t>
  </si>
  <si>
    <t>清酒（⽇本⽶酒）;⽩兰地;葡萄酒;鸡尾酒;薄荷酒;⻩酒;⽩酒;利⼝酒;烧酒;果酒</t>
  </si>
  <si>
    <t>旗开山</t>
  </si>
  <si>
    <t>贵州乐九猫商贸有限公司</t>
  </si>
  <si>
    <t>烈酒（饮料）;⽶酒;鸡尾酒;蜂蜜酒;⽩酒;⽩兰地;果酒（含酒精）;葡萄酒;⻩酒;烧酒</t>
  </si>
  <si>
    <t>匠华鼎</t>
  </si>
  <si>
    <t>白会芹</t>
  </si>
  <si>
    <t>⻩酒;⽩酒;葡萄酒;⽶酒;⽩葡萄酒;⾼粱酒;烈酒;鸡尾酒;烧酒;酒精饮料（啤酒除外）</t>
  </si>
  <si>
    <t>华茵</t>
  </si>
  <si>
    <t>⾼粱酒;烈酒;薄荷酒;⻘稞酒;⽩⼲酒（中国⽩酒）;苦荞酒;由⾕物蒸馏的⽩酒;烧酒;⽩酒;⻩酒</t>
  </si>
  <si>
    <t>AUX</t>
  </si>
  <si>
    <t>奥克斯集团有限公司</t>
  </si>
  <si>
    <t>薄荷酒;开胃酒;清酒（⽇本⽶酒）;已调味的⻨芽酿制的酒精饮料（啤酒除外）;亚⼒酒;梨酒;含酒精的⽓泡⽔;苦味酒;茴芹酒（利⼝酒）;苹果酒</t>
  </si>
  <si>
    <t>乾战</t>
  </si>
  <si>
    <t>烧酒;⻩酒;果酒;清酒（⽇本⽶酒）;葡萄酒;⽩酒;⽩兰地;薄荷酒;利⼝酒;鸡尾酒</t>
  </si>
  <si>
    <t>秦楚芈八子</t>
  </si>
  <si>
    <t>米健</t>
  </si>
  <si>
    <t>含⽔果酒精饮料;⻩酒;预先混合的酒精饮料（以啤酒为主的除外）;清酒（⽇本⽶酒）;葡萄酒;酒精饮料（啤酒除外）;⽩酒;烧酒;⽶酒;果酒（含酒精）</t>
  </si>
  <si>
    <t>日都普连</t>
  </si>
  <si>
    <t>肖文新</t>
  </si>
  <si>
    <t>蜂蜜酒;清酒（⽇本⽶酒）;烧酒;⻘稞酒;⻩酒;葡萄酒;预先混合的酒精饮料（以啤酒为主的除外）;⽩酒;果酒（含酒精）;⾷⽤酒精</t>
  </si>
  <si>
    <t>汤克金</t>
  </si>
  <si>
    <t>威⼠忌;⽶酒;开胃酒;葡萄酒;果酒（含酒精）;烈酒（饮料）;⽩酒;预先混合的酒精饮料（以啤酒为主的除外）;酒精饮料（啤酒除外）;清酒（⽇本⽶酒）</t>
  </si>
  <si>
    <t>夕阳贩卖家</t>
  </si>
  <si>
    <t>悦想语者（青岛）文化科技有限公司</t>
  </si>
  <si>
    <t>含酒精的⽓泡⽔;酒精饮料（啤酒除外）;预先混合的酒精饮料（以啤酒为主的除外）;⻩酒;⽩酒;含⽔果酒精饮料;果酒（含酒精）;蒸馏饮料;⽶酒;威⼠忌</t>
  </si>
  <si>
    <t>禹尘</t>
  </si>
  <si>
    <t>贵州安顺金尘产业运营管理有限公司</t>
  </si>
  <si>
    <t>烈酒;⽩⼲酒（中国⽩酒）;⽩酒;⾼粱酒;⽼酒（中国蒸馏烈酒）;烈酒（饮料）;鸡尾酒;葡萄酒;⻩酒;果酒</t>
  </si>
  <si>
    <t>晋酒涧</t>
  </si>
  <si>
    <t>汾阳市国色清香酒业有限公司</t>
  </si>
  <si>
    <t>苦味酒;⽩酒;⽼酒（中国蒸馏烈酒）;⾼粱酒;红葡萄酒;烈酒;果酒;薄荷酒;⽶酒;⽩⼲酒（中国⽩酒）</t>
  </si>
  <si>
    <t>六都福</t>
  </si>
  <si>
    <t>开化上安梯田农业开发有限公司</t>
  </si>
  <si>
    <t>⽩酒;葡萄酒;鸡尾酒;烈酒（饮料）;烧酒;酒精饮料（啤酒除外）;开胃酒;蜂蜜酒;⻩酒;⽶酒</t>
  </si>
  <si>
    <t>金泉子昂</t>
  </si>
  <si>
    <t>何中全</t>
  </si>
  <si>
    <t>⽩酒;⻘稞酒;烧酒;⾼粱酒;⽩⼲酒（中国⽩酒）;果酒（含酒精）;⽼酒（中国蒸馏烈酒）;⾕物制蒸馏酒精饮料;⽶酒;由⾕物蒸馏的⽩酒</t>
  </si>
  <si>
    <t>九慎</t>
  </si>
  <si>
    <t>⽩酒;⻩酒;⽶酒;⾷⽤酒精;开胃酒;蒸煮提取物（利⼝酒和烈酒）;酒精饮料（啤酒除外）;果酒（含酒精）;葡萄酒;烧酒</t>
  </si>
  <si>
    <t>卡友赞</t>
  </si>
  <si>
    <t>田大威</t>
  </si>
  <si>
    <t>⽩酒;果酒（含酒精）;⽶酒;含酒精的饮料（啤酒除外）;烈酒;⻩酒;烧酒;含⽔果酒精饮料;预先混合的酒精饮料（以啤酒为主的除外）;酒精饮料（啤酒除外）</t>
  </si>
  <si>
    <t>唐选</t>
  </si>
  <si>
    <t>西安航星未来投资有限公司</t>
  </si>
  <si>
    <t>葡萄酒;⽶酒;果酒（含酒精）;鸡尾酒;烈酒（饮料）;酒精饮料（啤酒除外）;⻩酒;⽩酒;烧酒;开胃酒</t>
  </si>
  <si>
    <t>罗榕</t>
  </si>
  <si>
    <t>威⼠忌;⽶酒;葡萄酒;酒精饮料原汁;酒精饮料（啤酒除外）;鸡尾酒;伏特加酒;烈酒;⽩酒;清酒</t>
  </si>
  <si>
    <t>W.SHEESHARK LOUNGE RESTAURANT BAR</t>
  </si>
  <si>
    <t>上海唯唯鲨餐饮有限公司</t>
  </si>
  <si>
    <t>杜松⼦酒;果酒（含酒精）;伏特加酒;蒸馏饮料;⽩兰地;威⼠忌;含⽔果酒精饮料;苹果酒;葡萄酒;烈酒（饮料）;汽酒;⽩酒;鸡尾酒;利⼝酒;朗姆酒;⾷⽤酒精;开胃酒;薄荷酒;清酒（⽇本⽶酒）</t>
  </si>
  <si>
    <t>旗满福底</t>
  </si>
  <si>
    <t>果酒（含酒精）;鸡尾酒;⽶酒;烧酒;⽩兰地;⽩酒;葡萄酒;蜂蜜酒;烈酒（饮料）;⻩酒</t>
  </si>
  <si>
    <t>衡昌烧坊漫盏</t>
  </si>
  <si>
    <t>⾼粱酒;⻘稞酒;由⾕物蒸馏的⽩酒;⽩⼲酒（中国⽩酒）;烧酒;蒸煮提取物（利⼝酒和烈酒）;⻩酒;开胃酒;五加⽪酒（中国混合烈酒）;⽩酒</t>
  </si>
  <si>
    <t>歌舞谙观</t>
  </si>
  <si>
    <t>华戏有限公司</t>
  </si>
  <si>
    <t>利⼝酒;烈酒（饮料）;鸡尾酒;果酒（含酒精）;果酒;⽩酒;⽶酒;清酒（⽇本⽶酒）;烧酒;威⼠忌</t>
  </si>
  <si>
    <t>九龙福好运</t>
  </si>
  <si>
    <t>贵州省仁怀市富东来酒业有限公司</t>
  </si>
  <si>
    <t>⻩酒;葡萄酒;烈酒（饮料）;⽩酒;烧酒;酒精饮料（啤酒除外）;鸡尾酒;⽶酒;果酒（含酒精）;清酒（⽇本⽶酒）</t>
  </si>
  <si>
    <t>安晟平</t>
  </si>
  <si>
    <t>安东</t>
  </si>
  <si>
    <t>烧酒;汽酒;果酒（含酒精）;餐后酒（利⼝酒和烈酒）;⽩酒;⽶酒;苹果酒;葡萄酒;酒精饮料原汁;⾷⽤酒精</t>
  </si>
  <si>
    <t>ADAPT EDGE</t>
  </si>
  <si>
    <t>上海适应缘信息咨询有限公司</t>
  </si>
  <si>
    <t>鸡尾酒;葡萄酒;⽩酒;烈酒;⽩⼲酒（中国⽩酒）;⽼酒（中国蒸馏烈酒）;⽶酒;含酒精的充⽓饮料（啤酒除外）;果酒;⻩酒</t>
  </si>
  <si>
    <t>地质客</t>
  </si>
  <si>
    <t>众趣道合（北京）文化创意有限公司</t>
  </si>
  <si>
    <t>⻩酒;⽩酒;甜酒;薄荷酒;开胃酒;苦荞酒;⽶酒;含酒精的饮料（啤酒除外）;含酒精⽔果饮料;⻘稞酒</t>
  </si>
  <si>
    <t>老锑都</t>
  </si>
  <si>
    <t>李卫兵</t>
  </si>
  <si>
    <t>酒精饮料（啤酒除外）;⾷⽤酒精;⽶酒;以葡萄酒为主的饮料;烧酒;葡萄酒;烈酒（饮料）;⽩酒;⻩酒;⾕物制蒸馏酒精饮料</t>
  </si>
  <si>
    <t>APSDAA</t>
  </si>
  <si>
    <t>福建省泉州爱彼登商贸有限公司</t>
  </si>
  <si>
    <t>酒精饮料原汁;果酒（含酒精）;蒸馏饮料;⽩酒;⾷⽤酒精;含⽔果酒精饮料;鸡尾酒;烈酒（饮料）;酒精饮料（啤酒除外）;葡萄酒</t>
  </si>
  <si>
    <t>晓吉家</t>
  </si>
  <si>
    <t>金湖银山科技有限公司</t>
  </si>
  <si>
    <t>⻩酒;⽶酒;清酒;苦艾酒;苦荞酒;⾷⽤酒精;果酒（含酒精）;⽩酒;甜酒;葡萄酒</t>
  </si>
  <si>
    <t>拉巫尔</t>
  </si>
  <si>
    <t>湖南中慈国际贸易有限公司</t>
  </si>
  <si>
    <t>⽩酒;含酒精的饮料（啤酒除外）;威⼠忌;⾷⽤酒精;鸡尾酒;⻩酒;烈酒（饮料）;烧酒;利⼝酒;葡萄酒</t>
  </si>
  <si>
    <t>如所</t>
  </si>
  <si>
    <t>覃正俊</t>
  </si>
  <si>
    <t>除啤酒外的酒精饮料</t>
  </si>
  <si>
    <t>维生力</t>
  </si>
  <si>
    <t>河南维生利食品有限公司</t>
  </si>
  <si>
    <t>清酒（⽇本⽶酒）;⽩酒;果酒（含酒精）;葡萄酒;⾷⽤酒精;酒精饮料原汁;预先混合的酒精饮料（以啤酒为主的除外）;威⼠忌;酒精饮料（啤酒除外）;蒸馏饮料</t>
  </si>
  <si>
    <t>嘛哥定制酒</t>
  </si>
  <si>
    <t>苟光福</t>
  </si>
  <si>
    <t>鸡尾酒;果酒;烈酒（饮料）;⾼粱酒;葡萄酒;⽼酒（中国蒸馏烈酒）;烈酒;⽩⼲酒（中国⽩酒）;⽩酒;酒精饮料（啤酒除外）</t>
  </si>
  <si>
    <t>黟升福吉 酒</t>
  </si>
  <si>
    <t>黄山市福吉旅游服务有限公司</t>
  </si>
  <si>
    <t>烧酒;果酒（含酒精）;开胃酒;烈酒（饮料）;⾷⽤酒精;⽼酒（中国蒸馏烈酒）;⻩酒;葡萄酒;含⽔果酒精饮料;⽩酒</t>
  </si>
  <si>
    <t>古垅山</t>
  </si>
  <si>
    <t>绍兴麦越酒业有限公司</t>
  </si>
  <si>
    <t>酒精饮料（啤酒除外）;果酒（含酒精）;葡萄酒;烈酒（饮料）;⻩酒;⽩酒;开胃酒;清酒（⽇本⽶酒）;伏特加酒;烧酒</t>
  </si>
  <si>
    <t>GUARD BRIDGE</t>
  </si>
  <si>
    <t>圣安德鲁斯啤酒有限公司</t>
  </si>
  <si>
    <t>烈酒（饮料）;威⼠忌;⽩酒;蒸馏饮料;⽶酒;酒精饮料（啤酒除外）;果酒（含酒精）;鸡尾酒;利⼝酒;葡萄酒</t>
  </si>
  <si>
    <t>爱达·魔都号</t>
  </si>
  <si>
    <t>中船邮轮科技发展有限公司</t>
  </si>
  <si>
    <t>鸡尾酒;果酒（含酒精）;餐后酒（利⼝酒和烈酒）;开胃酒;酒精饮料（啤酒除外）;蒸馏饮料;蜂蜜酒;⻩酒;⽶酒;以葡萄酒为主的饮料</t>
  </si>
  <si>
    <t>细秀</t>
  </si>
  <si>
    <t>胡细秀</t>
  </si>
  <si>
    <t>清酒（⽇本⽶酒）;烧酒（烈酒）;⽩酒;⾷⽤酒精;餐后酒（利⼝酒和烈酒）;开胃酒;⽶酒;⾕物制蒸馏酒精饮料;酒精饮料（啤酒除外）;含酒精的饮料（啤酒除外）</t>
  </si>
  <si>
    <t>问花溪</t>
  </si>
  <si>
    <t>罗明辉</t>
  </si>
  <si>
    <t>烧酒;葡萄酒;⽩酒;果酒（含酒精）;酒精饮料（啤酒除外）;⽩⼲酒（中国⽩酒）;梅酒;汽酒;⽶酒;烈酒（饮料）</t>
  </si>
  <si>
    <t>昭温公路</t>
  </si>
  <si>
    <t>赵志辉</t>
  </si>
  <si>
    <t>开胃酒;烈酒（饮料）;烧酒;葡萄酒;⻩酒;威⼠忌;酒精饮料（啤酒除外）;蒸馏饮料;⽩酒;⽶酒</t>
  </si>
  <si>
    <t>戴老师</t>
  </si>
  <si>
    <t>贵州省仁怀市闻香醉酒业有限公司</t>
  </si>
  <si>
    <t>⽶酒;烈酒;烧酒;⽩酒;⽼酒（中国蒸馏烈酒）;酒精饮料（啤酒除外）;⾼粱酒;清酒;红葡萄酒;威⼠忌</t>
  </si>
  <si>
    <t>古迎山</t>
  </si>
  <si>
    <t>果酒（含酒精）;开胃酒;⻩酒;葡萄酒;烧酒;酒精饮料（啤酒除外）;伏特加酒;⽩酒;清酒（⽇本⽶酒）;烈酒（饮料）</t>
  </si>
  <si>
    <t>喜龙粮</t>
  </si>
  <si>
    <t>闫书鹏</t>
  </si>
  <si>
    <t>果酒（含酒精）;⽶酒;酒精饮料浓缩汁;烧酒;⾷⽤酒精;⽩酒;葡萄酒;酒精饮料（啤酒除外）;蒸煮提取物（利⼝酒和烈酒）;⾼粱酒</t>
  </si>
  <si>
    <t>番茄绿洲</t>
  </si>
  <si>
    <t>河南阿利餐饮企业管理咨询有限公司</t>
  </si>
  <si>
    <t>葡萄酒;烈酒（饮料）;果酒（含酒精）;酒精饮料（啤酒除外）;⽶酒;⾼粱酒;鸡尾酒;汽酒;⽩酒;含⽔果酒精饮料</t>
  </si>
  <si>
    <t>江西椰子传奇文化传媒有限公司</t>
  </si>
  <si>
    <t>酒精饮料原汁;酒精饮料（啤酒除外）;⽶酒;汽酒;烧酒;酒精饮料浓缩汁;葡萄酒;⽩酒;⻩酒;果酒（含酒精）</t>
  </si>
  <si>
    <t>阆酝斋</t>
  </si>
  <si>
    <t>陈云波</t>
  </si>
  <si>
    <t>鸡尾酒;葡萄酒;果酒（含酒精）;蒸馏饮料;⽶酒;⻩酒;汽酒;烈酒（饮料）;含⽔果酒精饮料;⽩酒</t>
  </si>
  <si>
    <t>梵黄荔</t>
  </si>
  <si>
    <t>李海峰</t>
  </si>
  <si>
    <t>⽩酒;红葡萄酒;果酒;葡萄酒;⽩⼲酒（中国⽩酒）;烧酒;⾼粱酒;露酒;鸡尾酒;⽶酒</t>
  </si>
  <si>
    <t>方白板</t>
  </si>
  <si>
    <t>德州汉真卿酒业有限公司</t>
  </si>
  <si>
    <t>烧酒;含⽔果酒精饮料;⽩兰地;开胃酒;⽩酒;酒精饮料（啤酒除外）;⽶酒;清酒;葡萄酒;⻘稞酒</t>
  </si>
  <si>
    <t>将藏清</t>
  </si>
  <si>
    <t>荆录芹</t>
  </si>
  <si>
    <t>⽶酒;蒸煮提取物（利⼝酒和烈酒）;⻩酒;⽩酒;酒精饮料原汁;蒸馏饮料;含⽔果酒精饮料;果酒（含酒精）;烈酒（饮料）;葡萄酒</t>
  </si>
  <si>
    <t>新才子</t>
  </si>
  <si>
    <t>徐占辉</t>
  </si>
  <si>
    <t>利⼝酒;苹果酒;鸡尾酒;葡萄酒;果酒（含酒精）;⽩酒;威⼠忌;烧酒;⻩酒;烈酒（饮料）</t>
  </si>
  <si>
    <t>佰露凰</t>
  </si>
  <si>
    <t>⻩酒;烈酒;鸡尾酒;葡萄酒;开胃酒;威⼠忌;酒精饮料（啤酒除外）;⽩酒;果酒（含酒精）;清酒（⽇本⽶酒）</t>
  </si>
  <si>
    <t>惜为</t>
  </si>
  <si>
    <t>威⼠忌;蒸煮提取物（利⼝酒和烈酒）;酒精饮料（啤酒除外）;烧酒;⽩酒;葡萄酒;⻩酒;果酒（含酒精）;蒸馏饮料;⽶酒</t>
  </si>
  <si>
    <t>儒录</t>
  </si>
  <si>
    <t>葡萄酒;威⼠忌;酒精饮料（啤酒除外）;⻩酒;蒸煮提取物（利⼝酒和烈酒）;烧酒;蒸馏饮料;⽶酒;⽩酒;果酒（含酒精）</t>
  </si>
  <si>
    <t>诗词贵匠</t>
  </si>
  <si>
    <t>四川地方印象文化发展有限公司</t>
  </si>
  <si>
    <t>⻩酒;鸡尾酒;烈酒;果酒;⽼酒（中国蒸馏烈酒）;⽩酒;葡萄酒;利⼝酒;⽶酒;露酒</t>
  </si>
  <si>
    <t>酬九天</t>
  </si>
  <si>
    <t>青岛奇果恋栈酒水有限公司</t>
  </si>
  <si>
    <t>果酒（含酒精）;蒸馏饮料;烧酒;清酒（⽇本⽶酒）;⽩酒;⽶酒;⽩⼲酒（中国⽩酒）;鸡尾酒;⾕物制蒸馏酒精饮料;酒精饮料（啤酒除外）</t>
  </si>
  <si>
    <t>嘉霖绿谷</t>
  </si>
  <si>
    <t>凤县嘉陵绿谷农业科技开发有限公司</t>
  </si>
  <si>
    <t>⽶酒;⻩酒;开胃酒;果酒（含酒精）;蜂蜜酒;鸡尾酒;葡萄酒;烈酒（饮料）;⽩酒;含⽔果酒精饮料</t>
  </si>
  <si>
    <t>迈巴勒</t>
  </si>
  <si>
    <t>刘治国</t>
  </si>
  <si>
    <t>烈酒（饮料）;烧酒;⽩酒;利⼝酒;开胃酒;⻩酒;清酒（⽇本⽶酒）;酒精饮料（啤酒除外）;⾷⽤酒精;葡萄酒</t>
  </si>
  <si>
    <t>荟真元</t>
  </si>
  <si>
    <t>荟真元科技（浙江）有限公司</t>
  </si>
  <si>
    <t>预先混合的酒精饮料（以啤酒为主的除外）;⻩酒;葡萄酒;蒸馏饮料;⽩酒;酒精饮料（啤酒除外）;⾷⽤酒精;蜂蜜酒;烈酒（饮料）;果酒（含酒精）</t>
  </si>
  <si>
    <t>阿耀</t>
  </si>
  <si>
    <t>郭熠强</t>
  </si>
  <si>
    <t>葡萄酒;⻩酒;威⼠忌;烈酒（饮料）;鸡尾酒;果酒（含酒精）;烧酒;⽩酒;⽶酒;酒精饮料（啤酒除外）</t>
  </si>
  <si>
    <t>久至臻</t>
  </si>
  <si>
    <t>⽩兰地;清酒（⽇本⽶酒）;⽩酒;葡萄酒;鸡尾酒;⻩酒;⽶酒;伏特加酒;开胃酒;威⼠忌</t>
  </si>
  <si>
    <t>文贸通</t>
  </si>
  <si>
    <t>贵州仁义天下文化传媒有限公司</t>
  </si>
  <si>
    <t>果酒（含酒精）;烧酒;⻩酒;⽩酒;清酒;⽶酒;⻘梅酒;开胃酒;葡萄酒;蒸馏⽶酒（泡盛酒）</t>
  </si>
  <si>
    <t>MAIBALE</t>
  </si>
  <si>
    <t>年黔庄</t>
  </si>
  <si>
    <t>贵州百年黔庄酒业集团有限公司</t>
  </si>
  <si>
    <t>酒精饮料（啤酒除外）;⽩酒;烧酒;鸡尾酒;葡萄酒;⽼酒（中国蒸馏烈酒）;烈酒;⽶酒;⾼粱酒;威⼠忌</t>
  </si>
  <si>
    <t>皖故里</t>
  </si>
  <si>
    <t>青岛莫名其妙食品有限公司</t>
  </si>
  <si>
    <t>⻩酒;⽩⼲酒（中国⽩酒）;烧酒;含酒精的饮料（啤酒除外）;⽼酒（中国蒸馏烈酒）;酒精饮料（啤酒除外）;⾼粱酒;果酒（含酒精）;⽩酒;烈酒（饮料）</t>
  </si>
  <si>
    <t>邀财</t>
  </si>
  <si>
    <t>酒精饮料（啤酒除外）;汽酒;开胃酒;果酒;⽩酒;⽶酒;杨梅酒;甜酒;⻩酒;威⼠忌</t>
  </si>
  <si>
    <t>魔乡</t>
  </si>
  <si>
    <t>贺凌飞</t>
  </si>
  <si>
    <t>葡萄酒;烈酒（饮料）;汽酒;⽩葡萄酒;⽩酒;烧酒;⽶酒;⻩酒;酒精饮料原汁;果酒（含酒精）</t>
  </si>
  <si>
    <t>疆九爷</t>
  </si>
  <si>
    <t>缪培东</t>
  </si>
  <si>
    <t>果酒（含酒精）;清酒（⽇本⽶酒）;威⼠忌;⽩酒;⻩酒;开胃酒;鸡尾酒;葡萄酒;酒精饮料（啤酒除外）;烈酒</t>
  </si>
  <si>
    <t>武帝梦</t>
  </si>
  <si>
    <t>果酒;烈酒（饮料）;葡萄酒;清酒;开胃酒;⽩酒;苹果酒;鸡尾酒;含酒精的饮料（啤酒除外）;⻘稞酒</t>
  </si>
  <si>
    <t>葵牙沟</t>
  </si>
  <si>
    <t>烧酒;蒸馏饮料;酒精饮料（啤酒除外）;⻩酒;⽩酒;⽶酒;葡萄酒;利⼝酒;烈酒（饮料）;果酒（含酒精）</t>
  </si>
  <si>
    <t>内蒙古蒙苁生物科技有限公司</t>
  </si>
  <si>
    <t>鸡尾酒;蒸煮提取物（利⼝酒和烈酒）;薄荷酒;果酒（含酒精）;酸酒（低等葡萄酒）;烧酒;蒸馏饮料;利⼝酒;烈酒（饮料）;苹果酒</t>
  </si>
  <si>
    <t>失眠小九</t>
  </si>
  <si>
    <t>杨羽</t>
  </si>
  <si>
    <t>⽩酒;葡萄酒;烈酒（饮料）;含⽔果酒精饮料;清酒;果酒;烧酒;酒精饮料（啤酒除外）;鸡尾酒;⽶酒</t>
  </si>
  <si>
    <t>洛轴</t>
  </si>
  <si>
    <t>河北顺牛酒业有限公司</t>
  </si>
  <si>
    <t>果酒（含酒精）;酒精饮料（啤酒除外）;蒸煮提取物（利⼝酒和烈酒）;葡萄酒;烧酒;开胃酒;烈酒（饮料）;酒精饮料原汁;⾷⽤酒精;⽩酒</t>
  </si>
  <si>
    <t>仙太宗</t>
  </si>
  <si>
    <t>⻩酒;⽩酒;伏特加酒;鸡尾酒;威⼠忌;⽶酒;葡萄酒;清酒（⽇本⽶酒）;开胃酒;⽩兰地</t>
  </si>
  <si>
    <t>XSGYHJX</t>
  </si>
  <si>
    <t>湖南湘商购网络科技股份有限公司</t>
  </si>
  <si>
    <t>⽩酒;清酒;葡萄酒;⽶酒;酒精饮料（啤酒除外）;鸡尾酒;⻩酒;烈酒（饮料）;果酒（含酒精）;汽酒</t>
  </si>
  <si>
    <t>葚如梦</t>
  </si>
  <si>
    <t>程玉平</t>
  </si>
  <si>
    <t>葡萄酒;酒精饮料（啤酒除外）;酒精饮料原汁;含⽔果酒精饮料;烧酒;⽩酒;蒸馏饮料;⽶酒;⾷⽤酒精;果酒（含酒精）</t>
  </si>
  <si>
    <t>九龙青瓷圣</t>
  </si>
  <si>
    <t>烈酒;葡萄酒;果酒;⽩酒;酒精饮料（啤酒除外）;⽶酒;⻘稞酒;含酒精⽔果饮料;烧酒;⻩酒</t>
  </si>
  <si>
    <t>甘陵春号外</t>
  </si>
  <si>
    <t>衡水甘陵酒业有限公司</t>
  </si>
  <si>
    <t>⽩酒;⻩酒;酒精饮料（啤酒除外）;蒸馏饮料;烈酒（饮料）;果酒（含酒精）;烧酒;葡萄酒;酒精饮料原汁;鸡尾酒</t>
  </si>
  <si>
    <t>御酒湖</t>
  </si>
  <si>
    <t>康宇</t>
  </si>
  <si>
    <t>酒精饮料（啤酒除外）;果酒（含酒精）;⻩酒;鸡尾酒;⽩酒;开胃酒;清酒（⽇本⽶酒）;威⼠忌;烈酒;葡萄酒</t>
  </si>
  <si>
    <t>贵为道酒庄</t>
  </si>
  <si>
    <t>贵州省仁怀市怀峰酒业有限公司</t>
  </si>
  <si>
    <t>烈酒（饮料）;⽶酒;露酒;⽩酒;苹果酒;果酒（含酒精）;葡萄酒;餐后酒（利⼝酒和烈酒）;蒸馏饮料;⾕物制蒸馏酒精饮料</t>
  </si>
  <si>
    <t>晋开粮</t>
  </si>
  <si>
    <t>山西虹桥缘酒业有限公司</t>
  </si>
  <si>
    <t>⽩酒;⽩⼲酒（中国⽩酒）;鸡尾酒;⽩兰地;烈酒（饮料）;葡萄酒;果酒（含酒精）;⽶酒;酒精饮料（啤酒除外）;⻩酒</t>
  </si>
  <si>
    <t>听事</t>
  </si>
  <si>
    <t>山西呈卫科技有限公司</t>
  </si>
  <si>
    <t>⽩⼲酒（中国⽩酒）;烈酒;⻩酒;烧酒;⽼酒（中国蒸馏烈酒）;利⼝酒;⽩酒;⽶酒;⻘稞酒;餐后酒（利⼝酒和烈酒）</t>
  </si>
  <si>
    <t>尚稽窖</t>
  </si>
  <si>
    <t>贵州达柠农业发展有限公司</t>
  </si>
  <si>
    <t>⽶酒;⽩酒;烧酒;果酒（含酒精）;葡萄酒;清酒（⽇本⽶酒）;酒精饮料（啤酒除外）;⻩酒;烈酒（饮料）;鸡尾酒</t>
  </si>
  <si>
    <t>福贵大重氿</t>
  </si>
  <si>
    <t>贵州省仁怀市茅酿坊酒业有限公司</t>
  </si>
  <si>
    <t>⻩酒;⽶酒;葡萄酒;开胃酒;含酒精的饮料（啤酒除外）;⽩酒;烧酒;威⼠忌;清酒;鸡尾酒</t>
  </si>
  <si>
    <t>私驭</t>
  </si>
  <si>
    <t>秦利珍</t>
  </si>
  <si>
    <t>烧酒;清酒（⽇本⽶酒）;鸡尾酒;含⽔果酒精饮料;葡萄酒;⽩酒;伏特加酒;酒精饮料（啤酒除外）;⽶酒;⻩酒</t>
  </si>
  <si>
    <t>SLAMBLE</t>
  </si>
  <si>
    <t>官金总</t>
  </si>
  <si>
    <t>威⼠忌;⽶酒;果酒（含酒精）;烧酒;酒精饮料（啤酒除外）;烈酒（饮料）;⻩酒;⽩酒;葡萄酒;蜂蜜酒</t>
  </si>
  <si>
    <t>HELIOSSY</t>
  </si>
  <si>
    <t>希路斯国际有限公司</t>
  </si>
  <si>
    <t>酒精饮料浓缩汁;酒精饮料原汁;蒸馏饮料;烈酒（饮料）;威⼠忌;酒精饮料（啤酒除外）</t>
  </si>
  <si>
    <t>豫华伟</t>
  </si>
  <si>
    <t>河南你我他电子商务有限公司</t>
  </si>
  <si>
    <t>⽩兰地;威⼠忌;⻩酒;⽩酒;由⾕物蒸馏的⽩酒;露酒;餐后酒（利⼝酒和烈酒）;⻘稞酒;葡萄酒;⽶酒</t>
  </si>
  <si>
    <t>广栋</t>
  </si>
  <si>
    <t>鸡尾酒;威⼠忌;葡萄酒;利⼝酒;⻩酒;⽩兰地;酒精饮料（啤酒除外）;⽶酒;⽩酒;果酒</t>
  </si>
  <si>
    <t>醉壶梦</t>
  </si>
  <si>
    <t>青岛慈初达贸易有限公司</t>
  </si>
  <si>
    <t>⻩酒;⽩⼲酒（中国⽩酒）;⾼粱酒;果酒（含酒精）;⽩酒;烧酒;含酒精的饮料（啤酒除外）;⽼酒（中国蒸馏烈酒）;酒精饮料（啤酒除外）;烈酒（饮料）</t>
  </si>
  <si>
    <t>凤川吟</t>
  </si>
  <si>
    <t>清酒（⽇本⽶酒）;酒精饮料（啤酒除外）;⽶酒;果酒（含酒精）;⽩⼲酒（中国⽩酒）;烧酒;⽩酒;蒸馏饮料;鸡尾酒;⾕物制蒸馏酒精饮料</t>
  </si>
  <si>
    <t>泉丽者</t>
  </si>
  <si>
    <t>卢氏县德源工程有限公司</t>
  </si>
  <si>
    <t>蒸煮提取物（利⼝酒和烈酒）;烈酒（饮料）;酒精饮料（啤酒除外）;蒸馏饮料;葡萄酒;⻩酒;烧酒;⾷⽤酒精;果酒（含酒精）;⽩酒</t>
  </si>
  <si>
    <t>旭然金烧锅</t>
  </si>
  <si>
    <t>衡水旭然金高粱酒庄有限公司</t>
  </si>
  <si>
    <t>酒精饮料（啤酒除外）;⾷⽤酒精;果酒（含酒精）;鸡尾酒;⽩兰地;苦味酒;⽩酒;利⼝酒;烧酒;葡萄酒</t>
  </si>
  <si>
    <t>蜀兴荟</t>
  </si>
  <si>
    <t>李忠君</t>
  </si>
  <si>
    <t>⽶酒;⽩酒;烧酒;⾼粱酒;果酒;烈酒（饮料）;葡萄酒;⽼酒（中国蒸馏烈酒）;威⼠忌;果酒（含酒精）</t>
  </si>
  <si>
    <t>黑丽</t>
  </si>
  <si>
    <t>利⼝酒;⽶酒;⻩酒;⽩酒;酒精饮料（啤酒除外）;烧酒;果酒（含酒精）;葡萄酒;烈酒（饮料）;蒸馏饮料</t>
  </si>
  <si>
    <t>牛太屴</t>
  </si>
  <si>
    <t>兴宁骏珑生态农业专业合作社</t>
  </si>
  <si>
    <t>⾕物制蒸馏酒精饮料;含⽔果酒精饮料;以葡萄酒为主的饮料;预先混合的酒精饮料（以啤酒为主的除外）;蒸馏饮料;⻩酒;⽼酒（中国蒸馏烈酒）;⽩⼲酒（中国⽩酒）;烈酒（饮料）;⽩酒</t>
  </si>
  <si>
    <t>谭界</t>
  </si>
  <si>
    <t>由⾕物蒸馏的⽩酒;酒精饮料（啤酒除外）;葡萄酒;⽩酒;烈酒（饮料）;鸡尾酒;果酒（含酒精）;⽩⼲酒（中国⽩酒）;含酒精的饮料（啤酒除外）;⻩酒</t>
  </si>
  <si>
    <t>BACALHOA</t>
  </si>
  <si>
    <t>巴卡侯葡萄酒葡萄牙股份公司</t>
  </si>
  <si>
    <t>酒精饮料（啤酒除外）;葡萄酒;酒精饮料原汁</t>
  </si>
  <si>
    <t>三十六坊传承</t>
  </si>
  <si>
    <t>泸州三十六坊酒业有限公司</t>
  </si>
  <si>
    <t>鸡尾酒;酒精饮料（啤酒除外）;果酒（含酒精）;蒸馏饮料;⽩酒;含酒精⽔果饮料;利⼝酒;开胃酒;烈酒（饮料）;烧酒</t>
  </si>
  <si>
    <t>蜀黔酒馆</t>
  </si>
  <si>
    <t>山东望岳供应链有限公司</t>
  </si>
  <si>
    <t>酒精饮料（啤酒除外）;由⾕物蒸馏的⽩酒;葡萄酒;烈酒（饮料）;⻩酒;⽩⼲酒（中国⽩酒）;果酒（含酒精）;清酒（⽇本⽶酒）;烧酒（烈酒）;⽩酒</t>
  </si>
  <si>
    <t>叁拾寻一味真选</t>
  </si>
  <si>
    <t>北京叁拾一味商贸有限公司</t>
  </si>
  <si>
    <t>威⼠忌;伏特加酒;葡萄酒;酒精饮料（啤酒除外）;⽩兰地;⽶酒;⽩酒;⻩酒;烈酒（饮料）;果酒（含酒精）</t>
  </si>
  <si>
    <t>壶韵匠</t>
  </si>
  <si>
    <t>果酒（含酒精）;烈酒（饮料）;⽩⼲酒（中国⽩酒）;⽩酒;⽼酒（中国蒸馏烈酒）;⾼粱酒;酒精饮料（啤酒除外）;烧酒;⻩酒;含酒精的饮料（啤酒除外）</t>
  </si>
  <si>
    <t>FLMTZ</t>
  </si>
  <si>
    <t>盈江县柔情甜真商贸有限责任公司</t>
  </si>
  <si>
    <t>预先混合的酒精饮料（以啤酒为主的除外）;含⽔果酒精饮料;鸡尾酒;⽶酒;葡萄酒;⽩酒;⽩兰地;⻩酒;酒精饮料（啤酒除外）;威⼠忌</t>
  </si>
  <si>
    <t>敬唯仙</t>
  </si>
  <si>
    <t>深圳市德普立科技有限公司</t>
  </si>
  <si>
    <t>由⾕物蒸馏的⽩酒;⽶酒;烧酒（烈酒）;⽩⼲酒（中国⽩酒）;葡萄酒;果酒;⽼酒（中国蒸馏烈酒）;⽩酒;⾼粱酒;烧酒</t>
  </si>
  <si>
    <t>沂蒙玖玖福</t>
  </si>
  <si>
    <t>临沂玖玖福酒业商贸有限公司</t>
  </si>
  <si>
    <t>果酒（含酒精）;利⼝酒;葡萄酒;杜松⼦酒;⽩酒;⽶酒;烧酒;⻩酒;苦味酒;蜂蜜酒</t>
  </si>
  <si>
    <t>云福悦</t>
  </si>
  <si>
    <t>崔文娟</t>
  </si>
  <si>
    <t>亿簇香</t>
  </si>
  <si>
    <t>山西毅涵农业开发有限公司</t>
  </si>
  <si>
    <t>鸡尾酒;利⼝酒;清酒（⽇本⽶酒）;⽩酒;果酒（含酒精）;葡萄酒;⻩酒;烈酒（饮料）;预先混合的酒精饮料（以啤酒为主的除外）</t>
  </si>
  <si>
    <t>往闲</t>
  </si>
  <si>
    <t>蒸煮提取物（利⼝酒和烈酒）;葡萄酒;威⼠忌;酒精饮料（啤酒除外）;蒸馏饮料;⽩酒;烧酒;⻩酒;⽶酒;果酒（含酒精）</t>
  </si>
  <si>
    <t>陈家黄石岭地窖酒</t>
  </si>
  <si>
    <t>重庆市开州区地窖白酒厂</t>
  </si>
  <si>
    <t>烧酒;葡萄酒;预先混合的酒精饮料（以啤酒为主的除外）;⻩酒;酒精饮料原汁;利⼝酒;⾼粱酒;果酒;开胃酒;⽩酒</t>
  </si>
  <si>
    <t>宏景台</t>
  </si>
  <si>
    <t>粮王匠（广东）酒业股份有限公司</t>
  </si>
  <si>
    <t>⽶酒;烧酒;鸡尾酒;⽩兰地;威⼠忌;⻩酒;果酒（含酒精）;葡萄酒;酒精饮料（啤酒除外）;⽩酒</t>
  </si>
  <si>
    <t>MONTAGE VOWS</t>
  </si>
  <si>
    <t>万玉兰</t>
  </si>
  <si>
    <t>威⼠忌;⽩酒;含酒精的鸡尾酒混合饮品;酒精饮料（啤酒除外）;除啤酒外的酒精饮料;烈酒（饮料）;含酒精的⽓泡⽔;葡萄酒;含酒精的饮料（啤酒除外）;烈酒;清酒</t>
  </si>
  <si>
    <t>云樽殿</t>
  </si>
  <si>
    <t>蒋叶根</t>
  </si>
  <si>
    <t>清酒（⽇本⽶酒）;酒精饮料（啤酒除外）;伏特加酒;含⽔果酒精饮料;⽩酒;⽶酒;果酒（含酒精）;葡萄酒;威⼠忌;⻩酒</t>
  </si>
  <si>
    <t>陶源瓷友</t>
  </si>
  <si>
    <t>法库县财湖义品源酒坊</t>
  </si>
  <si>
    <t>已调味的蒸馏酒;⾷⽤酒精;⾕物制蒸馏酒精饮料;葡萄酒;烈酒;⽶酒;果酒（含酒精）;酒精饮料（啤酒除外）;⻩酒;⽩酒</t>
  </si>
  <si>
    <t>鸿玉砬子酒</t>
  </si>
  <si>
    <t>赵宏来</t>
  </si>
  <si>
    <t>葡萄酒;鸡尾酒;含⽔果酒精饮料;朗姆酒;利⼝酒;⽩兰地;苹果酒;⽩酒;威⼠忌;果酒（含酒精）</t>
  </si>
  <si>
    <t>雷王台</t>
  </si>
  <si>
    <t>贵州仁怀万古河酒业有限公司</t>
  </si>
  <si>
    <t>酒精饮料（啤酒除外）;汽酒;果酒（含酒精）;⽩酒;开胃酒;烧酒;⻩酒;清酒（⽇本⽶酒）;⽶酒;葡萄酒</t>
  </si>
  <si>
    <t>邑秘</t>
  </si>
  <si>
    <t>西安市临潼区汇鑫源酒业有限公司</t>
  </si>
  <si>
    <t>烈酒（饮料）;⽩酒;⽶酒;利⼝酒;⻩酒;苹果酒;汽酒;樱桃酒;果酒（含酒精）;开胃酒</t>
  </si>
  <si>
    <t>袋鼠兄弟 KANGAROO BROTHERS</t>
  </si>
  <si>
    <t>上海雄九投资控股（集团）有限公司</t>
  </si>
  <si>
    <t>葡萄酒;威⼠忌;⽶酒;⽩酒;蜂蜜酒;果酒（含酒精）;⻩酒;以葡萄酒为主的饮料;伏特加酒;汽酒</t>
  </si>
  <si>
    <t>FUBIAN</t>
  </si>
  <si>
    <t>福建植福实业有限公司</t>
  </si>
  <si>
    <t>清酒（⽇本⽶酒）;⽶酒;鸡尾酒;⽩酒;⻘稞酒;⻩酒;果酒（含酒精）;含⽔果酒精饮料;酒精饮料（啤酒除外）;葡萄酒</t>
  </si>
  <si>
    <t>贺州市八步区天海贸易有限公司</t>
  </si>
  <si>
    <t>⽩酒;鸡尾酒;⽶酒;开胃酒;葡萄酒;烈酒（饮料）;蒸煮提取物（利⼝酒和烈酒）;烧酒;蒸馏饮料;酒精饮料（啤酒除外）</t>
  </si>
  <si>
    <t>诸葛太极</t>
  </si>
  <si>
    <t>范睿</t>
  </si>
  <si>
    <t>葡萄酒;酒精饮料原汁;预先混合的酒精饮料（以啤酒为主的除外）;⾕物制蒸馏酒精饮料;⽩酒;⻘稞酒;酒精饮料（啤酒除外）;蒸馏饮料;⽶酒;果酒</t>
  </si>
  <si>
    <t>亚邦</t>
  </si>
  <si>
    <t>贺方元</t>
  </si>
  <si>
    <t>蒸馏饮料;葡萄酒;⻩酒;果酒（含酒精）;⽩酒;威⼠忌;酒精饮料（啤酒除外）;⽶酒;⾷⽤酒精;⽩兰地</t>
  </si>
  <si>
    <t>贵添宝</t>
  </si>
  <si>
    <t>谭松邦</t>
  </si>
  <si>
    <t>葡萄酒;⻩酒;开胃酒;苹果酒;汽酒;烧酒;⽩酒;⽶酒;果酒（含酒精）;清酒（⽇本⽶酒）</t>
  </si>
  <si>
    <t>田桑梓</t>
  </si>
  <si>
    <t>安化县田桑梓农业发展有限公司</t>
  </si>
  <si>
    <t>开胃酒;葡萄酒;酒精饮料（啤酒除外）;⽶酒;果酒（含酒精）;烈酒（饮料）;鸡尾酒;含⽔果酒精饮料;⽩酒;蒸馏饮料</t>
  </si>
  <si>
    <t>陇客 酒</t>
  </si>
  <si>
    <t>杨银</t>
  </si>
  <si>
    <t>葡萄酒;⾷⽤酒精;烈酒;露酒;烧酒（烈酒）;⽩酒;⽩⼲酒（中国⽩酒）;⾼粱酒;含酒精的饮料（啤酒除外）;⻘稞酒</t>
  </si>
  <si>
    <t>赤太子</t>
  </si>
  <si>
    <t>李思奇</t>
  </si>
  <si>
    <t>烧酒;⽶酒;蒸煮提取物（利⼝酒和烈酒）;酒精饮料浓缩汁;佐餐酒;果酒（含酒精）;⽩酒;葡萄酒;酒精饮料（啤酒除外）;⾷⽤酒精</t>
  </si>
  <si>
    <t>醇光世超</t>
  </si>
  <si>
    <t>桂争光</t>
  </si>
  <si>
    <t>⽩酒;⽶酒;⻩酒;汽酒;烧酒;酒精饮料（啤酒除外）;果酒（含酒精）;开胃酒;葡萄酒;⾷⽤酒精</t>
  </si>
  <si>
    <t>清境界</t>
  </si>
  <si>
    <t>烧酒;⽼酒（中国蒸馏烈酒）;⽶酒;红葡萄酒;烈酒;酒精饮料（啤酒除外）;清酒;威⼠忌;⽩酒;⾼粱酒</t>
  </si>
  <si>
    <t>酒城顺人和</t>
  </si>
  <si>
    <t>贵州省仁怀市茅台镇酒城酒业有限公司</t>
  </si>
  <si>
    <t>酒精饮料（啤酒除外）;清酒;⽩酒;⻩酒;鸡尾酒;烧酒;开胃酒;果酒（含酒精）;⽶酒;葡萄酒</t>
  </si>
  <si>
    <t>KANGAROO BROTHERS</t>
  </si>
  <si>
    <t>威⼠忌;⽶酒;蜂蜜酒;⽩酒;汽酒;果酒（含酒精）;葡萄酒;⻩酒;以葡萄酒为主的饮料;伏特加酒</t>
  </si>
  <si>
    <t>DUO CAI HUA XIA</t>
  </si>
  <si>
    <t>多彩齐鲁（山东）酒庄有限公司</t>
  </si>
  <si>
    <t>⽩兰地;果酒（含酒精）;鸡尾酒;朗姆酒;含⽔果酒精饮料;葡萄汽酒;汽酒;葡萄酒;开胃酒;利⼝酒</t>
  </si>
  <si>
    <t>活伯年</t>
  </si>
  <si>
    <t>林俊420111********6915</t>
  </si>
  <si>
    <t>葡萄酒;⾼粱酒;⽶酒;⽩酒;⻩酒;果酒（含酒精）;露酒;预先混合的酒精饮料（以啤酒为主的除外）;⽩⼲酒（中国⽩酒）;⾕物制蒸馏酒精饮料</t>
  </si>
  <si>
    <t>祥秘</t>
  </si>
  <si>
    <t>烈酒（饮料）;⽶酒;汽酒;⻩酒;樱桃酒;果酒（含酒精）;开胃酒;利⼝酒;苹果酒;⽩酒</t>
  </si>
  <si>
    <t>渝央</t>
  </si>
  <si>
    <t>重庆翼德云养殖有限公司</t>
  </si>
  <si>
    <t>⽼酒（中国蒸馏烈酒）;含酒精的⽓泡⽔;葡萄酒;⽶酒;蒸馏饮料;酒精饮料（啤酒除外）;⽩酒;烈酒（饮料）;⻩酒;⾷⽤酒精</t>
  </si>
  <si>
    <t>瑶小白</t>
  </si>
  <si>
    <t>⽶酒;烧酒;⽩酒;葡萄酒;⻩酒;烈酒（饮料）;含⽔果酒精饮料;果酒（含酒精）;酒精饮料（啤酒除外）;蜂蜜酒</t>
  </si>
  <si>
    <t>大窖天下</t>
  </si>
  <si>
    <t>胡小丽</t>
  </si>
  <si>
    <t>⽩酒;露酒;⽼酒（中国蒸馏烈酒）;⾷⽤酒精;葡萄酒;清酒;⽶酒;烧酒;⻩酒;烈酒</t>
  </si>
  <si>
    <t>张利俊</t>
  </si>
  <si>
    <t>鸡尾酒;葡萄酒;开胃酒;⽶酒;⽩酒;⻩酒;果酒;茴⾹酒;苦味酒;烧酒</t>
  </si>
  <si>
    <t>七透</t>
  </si>
  <si>
    <t>黄美玉</t>
  </si>
  <si>
    <t>烧酒;⽶酒;⽩酒;⻘稞酒;樱桃酒;蜂蜜酒;葡萄酒;⻩酒;伏特加酒;含⽔果酒精饮料</t>
  </si>
  <si>
    <t>斐高（杭州）酒庄有限公司</t>
  </si>
  <si>
    <t>果酒（含酒精）;威⼠忌;葡萄酒;⽩兰地;⽩酒;开胃酒;伏特加酒;⽶酒;⻩酒;鸡尾酒</t>
  </si>
  <si>
    <t>荣杏祥</t>
  </si>
  <si>
    <t>薛运</t>
  </si>
  <si>
    <t>葡萄酒;⽩酒;果酒（含酒精）;开胃酒;⾷⽤酒精;烈酒（饮料）;酒精饮料（啤酒除外）;⽶酒;⻩酒;鸡尾酒</t>
  </si>
  <si>
    <t>贵人行</t>
  </si>
  <si>
    <t>刘云</t>
  </si>
  <si>
    <t>⽩酒;清酒（⽇本⽶酒）;果酒（含酒精）;⻘稞酒;葡萄酒;⽶酒;⽩兰地;烧酒;⻩酒;酒精饮料（啤酒除外）</t>
  </si>
  <si>
    <t>古周龙</t>
  </si>
  <si>
    <t>贵州周氏烧坊酒业有限公司</t>
  </si>
  <si>
    <t>鸡尾酒;烈酒（饮料）;清酒（⽇本⽶酒）;⽩酒;烧酒;酒精饮料（啤酒除外）;葡萄酒;果酒（含酒精）;蒸煮提取物（利⼝酒和烈酒）;⽶酒</t>
  </si>
  <si>
    <t>仓崎</t>
  </si>
  <si>
    <t>杨雨浩</t>
  </si>
  <si>
    <t>酒精饮料（啤酒除外）;⽶酒;葡萄酒;⻩酒;⽩酒;伏特加酒;果酒（含酒精）;威⼠忌;烈酒（饮料）;鸡尾酒</t>
  </si>
  <si>
    <t>尚古天书</t>
  </si>
  <si>
    <t>胡宗杰</t>
  </si>
  <si>
    <t>⽩⼲酒（中国⽩酒）;葡萄酒;⽼酒（中国蒸馏烈酒）;烈酒（饮料）;果酒;烈酒;鸡尾酒;⾼粱酒;⽩酒;酒精饮料（啤酒除外）</t>
  </si>
  <si>
    <t>黔奏曲</t>
  </si>
  <si>
    <t>贵州红樽汇贸易有限公司</t>
  </si>
  <si>
    <t>⽩酒;⻩酒;蒸馏饮料;威⼠忌;⽶酒;开胃酒;果酒（含酒精）;鸡尾酒;含⽔果酒精饮料;酒精饮料（啤酒除外）</t>
  </si>
  <si>
    <t>工朴</t>
  </si>
  <si>
    <t>威⼠忌;⽼酒（中国蒸馏烈酒）;酒精饮料（啤酒除外）;⽶酒;清酒;烈酒;⾼粱酒;⽩酒;红葡萄酒;烧酒</t>
  </si>
  <si>
    <t>同亨</t>
  </si>
  <si>
    <t>烈酒（饮料）;⻩酒;酒精饮料（啤酒除外）;鸡尾酒;葡萄酒;⽶酒;伏特加酒;果酒（含酒精）;⾼粱酒;⽩酒</t>
  </si>
  <si>
    <t>卡拉图</t>
  </si>
  <si>
    <t>桐乡市梧桐振东格鲁瑞酒业商行</t>
  </si>
  <si>
    <t>⽩兰地;⽩酒;朗姆酒;⻩酒;酒精饮料（啤酒除外）;葡萄酒;伏特加酒;⾷⽤酒精;果酒（含酒精）;鸡尾酒</t>
  </si>
  <si>
    <t>三贤普德源</t>
  </si>
  <si>
    <t>山西三贤普德源食品有限公司</t>
  </si>
  <si>
    <t>⽶酒;烧酒;烈酒（饮料）;梨酒;⻩酒;⽩⼲酒（中国⽩酒）;葡萄酒;⽼酒（中国蒸馏烈酒）;⽩酒;⾼粱酒</t>
  </si>
  <si>
    <t>嘉柔</t>
  </si>
  <si>
    <t>程二环</t>
  </si>
  <si>
    <t>果酒（含酒精）;威士忌;伏特加酒;白酒;鸡尾酒;葡萄酒;米酒;烈酒（饮料）;食用酒精;含水果酒精饮料</t>
  </si>
  <si>
    <t>禧年连 EUERLUCK</t>
  </si>
  <si>
    <t>深圳禧年连实业发展有限公司</t>
  </si>
  <si>
    <t>⽶酒;⽩酒;烈酒（饮料）;果酒（含酒精）;甜酒;以葡萄酒为主的开胃酒;葡萄酒;⻘稞酒;⻩酒;酒精饮料（啤酒除外）</t>
  </si>
  <si>
    <t>徐尊</t>
  </si>
  <si>
    <t>徐应伟</t>
  </si>
  <si>
    <t>⻩酒;⾼粱酒;果酒;⽶酒;葡萄酒;⽩酒;含酒精的饮料（啤酒除外）;烈酒;⽼酒（中国蒸馏烈酒）;烧酒</t>
  </si>
  <si>
    <t>廷贵</t>
  </si>
  <si>
    <t>葡萄酒;⽩兰地;⾷⽤酒精;⽩酒;⻩酒;蒸馏饮料;威⼠忌;⽶酒;酒精饮料（啤酒除外）;果酒（含酒精）</t>
  </si>
  <si>
    <t>鹤公序</t>
  </si>
  <si>
    <t>福居餐饮有限公司</t>
  </si>
  <si>
    <t>果酒（含酒精）;含⽔果酒精饮料;⽩酒;⻩酒;⽩兰地;酒精饮料（啤酒除外）;鸡尾酒;⾷⽤酒精;葡萄酒;⽶酒</t>
  </si>
  <si>
    <t>初美刻</t>
  </si>
  <si>
    <t>广州麦林品牌管理有限公司</t>
  </si>
  <si>
    <t>葡萄酒;烧酒;⽶酒;⻩酒;⽩酒;清酒;威⼠忌;酒精饮料（啤酒除外）;果酒（含酒精）;烈酒</t>
  </si>
  <si>
    <t>源巴古酒</t>
  </si>
  <si>
    <t>广西巴马小肽玉液酒业有限公司</t>
  </si>
  <si>
    <t>葡萄酒;⽶酒;烈酒;蒸馏饮料;果酒;露酒;甜酒;⽼酒（中国蒸馏烈酒）;⻩酒;⽩酒</t>
  </si>
  <si>
    <t>花锦仙</t>
  </si>
  <si>
    <t>贺雪明</t>
  </si>
  <si>
    <t>⾷⽤酒精;清酒（⽇本⽶酒）;葡萄酒;果酒（含酒精）;烈酒（饮料）;酒精饮料（啤酒除外）;汽酒;⽩酒;⽶酒;蒸馏饮料</t>
  </si>
  <si>
    <t>海琴岛国际贸易（山东）有限公司</t>
  </si>
  <si>
    <t>威⼠忌;烈酒（饮料）;⽩酒;葡萄酒;开胃酒;⽩兰地;⾷⽤酒精;清酒（⽇本⽶酒）;烧酒;蒸煮提取物（利⼝酒和烈酒）</t>
  </si>
  <si>
    <t>匠存原</t>
  </si>
  <si>
    <t>贵州老茅樽酒业有限公司</t>
  </si>
  <si>
    <t>餐后酒（利⼝酒和烈酒）;烈酒（饮料）;开胃酒;由⾕物蒸馏的⽩酒;果酒（含酒精）;⽼酒（中国蒸馏烈酒）;⽩酒;⾼粱酒</t>
  </si>
  <si>
    <t>魁杰</t>
  </si>
  <si>
    <t>贵州茅不易商贸有限责任公司</t>
  </si>
  <si>
    <t>烈酒（饮料）;⽶酒;⽩酒;开胃酒;清酒;果酒（含酒精）;葡萄酒;酒精饮料（啤酒除外）;烧酒;⾕物制蒸馏酒精饮料</t>
  </si>
  <si>
    <t>贵州省仁怀市茅台镇酱儒世家酒业有限公司</t>
  </si>
  <si>
    <t>⽩酒;果酒（含酒精）;苹果酒;葡萄酒;露酒;⽶酒;烈酒（饮料）;⾕物制蒸馏酒精饮料;餐后酒（利⼝酒和烈酒）;蒸馏饮料</t>
  </si>
  <si>
    <t>钦鸿</t>
  </si>
  <si>
    <t>贵州省仁怀市钦鸿酒业有限公司</t>
  </si>
  <si>
    <t>烈酒（饮料）;威⼠忌;⽶酒;薄荷酒;⽩兰地;⽩酒;开胃酒;鸡尾酒;果酒（含酒精）;⻩酒</t>
  </si>
  <si>
    <t>鑫津御</t>
  </si>
  <si>
    <t>东营市京升水产有限公司</t>
  </si>
  <si>
    <t>烈酒（饮料）;⻩酒;⽩酒;⽶酒;葡萄酒;鸡尾酒;清酒（⽇本⽶酒）;酒精饮料（啤酒除外）;烧酒;果酒（含酒精）</t>
  </si>
  <si>
    <t>禾良台</t>
  </si>
  <si>
    <t>贵州筏台酒业有限公司</t>
  </si>
  <si>
    <t>⻘稞酒;⾷⽤酒精;葡萄酒;⽩兰地;⾕物制蒸馏酒精饮料;⽶酒;烧酒;利⼝酒;威⼠忌;⽩酒</t>
  </si>
  <si>
    <t>华速齐鲁</t>
  </si>
  <si>
    <t>汪海红</t>
  </si>
  <si>
    <t>清酒;甜酒;⽩⼲酒（中国⽩酒）;⽩酒;烈酒;露酒;⻩酒;果酒;烧酒;葡萄酒</t>
  </si>
  <si>
    <t>骉品</t>
  </si>
  <si>
    <t>赖文彪</t>
  </si>
  <si>
    <t>果酒;甜酒;⾼粱酒;蒸馏饮料;⽩兰地;烧酒;以葡萄酒为主的饮料;⽩酒;烈酒;⽶酒</t>
  </si>
  <si>
    <t>中贵黄金</t>
  </si>
  <si>
    <t>北京中贵黄金珠宝有限公司</t>
  </si>
  <si>
    <t>果酒（含酒精）;⽩酒;含酒精的饮料（啤酒除外）;含酒精⽔果饮料;红葡萄酒;⽩葡萄酒;⽶酒;⻩酒;⾷⽤酒精;果酒</t>
  </si>
  <si>
    <t>杰孜</t>
  </si>
  <si>
    <t>西藏桑旦岗实业有限公司</t>
  </si>
  <si>
    <t>薄荷酒;⾼粱酒;⻘稞酒;⽶酒;除啤酒外的酒精饮料;开胃酒;⽩酒;⻩酒;酒精饮料（啤酒除外）;⾷⽤酒精</t>
  </si>
  <si>
    <t>云腾马</t>
  </si>
  <si>
    <t>威⼠忌;蒸馏饮料;⽩兰地;汽酒;苹果酒;葡萄酒;⽶酒;⻩酒;⽩酒;烧酒</t>
  </si>
  <si>
    <t>石泥香</t>
  </si>
  <si>
    <t>葡萄酒;果酒（含酒精）;烈酒（饮料）;酒精饮料（啤酒除外）;⽩酒;开胃酒;⽶酒;⾕物制蒸馏酒精饮料;烧酒;清酒</t>
  </si>
  <si>
    <t>贵纵酒</t>
  </si>
  <si>
    <t>贵州酱酒集团有限公司</t>
  </si>
  <si>
    <t>含酒精的饮料（啤酒除外）;⽶酒;果酒（含酒精）;葡萄酒;鸡尾酒;⽩酒;烧酒;烈酒（饮料）;威⼠忌;开胃酒</t>
  </si>
  <si>
    <t>齐蜂堂</t>
  </si>
  <si>
    <t>郴州齐蜂堂科技有限公司</t>
  </si>
  <si>
    <t>烧酒;露酒;烈酒;⽶酒;蜂蜜酒;⻩酒;⽩酒;果酒;葡萄酒;清酒</t>
  </si>
  <si>
    <t>帛泉青蚨财富密码</t>
  </si>
  <si>
    <t>北京国韵蓝天文化艺术发展有限责任公司</t>
  </si>
  <si>
    <t>烧酒;伏特加酒;开胃酒;烈酒（饮料）;葡萄酒;酒精饮料原汁;蒸馏饮料;威⼠忌;⽩酒;⽩兰地</t>
  </si>
  <si>
    <t>华莱瑞</t>
  </si>
  <si>
    <t>贵州省仁怀市莱瑞农业发展有限公司</t>
  </si>
  <si>
    <t>葡萄酒;蒸馏饮料;⽶酒;餐后酒（利⼝酒和烈酒）;⾕物制蒸馏酒精饮料;露酒;果酒（含酒精）;苹果酒;烈酒（饮料）;⽩酒</t>
  </si>
  <si>
    <t>蕞之战</t>
  </si>
  <si>
    <t>英才添翼教育科技（西安）有限公司</t>
  </si>
  <si>
    <t>⽩酒;酒精饮料（啤酒除外）;果酒（含酒精）;酒精饮料原汁;葡萄酒;开胃酒;樱桃酒;以葡萄酒为主的饮料;酒精饮料浓缩汁;苹果酒</t>
  </si>
  <si>
    <t>田霜</t>
  </si>
  <si>
    <t>汽酒;⻩酒;果酒（含酒精）;蒸馏饮料;⽩兰地;威⼠忌;酒精饮料浓缩汁;朗姆酒;含酒精的⽓泡⽔;鸡尾酒;葡萄酒;烈酒（饮料）;清酒（⽇本⽶酒）;酒精饮料原汁;⽶酒;烧酒;⾷⽤酒精;含⽔果酒精饮料;⽩酒</t>
  </si>
  <si>
    <t>金纲·甘露</t>
  </si>
  <si>
    <t>烧酒;酒精饮料（啤酒除外）;⻘稞酒;⽶酒;葡萄酒;⽩酒;清酒;蒸煮提取物（利⼝酒和烈酒）;果酒;⻩酒</t>
  </si>
  <si>
    <t>粮缘岁粤</t>
  </si>
  <si>
    <t>赵响</t>
  </si>
  <si>
    <t>葡萄酒;清酒;蜂蜜酒;⻩酒;烧酒;酒精饮料（啤酒除外）;⽩酒;果酒（含酒精）;开胃酒;鸡尾酒</t>
  </si>
  <si>
    <t>浅念</t>
  </si>
  <si>
    <t>凌强</t>
  </si>
  <si>
    <t>含⽔果酒精饮料;烈酒（饮料）;烧酒;蒸馏饮料;⻩酒;酒精饮料（啤酒除外）;⽩酒;果酒（含酒精）;⽶酒;薄荷酒</t>
  </si>
  <si>
    <t>润坤</t>
  </si>
  <si>
    <t>北京润坤酒业有限公司</t>
  </si>
  <si>
    <t>果酒（含酒精）;酒精饮料（啤酒除外）;酒精饮料原汁;烧酒;⽩酒;蒸煮提取物（利⼝酒和烈酒）;蒸馏饮料;葡萄酒;含⽔果酒精饮料;鸡尾酒</t>
  </si>
  <si>
    <t>ENTREGOZOS</t>
  </si>
  <si>
    <t>路易斯·洛萨诺·托雷斯</t>
  </si>
  <si>
    <t>含⽔果酒精饮料;⾕物制蒸馏酒精饮料;蒸馏饮料;酒精饮料原汁;已调味的蒸馏酒;酒精饮料（啤酒除外）;以蒸馏酒为主的开胃酒</t>
  </si>
  <si>
    <t>威夫凯特财富密码</t>
  </si>
  <si>
    <t>烈酒（饮料）;⽩兰地;威⼠忌;酒精饮料原汁;伏特加酒;蒸馏饮料;葡萄酒;烧酒;⽩酒;开胃酒</t>
  </si>
  <si>
    <t>嫽粮站</t>
  </si>
  <si>
    <t>山东尧部落农牧发展有限公司</t>
  </si>
  <si>
    <t>烧酒;⽶酒;酒精饮料（啤酒除外）;⾷⽤酒精;葡萄酒;烈酒（饮料）;⽩兰地;开胃酒;⽩酒;果酒（含酒精）</t>
  </si>
  <si>
    <t>五龙云师</t>
  </si>
  <si>
    <t>云南师宗县五龙裕酒业有限公司</t>
  </si>
  <si>
    <t>蒸煮提取物（利⼝酒和烈酒）;烧酒;酒精饮料（啤酒除外）;烈酒（饮料）;酒精饮料原汁;清酒（⽇本⽶酒）;⽩酒;葡萄酒;果酒（含酒精）;⽶酒</t>
  </si>
  <si>
    <t>ZHU GE TAI JI</t>
  </si>
  <si>
    <t>葡萄酒;⻘稞酒;⽩酒;蒸馏饮料;预先混合的酒精饮料（以啤酒为主的除外）;果酒;酒精饮料原汁;⾕物制蒸馏酒精饮料;酒精饮料（啤酒除外）;⽶酒</t>
  </si>
  <si>
    <t>苗十五</t>
  </si>
  <si>
    <t>贵州硒思美酒业有限责任公司</t>
  </si>
  <si>
    <t>⽩酒;利⼝酒;烈酒（饮料）;蒸馏⽶酒（泡盛酒）;⽶酒;⽩⼲酒（中国⽩酒）;果酒（含酒精）;酒精饮料（啤酒除外）;烧酒;含酒精⽔果饮料</t>
  </si>
  <si>
    <t>YUNSHANMENG</t>
  </si>
  <si>
    <t>黑龙江省云山蒙酒业有限公司</t>
  </si>
  <si>
    <t>汽酒;⾼粱酒;葡萄酒;⽩酒;⻩酒;烈酒（饮料）;酒精饮料（啤酒除外）;⽶酒;烧酒;果酒（含酒精）</t>
  </si>
  <si>
    <t>BINEFOUGS</t>
  </si>
  <si>
    <t>刘腊桂</t>
  </si>
  <si>
    <t>清酒;⽩兰地;⽩酒;预调甜酒;以葡萄酒为主的开胃酒;含⽔果酒精饮料;果酒（含酒精）;鸡尾酒;⽶酒;葡萄酒</t>
  </si>
  <si>
    <t>梅续</t>
  </si>
  <si>
    <t>瞿冬明</t>
  </si>
  <si>
    <t>⻩酒;烧酒;⽶酒;⻘稞酒;果酒（含酒精）;⽩酒;清酒（⽇本⽶酒）;酒精饮料（啤酒除外）;葡萄酒;烈酒（饮料）</t>
  </si>
  <si>
    <t>虎斑</t>
  </si>
  <si>
    <t>乐酒集团有限公司</t>
  </si>
  <si>
    <t>⻘稞酒;烈酒（饮料）;⽶酒;利⼝酒;果酒（含酒精）;清酒（⽇本⽶酒）;⽩酒;葡萄酒;鸡尾酒;⻩酒</t>
  </si>
  <si>
    <t>古赤传承</t>
  </si>
  <si>
    <t>葡萄酒;⽩酒;酒精饮料原汁;烧酒;烈酒;⻩酒;⾷⽤酒精;⾼粱酒;果酒;露酒</t>
  </si>
  <si>
    <t>炒鸡兄弟</t>
  </si>
  <si>
    <t>樊玉峰</t>
  </si>
  <si>
    <t>⽶酒;果酒（含酒精）;鸡尾酒;清酒（⽇本⽶酒）;烧酒;酒精饮料（啤酒除外）;⻩酒;葡萄酒;烈酒（饮料）;⽩酒</t>
  </si>
  <si>
    <t>星皈籽</t>
  </si>
  <si>
    <t>正己实业投资（上海）有限公司</t>
  </si>
  <si>
    <t>⽼酒（中国蒸馏烈酒）;烧酒（烈酒）;⽶酒;葡萄酒;五加⽪酒（中国混合烈酒）;⽩⼲酒（中国⽩酒）;红葡萄酒;⽩葡萄酒;⻩酒;烧酒</t>
  </si>
  <si>
    <t>赤昌河</t>
  </si>
  <si>
    <t>葡萄酒;利⼝酒;⽩兰地;⽶酒;⾷⽤酒精;威⼠忌;⻘稞酒;⾕物制蒸馏酒精饮料;烧酒;⽩酒</t>
  </si>
  <si>
    <t>沙糖仔</t>
  </si>
  <si>
    <t>⽩酒;⽩兰地;葡萄酒;朗姆酒;烈酒（饮料）;⻩酒;⾷⽤酒精;威⼠忌;伏特加酒;果酒（含酒精）</t>
  </si>
  <si>
    <t>福堂宴</t>
  </si>
  <si>
    <t>贵州福堂宴酒业销售有限公司</t>
  </si>
  <si>
    <t>葡萄酒;烈酒（饮料）;蒸馏饮料;餐后酒（利⼝酒和烈酒）;⽩酒;果酒（含酒精）;苹果酒;⾕物制蒸馏酒精饮料;露酒;⽶酒</t>
  </si>
  <si>
    <t>坤缨台</t>
  </si>
  <si>
    <t>济南瑰福源粮贸有限公司</t>
  </si>
  <si>
    <t>葡萄酒;开胃酒;⻩酒;⾕物制蒸馏酒精饮料;蒸馏饮料;⽩酒;⽶酒;露酒;蜂蜜酒;果酒（含酒精）</t>
  </si>
  <si>
    <t>PALAZZO UNICA</t>
  </si>
  <si>
    <t>杨婷</t>
  </si>
  <si>
    <t>贵州贵彩台酒业有限公司</t>
  </si>
  <si>
    <t>⽼酒（中国蒸馏烈酒）;⻩酒;⽩酒;葡萄酒;酒精饮料（啤酒除外）;果酒;烈酒;烧酒;⾼粱酒;⽶酒</t>
  </si>
  <si>
    <t>济航干细胞生物科技（沈阳）有限公司</t>
  </si>
  <si>
    <t>含酒精的充⽓饮料（啤酒除外）;⻩酒;⽩酒;⽼酒（中国蒸馏烈酒）;⽶酒;果酒;烈酒;⽩⼲酒（中国⽩酒）;葡萄酒;鸡尾酒</t>
  </si>
  <si>
    <t>傣景甄醇</t>
  </si>
  <si>
    <t>瑞丽市齐迹商贸有限公司</t>
  </si>
  <si>
    <t>⽶酒;葡萄酒;露酒;酸酒（低等葡萄酒）;⽩酒;烈酒（饮料）;甜酒;朗姆酒;樱桃酒;杜松⼦酒</t>
  </si>
  <si>
    <t>贵州省仁怀市量大酒业有限公司</t>
  </si>
  <si>
    <t>威⼠忌;⽩酒;蒸馏饮料;葡萄酒;⻩酒;⽶酒;⽩兰地;朗姆酒;⾕物制蒸馏酒精饮料;利⼝酒</t>
  </si>
  <si>
    <t>邢娃</t>
  </si>
  <si>
    <t>邢台市文化旅游发展集团有限公司演艺分公司</t>
  </si>
  <si>
    <t>清酒;烧酒;⽩兰地;烈酒（饮料）;鸡尾酒;⽶酒;伏特加酒;果酒;⻩酒;除啤酒外的酒精饮料</t>
  </si>
  <si>
    <t>谷态</t>
  </si>
  <si>
    <t>赵国瑞</t>
  </si>
  <si>
    <t>⽶酒;烈酒（饮料）;⻩酒;⽩酒;含⽔果酒精饮料;⾷⽤酒精;威⼠忌;果酒（含酒精）;葡萄酒;酒精饮料原汁</t>
  </si>
  <si>
    <t>润灵通</t>
  </si>
  <si>
    <t>王朝玉320323********0426</t>
  </si>
  <si>
    <t>⻩酒;葡萄酒;汽酒;烧酒;烈酒;⽩酒;果酒（含酒精）;酒精饮料（啤酒除外）;⾷⽤酒精;⽶酒</t>
  </si>
  <si>
    <t>贵乡洞</t>
  </si>
  <si>
    <t>梁华</t>
  </si>
  <si>
    <t>⻩酒;烈酒（饮料）;酒精饮料浓缩汁;葡萄酒;酒精饮料（啤酒除外）;开胃酒;苦味酒;蒸馏饮料;⾷⽤酒精;⽩酒</t>
  </si>
  <si>
    <t>贵沧河</t>
  </si>
  <si>
    <t>许昌市魏都区支路百货行（个体工商户）</t>
  </si>
  <si>
    <t>鸡尾酒;⽩兰地;⽶酒;⽩酒;酒精饮料（啤酒除外）;⻩酒;果酒（含酒精）;含⽔果酒精饮料;⾷⽤酒精;葡萄酒</t>
  </si>
  <si>
    <t>铭阳泽</t>
  </si>
  <si>
    <t>邢台琼玉酒业有限公司</t>
  </si>
  <si>
    <t>⻩酒;烈酒（饮料）;果酒;鸡尾酒;葡萄酒;⽶酒;清酒;露酒;⽩酒;烧酒</t>
  </si>
  <si>
    <t>必图</t>
  </si>
  <si>
    <t>贵州人合酱酒业有限公司</t>
  </si>
  <si>
    <t>酒精饮料（啤酒除外）;含⽔果酒精饮料;⻩酒;烧酒;⽶酒;葡萄酒;酒精饮料浓缩汁;果酒（含酒精）;烈酒（饮料）;⽩酒</t>
  </si>
  <si>
    <t>陆佰蜂</t>
  </si>
  <si>
    <t>唐土顺</t>
  </si>
  <si>
    <t>烈酒;葡萄酒;⾼粱酒;⻩酒;甜酒;烧酒（烈酒）;威⼠忌;薄荷酒;⽩酒;⽶酒</t>
  </si>
  <si>
    <t>燊天</t>
  </si>
  <si>
    <t>许昌市魏都区曼森百货行（个体工商户）</t>
  </si>
  <si>
    <t>果酒（含酒精）;鸡尾酒;⽩兰地;酒精饮料（啤酒除外）;⻩酒;⽶酒;⾷⽤酒精;⽩酒;葡萄酒;含⽔果酒精饮料</t>
  </si>
  <si>
    <t>XS-WAVE</t>
  </si>
  <si>
    <t>鸡尾酒;杜松⼦酒;伏特加酒;威⼠忌;烈酒（饮料）;朗姆酒;利⼝酒;⽩兰地;果酒（含酒精）;酒精饮料（啤酒除外）</t>
  </si>
  <si>
    <t>飞燊</t>
  </si>
  <si>
    <t>鸡尾酒;含⽔果酒精饮料;果酒（含酒精）;⽩兰地;⽩酒;酒精饮料（啤酒除外）;⾷⽤酒精;葡萄酒;⻩酒;⽶酒</t>
  </si>
  <si>
    <t>飞邀</t>
  </si>
  <si>
    <t>葡萄酒;⽶酒;⾷⽤酒精;含⽔果酒精饮料;⻩酒;⽩酒;⽩兰地;酒精饮料（啤酒除外）;果酒（含酒精）;鸡尾酒</t>
  </si>
  <si>
    <t>大汉南都城</t>
  </si>
  <si>
    <t>南阳产投文化旅游发展集团有限公司</t>
  </si>
  <si>
    <t>开胃酒;烈酒（饮料）;烧酒;⽩酒;⻩酒;葡萄酒;蒸馏饮料;酒精饮料（啤酒除外）;⾷⽤酒精;⽶酒</t>
  </si>
  <si>
    <t>大角双岩</t>
  </si>
  <si>
    <t>浙江华章文旅集团有限公司</t>
  </si>
  <si>
    <t>鸡尾酒;⻩酒;利⼝酒;果酒（含酒精）;甜酒;烈酒;威⼠忌;⽩酒;⽶酒;含⽔果酒精饮料</t>
  </si>
  <si>
    <t>选味佳</t>
  </si>
  <si>
    <t>选味佳（湖北）农产品有限公司</t>
  </si>
  <si>
    <t>果酒（含酒精）;烈酒（饮料）;酒精饮料原汁;⻩酒;⽩酒;⾷⽤酒精;开胃酒;鸡尾酒;⽶酒;酒精饮料（啤酒除外）</t>
  </si>
  <si>
    <t>看味</t>
  </si>
  <si>
    <t>杨倩</t>
  </si>
  <si>
    <t>⽩酒;葡萄酒;清酒;蒸馏饮料;⻩酒;汽酒;果酒（含酒精）;烧酒;烧酒（烈酒）;⾷⽤酒精</t>
  </si>
  <si>
    <t>昂扎</t>
  </si>
  <si>
    <t>绵阳市创王酒业有限公司</t>
  </si>
  <si>
    <t>果酒（含酒精）;烈酒（饮料）;⽩酒;鸡尾酒;⻘稞酒;烧酒;开胃酒;葡萄酒;蜂蜜酒;⻩酒</t>
  </si>
  <si>
    <t>苏文公</t>
  </si>
  <si>
    <t>盐城本地人信息科技有限公司</t>
  </si>
  <si>
    <t>蒸馏饮料;威⼠忌;预先混合的酒精饮料（以啤酒为主的除外）;⾷⽤酒精;果酒（含酒精）;清酒（⽇本⽶酒）;酒精饮料原汁;酒精饮料（啤酒除外）;⽩酒;葡萄酒</t>
  </si>
  <si>
    <t>遵明</t>
  </si>
  <si>
    <t>烧酒;⾷⽤酒精;汽酒;清酒;⻩酒;葡萄酒;果酒（含酒精）;⽩酒;蒸馏饮料;烧酒（烈酒）</t>
  </si>
  <si>
    <t>见香</t>
  </si>
  <si>
    <t>武陵区家飞食品商行</t>
  </si>
  <si>
    <t>果酒（含酒精）;烧酒;⽩酒;利⼝酒;葡萄酒;清酒（⽇本⽶酒）;⽩兰地;⻘稞酒;⻩酒;⽶酒</t>
  </si>
  <si>
    <t>苏阳河</t>
  </si>
  <si>
    <t>预先混合的酒精饮料（以啤酒为主的除外）;果酒（含酒精）;蒸馏饮料;葡萄酒;⽩酒;威⼠忌;⾷⽤酒精;酒精饮料（啤酒除外）;酒精饮料原汁;清酒（⽇本⽶酒）</t>
  </si>
  <si>
    <t>永乐斯路</t>
  </si>
  <si>
    <t>浙江钓台御品酒业有限公司</t>
  </si>
  <si>
    <t>果酒（含酒精）;葡萄酒;清酒（⽇本⽶酒）;⽶酒;甜酒;红葡萄酒;⽩葡萄酒;烈酒（饮料）;酒精饮料（啤酒除外）;⽩酒</t>
  </si>
  <si>
    <t>大成君豊</t>
  </si>
  <si>
    <t>广东成君酒业有限公司</t>
  </si>
  <si>
    <t>⽼酒（中国蒸馏烈酒）;果酒（含酒精）;葡萄酒;⾷⽤酒精;⽩⼲酒（中国⽩酒）;蒸馏饮料;烈酒（饮料）;⽶酒;⽩酒;烧酒</t>
  </si>
  <si>
    <t>凤云大师</t>
  </si>
  <si>
    <t>李志华</t>
  </si>
  <si>
    <t>烈酒（饮料）;清酒（⽇本⽶酒）;烧酒;⽶酒;葡萄酒;鸡尾酒;⽩酒;⻩酒;果酒（含酒精）;酒精饮料（啤酒除外）</t>
  </si>
  <si>
    <t>宣酒珍酿</t>
  </si>
  <si>
    <t>安徽宣酒集团股份有限公司</t>
  </si>
  <si>
    <t>⾷⽤酒精;⾼粱酒;梅酒;清酒;⻩酒;⽩⼲酒（中国⽩酒）;烈酒;⽩酒;⽼酒（中国蒸馏烈酒）;⽶酒</t>
  </si>
  <si>
    <t>活香</t>
  </si>
  <si>
    <t>福建王者茶业集团有限公司</t>
  </si>
  <si>
    <t>⽼酒（中国蒸馏烈酒）;葡萄酒;⾕物制蒸馏酒精饮料;⽶酒;酒精饮料（啤酒除外）;烧酒;⻩酒;烈酒;⽩酒;甜酒</t>
  </si>
  <si>
    <t>情如初见</t>
  </si>
  <si>
    <t>济南齐鲁珍酒业销售有限公司</t>
  </si>
  <si>
    <t>清酒（⽇本⽶酒）;威⼠忌;⽩兰地;⻩酒;⽶酒;露酒</t>
  </si>
  <si>
    <t>王府乾诚</t>
  </si>
  <si>
    <t>王科</t>
  </si>
  <si>
    <t>葡萄酒;清酒（⽇本⽶酒）;果酒（含酒精）;⽶酒;⽩酒;酒精饮料（啤酒除外）;⾷⽤酒精;蒸馏饮料;⻘稞酒;烧酒</t>
  </si>
  <si>
    <t>淘满疆</t>
  </si>
  <si>
    <t>曾唯英</t>
  </si>
  <si>
    <t>蒸馏饮料;⽶酒;果酒;葡萄酒;⾷⽤酒精;含⽔果酒精饮料;⽩酒;酒精饮料原汁;甜酒;汽酒</t>
  </si>
  <si>
    <t>熟寂</t>
  </si>
  <si>
    <t>广州市顺昌源酒业有限公司</t>
  </si>
  <si>
    <t>伏特加酒;果酒;⽩酒;⽩兰地;汽酒;威⼠忌;葡萄酒;梅酒;⻩酒;酒精饮料（啤酒除外）</t>
  </si>
  <si>
    <t>浩特红久</t>
  </si>
  <si>
    <t>喻利平</t>
  </si>
  <si>
    <t>烧酒;汽酒;⻩酒;⽶酒;⽩酒;甜酒;清酒;果酒;葡萄酒;烈酒</t>
  </si>
  <si>
    <t>闽古今</t>
  </si>
  <si>
    <t>武复兴</t>
  </si>
  <si>
    <t>开胃酒;鸡尾酒;威⼠忌;⻩酒;⽩酒;烈酒（饮料）;清酒（⽇本⽶酒）;酒精饮料（啤酒除外）;葡萄酒;果酒</t>
  </si>
  <si>
    <t>碓臼石</t>
  </si>
  <si>
    <t>北京碓臼旅游发展有限公司</t>
  </si>
  <si>
    <t>⽶酒;鸡尾酒;⽩酒;葡萄酒;果酒;⻩酒;蜂蜜酒;烈酒（饮料）;清酒（⽇本⽶酒）;酒精饮料（啤酒除外）</t>
  </si>
  <si>
    <t>柳屋者说</t>
  </si>
  <si>
    <t>烟台通商国际贸易有限公司</t>
  </si>
  <si>
    <t>苹果酒;梨酒;⽔果汽酒;⼲型苹果酒;草莓酒;汽酒;天然汽酒;含酒精的饮料（啤酒除外）;果酒（含酒精）;含⽔果酒精饮料</t>
  </si>
  <si>
    <t>湖枫源</t>
  </si>
  <si>
    <t>盐源枫香树苗木种植专业合作社</t>
  </si>
  <si>
    <t>⽩葡萄酒;红葡萄酒;果酒;⽩酒;甜酒;烧酒（烈酒）;梅酒;威⼠忌;⻩酒;鸡尾酒</t>
  </si>
  <si>
    <t>千古赋福禄寿禧</t>
  </si>
  <si>
    <t>正大益生科技发展（北京）有限公司</t>
  </si>
  <si>
    <t>蒸馏饮料;果酒;鸡尾酒;利⼝酒;烈酒;⽩酒;伏特加酒;梅酒;威⼠忌;含⽔果酒精饮料</t>
  </si>
  <si>
    <t>江苏腾奇电力科技股份有限公司</t>
  </si>
  <si>
    <t>已调味的⻨芽酿制的酒精饮料（啤酒除外）;果酒（含酒精）;烈酒（饮料）;餐后酒（利⼝酒和烈酒）;⾷⽤酒精;烧酒;含酒精的⽓泡⽔;⽩酒;⻩酒;⽶酒</t>
  </si>
  <si>
    <t>白与白</t>
  </si>
  <si>
    <t>北京金谷圣泉商贸有限公司</t>
  </si>
  <si>
    <t>葡萄酒;酒精饮料（啤酒除外）;威⼠忌;果酒（含酒精）;⽩兰地;酒精饮料原汁;鸡尾酒;茴⾹酒（利⼝酒）;⽩酒;烈酒（饮料）</t>
  </si>
  <si>
    <t>珍藏杜甫</t>
  </si>
  <si>
    <t>四川杜甫酒业集团股份有限公司</t>
  </si>
  <si>
    <t>⻩酒;果酒（含酒精）;葡萄酒;薄荷酒;烧酒;酒精饮料（啤酒除外）;烈酒（饮料）;⽩酒;威⼠忌;清酒（⽇本⽶酒）</t>
  </si>
  <si>
    <t>承庆堂</t>
  </si>
  <si>
    <t>安徽承庆堂国药股份有限公司</t>
  </si>
  <si>
    <t>苹果酒;鸡尾酒;露酒;梅酒;⾼粱酒;果酒;蒸馏饮料;⾷⽤酒精;威⼠忌;⽩酒</t>
  </si>
  <si>
    <t>有无酒业 有无</t>
  </si>
  <si>
    <t>⽶酒;⻩酒;露酒;⽩兰地;清酒;⽩酒;⽼酒（中国蒸馏烈酒）;威⼠忌;葡萄酒;烈酒</t>
  </si>
  <si>
    <t>坤暨堂</t>
  </si>
  <si>
    <t>安徽省徽甄堂茶产业发展有限公司</t>
  </si>
  <si>
    <t>蜂蜜酒;⽩兰地;薄荷酒;葡萄酒;⽩酒;⻩酒;果酒（含酒精）;⽶酒;威⼠忌;烧酒</t>
  </si>
  <si>
    <t>桂芷堂</t>
  </si>
  <si>
    <t>江苏苏州桂芷堂健康管理有限公司</t>
  </si>
  <si>
    <t>开胃酒;苹果酒;⽶酒;⽩酒;鸡尾酒;烧酒;薄荷酒;果酒;苦味酒;⾼粱酒</t>
  </si>
  <si>
    <t>大地之潮</t>
  </si>
  <si>
    <t>贵州红赤粮酒业有限公司</t>
  </si>
  <si>
    <t>果酒（含酒精）;烈酒（饮料）;苹果酒;蒸馏饮料;餐后酒（利⼝酒和烈酒）;葡萄酒;⽶酒;⾕物制蒸馏酒精饮料;⽩酒;露酒</t>
  </si>
  <si>
    <t>碓臼</t>
  </si>
  <si>
    <t>清酒（⽇本⽶酒）;⻩酒;蜂蜜酒;⽶酒;果酒;葡萄酒;酒精饮料（啤酒除外）;烈酒（饮料）;⽩酒;鸡尾酒</t>
  </si>
  <si>
    <t>YELLOW PEACE</t>
  </si>
  <si>
    <t>厦门椰橹商贸有限公司</t>
  </si>
  <si>
    <t>利⼝酒;⻩酒;威⼠忌;葡萄酒;⽩酒;果酒（含酒精）;伏特加酒;酒精饮料（啤酒除外）;含⽔果酒精饮料;⽩兰地</t>
  </si>
  <si>
    <t>暨事暨成</t>
  </si>
  <si>
    <t>⽶酒;⽩酒;烈酒（饮料）;葡萄酒;酒精饮料（啤酒除外）;红葡萄酒;⽩葡萄酒;果酒（含酒精）;清酒（⽇本⽶酒）;甜酒</t>
  </si>
  <si>
    <t>蕊睿</t>
  </si>
  <si>
    <t>桂林市桂甘商贸有限公司</t>
  </si>
  <si>
    <t>葡萄酒;预先混合的酒精饮料（以啤酒为主的除外）;果酒（含酒精）;柑⾹酒;鸡尾酒;⽢蔗制酒精饮料;⽩酒;⽶酒;开胃酒;含⽔果酒精饮料</t>
  </si>
  <si>
    <t>甲骨片</t>
  </si>
  <si>
    <t>秦胜普</t>
  </si>
  <si>
    <t>蒸煮提取物（利⼝酒和烈酒）;⻩酒;烧酒;⽶酒;果酒;开胃酒;清酒（⽇本⽶酒）;葡萄酒;烈酒;⽩酒</t>
  </si>
  <si>
    <t>博峰鼎力</t>
  </si>
  <si>
    <t>四川博峰鼎力建筑工程有限公司</t>
  </si>
  <si>
    <t>⽶酒;葡萄酒;⾼粱酒;开胃酒;⽩酒;果酒（含酒精）;⻩酒;红葡萄酒;烈酒;烧酒</t>
  </si>
  <si>
    <t>勐养岩少木瓜园</t>
  </si>
  <si>
    <t>景洪勐养岩少木瓜园餐饮有限公司</t>
  </si>
  <si>
    <t>⽩酒;⾷⽤酒精;清酒（⽇本⽶酒）;果酒（含酒精）;汽酒;⽶酒;⻩酒;开胃酒;葡萄酒;烈酒（饮料）</t>
  </si>
  <si>
    <t>活力季</t>
  </si>
  <si>
    <t>刘渤</t>
  </si>
  <si>
    <t>果酒;葡萄酒;⾷⽤酒精;⻩酒;⽶酒;汽酒;清酒;甜酒;⽩酒;开胃酒</t>
  </si>
  <si>
    <t>福龙关</t>
  </si>
  <si>
    <t>酒精饮料（啤酒除外）;⽩酒;开胃酒;鸡尾酒;葡萄酒;烈酒;果酒（含酒精）;清酒（⽇本⽶酒）;威⼠忌;⻩酒</t>
  </si>
  <si>
    <t>千古一爱</t>
  </si>
  <si>
    <t>河南御合轩文化传媒有限公司</t>
  </si>
  <si>
    <t>苦味酒;鸡尾酒;已调味的⻨芽酿制的酒精饮料（啤酒除外）;⽩酒;⾷⽤酒精;伏特加酒;含酒精的⽓泡⽔;⻩酒;清酒（⽇本⽶酒）;果酒（含酒精）</t>
  </si>
  <si>
    <t>枣园留念</t>
  </si>
  <si>
    <t>陕西心合兄弟酒业有限公司</t>
  </si>
  <si>
    <t>⽩酒;烧酒;⽼酒（中国蒸馏烈酒）;蒸馏饮料;⾷⽤酒精;⾼粱酒;⻩酒;果酒;由⾕物蒸馏的⽩酒;烈酒</t>
  </si>
  <si>
    <t>宝塔留念</t>
  </si>
  <si>
    <t>⽼酒（中国蒸馏烈酒）;果酒;烧酒;⻩酒;⽩酒;蒸馏饮料;烈酒;由⾕物蒸馏的⽩酒;⾷⽤酒精;⾼粱酒</t>
  </si>
  <si>
    <t>悬瓮晋水</t>
  </si>
  <si>
    <t>新疆晋善晋美酒业有限责任公司</t>
  </si>
  <si>
    <t>⽶酒;鸡尾酒;葡萄酒;烧酒;⽢蔗制烈酒;果酒（含酒精）;⻩酒;酒精饮料（啤酒除外）;烈酒（饮料）;⽩酒</t>
  </si>
  <si>
    <t>雪中剑来</t>
  </si>
  <si>
    <t>陈政华</t>
  </si>
  <si>
    <t>汽酒;清酒;果酒;⽶酒;⻘稞酒;鸡尾酒;⽩兰地;⽩酒;葡萄酒;⻩酒</t>
  </si>
  <si>
    <t>鑫鲁泉</t>
  </si>
  <si>
    <t>济南鑫鲁泉食品有限公司</t>
  </si>
  <si>
    <t>果酒;葡萄酒;⽩酒;蜂蜜酒;酒精饮料原汁;苹果酒;酒精饮料（啤酒除外）;露酒;鸡尾酒;含⽔果酒精饮料</t>
  </si>
  <si>
    <t>赤红祖</t>
  </si>
  <si>
    <t>冯瑞敏</t>
  </si>
  <si>
    <t>含⽔果酒精饮料;烧酒;⽩酒;伏特加酒;清酒（⽇本⽶酒）;蒸馏饮料;葡萄酒;酒精饮料（啤酒除外）;⻩酒;⽶酒</t>
  </si>
  <si>
    <t>小沂妹</t>
  </si>
  <si>
    <t>临沭县山里泉酒厂</t>
  </si>
  <si>
    <t>蒸馏饮料;果酒（含酒精）;蜂蜜酒;酒精饮料（啤酒除外）;烧酒;烈酒（饮料）;⽶酒;清酒（⽇本⽶酒）;⽩酒;葡萄酒</t>
  </si>
  <si>
    <t>食生克健康科技（济南）有限公司</t>
  </si>
  <si>
    <t>果酒（含酒精）;含⽔果酒精饮料;蜂蜜酒;餐后酒（利⼝酒和烈酒）;酒精饮料（啤酒除外）;鸡尾酒;葡萄酒;⽩酒;开胃酒;利⼝酒</t>
  </si>
  <si>
    <t>贵州三力制药股份有限公司</t>
  </si>
  <si>
    <t>葡萄酒;酒精饮料（啤酒除外）;烈酒（饮料）;开胃酒;⽩酒;⽶酒;烧酒;⻩酒;⾷⽤酒精;果酒（含酒精）</t>
  </si>
  <si>
    <t>BEMUFUHES</t>
  </si>
  <si>
    <t>曾云芳</t>
  </si>
  <si>
    <t>⽩兰地;含⽔果酒精饮料;威⼠忌;烧酒;⽩酒;伏特加酒;鸡尾酒;利⼝酒;葡萄酒;果酒（含酒精）</t>
  </si>
  <si>
    <t>认界</t>
  </si>
  <si>
    <t>丁浪</t>
  </si>
  <si>
    <t>⾷⽤酒精;烈酒;葡萄酒;⾼粱酒;露酒;酒精饮料原汁;烧酒;⻩酒;⽩酒;果酒</t>
  </si>
  <si>
    <t>萨罗娜</t>
  </si>
  <si>
    <t>德州克代尔集团有限公司</t>
  </si>
  <si>
    <t>鸡尾酒;樱桃酒;烧酒;葡萄酒;汽酒;含酒精的⽓泡⽔;⽩酒;开胃酒;苹果酒;蜂蜜酒</t>
  </si>
  <si>
    <t>枝叙</t>
  </si>
  <si>
    <t>刘玉明</t>
  </si>
  <si>
    <t>葡萄酒;果酒（含酒精）;⻩酒;威⼠忌;鸡尾酒;清酒（⽇本⽶酒）;酒精饮料（啤酒除外）;烈酒;开胃酒;⽩酒</t>
  </si>
  <si>
    <t>稻春山</t>
  </si>
  <si>
    <t>陈凤</t>
  </si>
  <si>
    <t>果酒（含酒精）;烧酒;酒精饮料（啤酒除外）;预先混合的酒精饮料（以啤酒为主的除外）;鸡尾酒;⽩酒;葡萄酒;伏特加酒;⽶酒;威⼠忌</t>
  </si>
  <si>
    <t>晋水神沼</t>
  </si>
  <si>
    <t>⽩酒;果酒（含酒精）;烧酒;烈酒（饮料）;⽢蔗制烈酒;⽶酒;酒精饮料（啤酒除外）;⻩酒;鸡尾酒;葡萄酒</t>
  </si>
  <si>
    <t>揽歙台</t>
  </si>
  <si>
    <t>湖南朔金科技发展有限公司</t>
  </si>
  <si>
    <t>⽩酒;⽶酒;鸡尾酒;⽼酒（中国蒸馏烈酒）;酒精饮料（啤酒除外）;烧酒;⾼粱酒;葡萄酒;威⼠忌;烈酒</t>
  </si>
  <si>
    <t>久州壹世</t>
  </si>
  <si>
    <t>上海查久科技有限公司</t>
  </si>
  <si>
    <t>烧酒;酒精饮料（啤酒除外）;红葡萄酒;⽩酒;酒精饮料原汁;果酒（含酒精）;苹果酒;鸡尾酒;烈酒（饮料）;葡萄酒</t>
  </si>
  <si>
    <t>丑小笼</t>
  </si>
  <si>
    <t>张友增</t>
  </si>
  <si>
    <t>清酒;酒精饮料（啤酒除外）;⽩酒;果酒（含酒精）;含酒精的⽔果鸡尾酒饮料;葡萄酒;苹果酒;⽶酒;⽩兰地;⻩酒</t>
  </si>
  <si>
    <t>弘丰大重</t>
  </si>
  <si>
    <t>朱弘志</t>
  </si>
  <si>
    <t>酒精饮料（啤酒除外）;杨梅酒;朝鲜族⽶酒;蒸馏⽶酒（泡盛酒）;伏特加酒;⽶酒;烧酒;⾼粱酒;果酒（含酒精）;⻩酒</t>
  </si>
  <si>
    <t>尝醇</t>
  </si>
  <si>
    <t>上海尝醇贸易有限公司</t>
  </si>
  <si>
    <t>烈酒（饮料）;酒精饮料（啤酒除外）;葡萄酒;⽶酒;威⼠忌;⽩酒;果酒（含酒精）;鸡尾酒;烧酒;⾼粱酒</t>
  </si>
  <si>
    <t>格宜白露</t>
  </si>
  <si>
    <t>徐昌升</t>
  </si>
  <si>
    <t>⻩酒;⽩酒;果酒;葡萄酒;烧酒;苦荞酒;⾼粱酒;烈酒;⽶酒;清酒</t>
  </si>
  <si>
    <t>DGCLJ</t>
  </si>
  <si>
    <t>赵越超</t>
  </si>
  <si>
    <t>果酒（含酒精）;⻘稞酒;⽩酒;清酒（⽇本⽶酒）;鸡尾酒;⾼粱酒;⽶酒;⻩酒;烧酒（烈酒）;葡萄酒</t>
  </si>
  <si>
    <t>风路红</t>
  </si>
  <si>
    <t>庄远波</t>
  </si>
  <si>
    <t>清酒;果酒（含酒精）;⻩酒;开胃酒;葡萄酒;酒精饮料（啤酒除外）;⽩酒;⽶酒;⻘稞酒;⽩兰地</t>
  </si>
  <si>
    <t>雄臣</t>
  </si>
  <si>
    <t>⽩酒;开胃酒;烈酒;葡萄酒;果酒（含酒精）;清酒（⽇本⽶酒）;威⼠忌;鸡尾酒;酒精饮料（啤酒除外）;⻩酒</t>
  </si>
  <si>
    <t>观歙台</t>
  </si>
  <si>
    <t>烈酒;⽶酒;⾼粱酒;鸡尾酒;威⼠忌;⽼酒（中国蒸馏烈酒）;葡萄酒;⽩酒;烧酒;酒精饮料（啤酒除外）</t>
  </si>
  <si>
    <t>久州壹道</t>
  </si>
  <si>
    <t>葡萄酒;果酒（含酒精）;苹果酒;鸡尾酒;烈酒（饮料）;酒精饮料（啤酒除外）;酒精饮料原汁;⽩酒;烧酒;红葡萄酒</t>
  </si>
  <si>
    <t>久州壹路</t>
  </si>
  <si>
    <t>果酒（含酒精）;烧酒;酒精饮料原汁;⽩酒;红葡萄酒;鸡尾酒;葡萄酒;苹果酒;酒精饮料（啤酒除外）;烈酒（饮料）</t>
  </si>
  <si>
    <t>久州吉至</t>
  </si>
  <si>
    <t>果酒（含酒精）;葡萄酒;苹果酒;烧酒;⽩酒;红葡萄酒;鸡尾酒;烈酒（饮料）;酒精饮料原汁;酒精饮料（啤酒除外）</t>
  </si>
  <si>
    <t>雾江</t>
  </si>
  <si>
    <t>金华市红岸电子商务有限责任公司</t>
  </si>
  <si>
    <t>果酒（含酒精）;⻩酒;⻘稞酒;鸡尾酒;葡萄酒;烧酒;⾕物制蒸馏酒精饮料;⽩酒;开胃酒;⽶酒</t>
  </si>
  <si>
    <t>⽩酒;烈酒（饮料）;酒精饮料（啤酒除外）;⽶酒;开胃酒;⻩酒;果酒（含酒精）;葡萄酒;⾷⽤酒精;烧酒</t>
  </si>
  <si>
    <t>石坝口</t>
  </si>
  <si>
    <t>湖南岳家军酒业有限公司</t>
  </si>
  <si>
    <t>葡萄酒;⽶酒;果酒（含酒精）;⾕物制蒸馏酒精饮料;酒精饮料（啤酒除外）;甜酒;开胃酒;烈酒（饮料）;⾼粱酒;鸡尾酒</t>
  </si>
  <si>
    <t>酒</t>
  </si>
  <si>
    <t>赵美慧</t>
  </si>
  <si>
    <t>花果觅</t>
  </si>
  <si>
    <t>清酒（⽇本⽶酒）;酒精饮料（啤酒除外）;⻩酒;烈酒;鸡尾酒;果酒（含酒精）;威⼠忌;开胃酒;⽩酒;葡萄酒</t>
  </si>
  <si>
    <t>黔飞翔</t>
  </si>
  <si>
    <t>贵州黔飞翔食品有限责任公司</t>
  </si>
  <si>
    <t>酒精饮料（啤酒除外）;烈酒（饮料）;蒸馏饮料;烧酒;果酒（含酒精）;蒸煮提取物（利⼝酒和烈酒）;⽩酒;蜂蜜酒;⻩酒;汽酒</t>
  </si>
  <si>
    <t>运之源</t>
  </si>
  <si>
    <t>山西同运源酒业有限公司</t>
  </si>
  <si>
    <t>梅酒;⾼粱酒;烧酒;露酒;⻩酒;含酒精的饮料（啤酒除外）;由⾕物蒸馏的⽩酒;烈酒;⽩酒;⽼酒（中国蒸馏烈酒）</t>
  </si>
  <si>
    <t>芬惜浅</t>
  </si>
  <si>
    <t>唐雯</t>
  </si>
  <si>
    <t>⻘稞酒;⽩酒;⽩兰地;烧酒;⽶酒;葡萄酒;烈酒;威⼠忌;⻩酒;鸡尾酒</t>
  </si>
  <si>
    <t>裕太泉</t>
  </si>
  <si>
    <t>集安市鸭绿江酒业有限公司</t>
  </si>
  <si>
    <t>烧酒;⽶酒;⽩酒;⽼酒（中国蒸馏烈酒）;朝鲜族⽶酒;葡萄酒;⽩⼲酒（中国⽩酒）;⻩酒;⾕物制蒸馏酒精饮料;酒精饮料（啤酒除外）</t>
  </si>
  <si>
    <t>贡望</t>
  </si>
  <si>
    <t>杨冰凤</t>
  </si>
  <si>
    <t>⻘稞酒;⽩兰地;烧酒;威⼠忌;⽩酒;⽶酒;鸡尾酒;葡萄酒;烈酒;⻩酒</t>
  </si>
  <si>
    <t>纷锦剑</t>
  </si>
  <si>
    <t>鸡尾酒;烈酒;⻘稞酒;⻩酒;烧酒;葡萄酒;⽩兰地;威⼠忌;⽩酒;⽶酒</t>
  </si>
  <si>
    <t>纷听岚</t>
  </si>
  <si>
    <t>葡萄酒;⻘稞酒;⽩酒;烧酒;⽶酒;烈酒;⽩兰地;⻩酒;威⼠忌;鸡尾酒</t>
  </si>
  <si>
    <t>李加兴</t>
  </si>
  <si>
    <t>清酒;⻩酒;⽩兰地;威⼠忌;⽶酒;烧酒;⽩酒;⻘梅酒;葡萄酒;果酒</t>
  </si>
  <si>
    <t>施洛特</t>
  </si>
  <si>
    <t>段敏</t>
  </si>
  <si>
    <t>葡萄酒;含⽔果酒精饮料;酒精饮料（啤酒除外）;⽩酒;鸡尾酒;果酒（含酒精）;利⼝酒;威⼠忌;烧酒;⽩兰地</t>
  </si>
  <si>
    <t>DOMAINE KOJI ET JAE HWA</t>
  </si>
  <si>
    <t>晃司和在华酒庄</t>
  </si>
  <si>
    <t>⽩葡萄酒;葡萄酒;红葡萄酒;⽩兰地;⾷⽤酒精;清酒;威⼠忌;果酒;烧酒;⽩酒</t>
  </si>
  <si>
    <t>华盛荣光</t>
  </si>
  <si>
    <t>潘礼海</t>
  </si>
  <si>
    <t>樱桃酒;⻩酒;果酒（含酒精）;苹果酒;开胃酒;⽶酒;⽩酒;⻘稞酒;烧酒;葡萄酒</t>
  </si>
  <si>
    <t>七号酒铺</t>
  </si>
  <si>
    <t>漳州市龙海区为何商贸有限公司</t>
  </si>
  <si>
    <t>果酒（含酒精）;清酒;威⼠忌;⽶酒;⻩酒;⽩酒;红葡萄酒;烈酒;烧酒;⻘稞酒</t>
  </si>
  <si>
    <t>骄香醇尚</t>
  </si>
  <si>
    <t>刘占阳</t>
  </si>
  <si>
    <t>苦味酒;果酒（含酒精）;酒精饮料原汁;⾷⽤酒精;烧酒;预先混合的酒精饮料（以啤酒为主的除外）;⾕物制蒸馏酒精饮料;蒸煮提取物（利⼝酒和烈酒）;烈酒（饮料）;⽩酒</t>
  </si>
  <si>
    <t>凤起源汉</t>
  </si>
  <si>
    <t>徐州凤鸣塔电子商务有限公司</t>
  </si>
  <si>
    <t>果酒（含酒精）;⽩酒;葡萄酒;酒精饮料（啤酒除外）;鸡尾酒;⻩酒;烈酒（饮料）;⽶酒;⽩兰地;烧酒</t>
  </si>
  <si>
    <t>祁满香</t>
  </si>
  <si>
    <t>李斌</t>
  </si>
  <si>
    <t>⽩酒;果酒（含酒精）;蒸馏饮料;⽼酒（中国蒸馏烈酒）;⽶酒;清酒（⽇本⽶酒）;⻩酒;烈酒（饮料）;酒精饮料（啤酒除外）;朝鲜族⽶酒</t>
  </si>
  <si>
    <t>ESPIRITU DEL BOSQUE</t>
  </si>
  <si>
    <t>南京明峰达企业咨询管理有限公司</t>
  </si>
  <si>
    <t>⽩兰地;葡萄酒;蒸馏饮料;果酒;汽酒;清酒;⽩酒;酒精饮料（啤酒除外）;⻩酒;鸡尾酒</t>
  </si>
  <si>
    <t>倪欢</t>
  </si>
  <si>
    <t>黄磊</t>
  </si>
  <si>
    <t>开胃酒;鸡尾酒;蒸馏饮料;烈酒（饮料）;⽩酒;薄荷酒;果酒（含酒精）;汽酒;⻩酒;烧酒</t>
  </si>
  <si>
    <t>缑城霞客</t>
  </si>
  <si>
    <t>宁波市双屿贸易有限责任公司</t>
  </si>
  <si>
    <t>酒精饮料原汁;葡萄酒;⾼粱酒;⻩酒;含酒精蛋奶酒;⽩酒;果酒;烧酒;⽶酒;杨梅酒</t>
  </si>
  <si>
    <t>杭莼</t>
  </si>
  <si>
    <t>董恩久</t>
  </si>
  <si>
    <t>葡萄酒;果酒;威⼠忌;⽩兰地;鸡尾酒;红葡萄酒;起泡红葡萄酒;酒精饮料原汁;不起泡葡萄酒</t>
  </si>
  <si>
    <t>诚余年</t>
  </si>
  <si>
    <t>黄茂华</t>
  </si>
  <si>
    <t>⻩酒;烈酒;⾼粱酒;葡萄酒;果酒;烧酒;酒精饮料原汁;⽩酒;露酒;⾷⽤酒精</t>
  </si>
  <si>
    <t>爽口源</t>
  </si>
  <si>
    <t>甘肃爽口源生态科技股份有限公司</t>
  </si>
  <si>
    <t>⻩酒;果酒（含酒精）;⽩酒;酒精饮料浓缩汁;开胃酒;酒精饮料原汁;餐后酒（利⼝酒和烈酒）;含⽔果酒精饮料;蒸馏饮料;⾕物制蒸馏酒精饮料</t>
  </si>
  <si>
    <t>冰池</t>
  </si>
  <si>
    <t>郑守强</t>
  </si>
  <si>
    <t>利⼝酒;蜂蜜酒;开胃酒;⾷⽤酒精;含酒精的鸡尾酒混合饮品;葡萄酒;除啤酒外的酒精饮料;⽩酒;酒精饮料浓缩汁;烧酒</t>
  </si>
  <si>
    <t>果仙友</t>
  </si>
  <si>
    <t>陕西鑫利隆辉农业发展有限公司</t>
  </si>
  <si>
    <t>鸡尾酒;薄荷酒;威⼠忌;果酒（含酒精）;⼲型苹果酒;⻩酒;苹果酒;含⽔果酒精饮料;⽩酒;烈酒（饮料）</t>
  </si>
  <si>
    <t>出关</t>
  </si>
  <si>
    <t>曾为知</t>
  </si>
  <si>
    <t>果酒（含酒精）;葡萄酒;甜酒;⾼粱酒;⻩酒;⽶酒;酒精饮料（啤酒除外）;烈酒（饮料）;⽩酒;蜂蜜酒</t>
  </si>
  <si>
    <t>赢吉祥</t>
  </si>
  <si>
    <t>⻘稞酒;⾷⽤酒精;果酒（含酒精）;葡萄酒;⽶酒;酒精饮料（啤酒除外）;⽩酒;烧酒;蒸馏饮料;清酒（⽇本⽶酒）</t>
  </si>
  <si>
    <t>十八里红地利</t>
  </si>
  <si>
    <t>河南礼道粮油有限公司</t>
  </si>
  <si>
    <t>⾷⽤酒精;果酒;葡萄酒;⻩酒;⽶酒;⻘稞酒;清酒;⽩酒;⽩兰地;烧酒</t>
  </si>
  <si>
    <t>御养力</t>
  </si>
  <si>
    <t>陈德红</t>
  </si>
  <si>
    <t>⽩酒;⾷⽤酒精;葡萄酒;清酒（⽇本⽶酒）;⻘稞酒;⽶酒;⻩酒;烧酒;鸡尾酒;果酒（含酒精）</t>
  </si>
  <si>
    <t>周仙子</t>
  </si>
  <si>
    <t>泉州万缘鞋服有限公司</t>
  </si>
  <si>
    <t>鸡尾酒;葡萄酒;威⼠忌;酒精饮料（啤酒除外）;烧酒;含⽔果酒精饮料;烈酒（饮料）;⽩酒;果酒（含酒精）;蒸馏饮料</t>
  </si>
  <si>
    <t>米家山</t>
  </si>
  <si>
    <t>兰州米家山百合有限责任公司</t>
  </si>
  <si>
    <t>烈酒（饮料）;⻘稞酒;⽶酒;薄荷酒;酒精饮料（啤酒除外）;⽩酒;清酒（⽇本⽶酒）;威⼠忌;鸡尾酒;酒精饮料原汁</t>
  </si>
  <si>
    <t>承天浩</t>
  </si>
  <si>
    <t>泰安东岳泰山药膳食品有限公司</t>
  </si>
  <si>
    <t>⽶酒;甜酒;果酒（含酒精）;烧酒;露酒;果酒;葡萄酒;汽酒;⽩酒;⻩酒</t>
  </si>
  <si>
    <t>邓祖液</t>
  </si>
  <si>
    <t>利⼝酒;⻩酒;⻘稞酒;以葡萄酒为主的饮料;烈酒;红葡萄酒;⽩⼲酒（中国⽩酒）;烧酒;梨酒;⽩酒</t>
  </si>
  <si>
    <t>青大侠</t>
  </si>
  <si>
    <t>济南接力企业发展有限公司</t>
  </si>
  <si>
    <t>露酒;果酒（含酒精）;蒸馏饮料;餐后酒（利⼝酒和烈酒）;苹果酒;⽶酒;烈酒（饮料）;葡萄酒;⽩酒;⾕物制蒸馏酒精饮料</t>
  </si>
  <si>
    <t>湘 湘美晨</t>
  </si>
  <si>
    <t>聂益明</t>
  </si>
  <si>
    <t>⽩酒;葡萄酒;伏特加酒;开胃酒;汽酒;威⼠忌;鸡尾酒;⽩兰地;朗姆酒;⻩酒</t>
  </si>
  <si>
    <t>旭明贡酒</t>
  </si>
  <si>
    <t>安徽明洲酒业有限公司</t>
  </si>
  <si>
    <t>餐后酒（利⼝酒和烈酒）;⽩⼲酒（中国⽩酒）;酒精饮料原汁;烧酒;⾷⽤酒精;以蒸馏酒为主的开胃酒;清酒;烈酒（饮料）;蒸馏⽶酒（泡盛酒）;由⾕物蒸馏的⽩酒</t>
  </si>
  <si>
    <t>鸣酒开源</t>
  </si>
  <si>
    <t>吴奕航</t>
  </si>
  <si>
    <t>开胃酒;果酒（含酒精）;⾼粱酒;⽩酒;烈酒（饮料）;鸡尾酒;酒精饮料（啤酒除外）;葡萄酒;朗姆酒（酒精饮料）;⽶酒</t>
  </si>
  <si>
    <t>林河自由爱</t>
  </si>
  <si>
    <t>贵州魁五匠酒业有限公司</t>
  </si>
  <si>
    <t>酒精饮料（啤酒除外）;⻩酒;果酒（含酒精）;开胃酒;葡萄酒;鸡尾酒;威⼠忌;烈酒;清酒（⽇本⽶酒）;⽩酒</t>
  </si>
  <si>
    <t>HOOLULUU</t>
  </si>
  <si>
    <t>深圳市轻物文化科技发展有限公司</t>
  </si>
  <si>
    <t>蜂蜜酒;威⼠忌;鸡尾酒;⽩兰地;开胃酒;苹果酒;葡萄酒;酒精饮料原汁;⽩酒;⽶酒</t>
  </si>
  <si>
    <t>柒润顺合</t>
  </si>
  <si>
    <t>沈阳柒润贸易有限公司</t>
  </si>
  <si>
    <t>果酒（含酒精）;酒精饮料（啤酒除外）;烧酒;⽩酒;预先混合的酒精饮料（以啤酒为主的除外）;葡萄酒;⾷⽤酒精;含⽔果酒精饮料;清酒;汽酒</t>
  </si>
  <si>
    <t>康华道</t>
  </si>
  <si>
    <t>佰赫宫国际品牌管理（北京）有限公司</t>
  </si>
  <si>
    <t>酒精饮料（啤酒除外）;葡萄酒;⽶酒;烧酒;果酒;⻘稞酒;蒸馏饮料;利⼝酒;⻩酒;⽩酒</t>
  </si>
  <si>
    <t>瑞泓霖</t>
  </si>
  <si>
    <t>泸州市鑫鸿兴高速公路服务区经营管理有限公司</t>
  </si>
  <si>
    <t>由⾕物蒸馏的⽩酒;烧酒;⽩酒;烈酒（饮料）;果酒（含酒精）;⽩⼲酒（中国⽩酒）;⾼粱酒;⾕物制蒸馏酒精饮料;蒸煮提取物（利⼝酒和烈酒）;酒精饮料原汁</t>
  </si>
  <si>
    <t>凤鸣运河</t>
  </si>
  <si>
    <t>⻩酒;葡萄酒;⽩兰地;果酒（含酒精）;酒精饮料（啤酒除外）;烈酒（饮料）;烧酒;鸡尾酒;⽩酒;⽶酒</t>
  </si>
  <si>
    <t>凤鸣大邳</t>
  </si>
  <si>
    <t>烈酒（饮料）;烧酒;酒精饮料（啤酒除外）;⽩酒;果酒（含酒精）;⽩兰地;⽶酒;鸡尾酒;⻩酒;葡萄酒</t>
  </si>
  <si>
    <t>LOU DUMONT</t>
  </si>
  <si>
    <t>威⼠忌;清酒;⽩酒;果酒;⽩葡萄酒;烧酒;⾷⽤酒精;红葡萄酒;葡萄酒;⽩兰地</t>
  </si>
  <si>
    <t>贵府名仕</t>
  </si>
  <si>
    <t>禤少声</t>
  </si>
  <si>
    <t>烧酒（烈酒）;⽩⼲酒（中国⽩酒）;⻩酒;⾷⽤酒精;烧酒;⽼酒（中国蒸馏烈酒）;⾼粱酒;⻘稞酒;⽶酒;⽩酒</t>
  </si>
  <si>
    <t>京采盾</t>
  </si>
  <si>
    <t>河北军腾科技有限公司</t>
  </si>
  <si>
    <t>果酒;杨梅酒;苦荞酒;甜酒;汽酒;烈性⼲酒;⽩酒;梅酒;⽩⼲酒（中国⽩酒）;⽶酒</t>
  </si>
  <si>
    <t>京装鉴湖</t>
  </si>
  <si>
    <t>中国绍兴黄酒集团有限公司</t>
  </si>
  <si>
    <t>⻩酒;果酒（含酒精）;蒸煮提取物（利⼝酒和烈酒）;清酒（⽇本⽶酒）;烧酒;⽩酒;甜酒;⽶酒;烈酒（饮料）;葡萄酒</t>
  </si>
  <si>
    <t>福建省泰宁县金湖酒业股份有限公司</t>
  </si>
  <si>
    <t>⽩酒;果酒（含酒精）;含⽔果酒精饮料;烧酒;葡萄酒;⻘稞酒;开胃酒;⻩酒;⽶酒;蒸馏饮料</t>
  </si>
  <si>
    <t>白少白</t>
  </si>
  <si>
    <t>张利37282********1496X</t>
  </si>
  <si>
    <t>烧酒;甜果酒;威⼠忌;⽩酒;含酒精的⽓泡⽔;鸡尾酒;⽶酒;开胃酒;果酒（含酒精）;葡萄酒</t>
  </si>
  <si>
    <t>京皇宫</t>
  </si>
  <si>
    <t>高楠</t>
  </si>
  <si>
    <t>葡萄酒;鸡尾酒;烧酒;⾷⽤酒精;⻘稞酒;⽩酒;⻩酒;⽶酒;开胃酒;果酒（含酒精）</t>
  </si>
  <si>
    <t>枫榕窖龙凤呈祥</t>
  </si>
  <si>
    <t>遵义恒天酒业有限公司</t>
  </si>
  <si>
    <t>⽩酒;苹果酒;葡萄酒;蒸馏饮料;⽶酒;⾕物制蒸馏酒精饮料;果酒（含酒精）;餐后酒（利⼝酒和烈酒）;露酒;烈酒（饮料）</t>
  </si>
  <si>
    <t>鹏欣缘</t>
  </si>
  <si>
    <t>陈艳</t>
  </si>
  <si>
    <t>果酒（含酒精）;杜松⼦酒;苦味酒;⾷⽤酒精;蜂蜜酒;⽩酒;烧酒;⻘稞酒;清酒（⽇本⽶酒）;⽩兰地</t>
  </si>
  <si>
    <t>存盟</t>
  </si>
  <si>
    <t>赵斌</t>
  </si>
  <si>
    <t>⽩酒;果酒（含酒精）;苹果酒;⾕物制蒸馏酒精饮料;⽶酒;鸡尾酒;⻩酒;蜂蜜酒;梨酒;烧酒</t>
  </si>
  <si>
    <t>宝芳斋</t>
  </si>
  <si>
    <t>刘飞</t>
  </si>
  <si>
    <t>⽶酒;⽩酒;⾷⽤酒精;⻩酒;葡萄酒;汽酒;果酒;清酒;甜酒;开胃酒</t>
  </si>
  <si>
    <t>听风登楼</t>
  </si>
  <si>
    <t>济南满华超市管理有限公司</t>
  </si>
  <si>
    <t>⻘稞酒;鸡尾酒;利⼝酒;⾼粱酒;⽩酒;开胃酒;酒精饮料（啤酒除外）;⽶酒;⾷⽤酒精;苦荞酒</t>
  </si>
  <si>
    <t>瓷兰生</t>
  </si>
  <si>
    <t>张树然</t>
  </si>
  <si>
    <t>烈酒（饮料）;⾷⽤酒精;蒸馏饮料;果酒（含酒精）;烧酒;⽶酒;⽩酒;葡萄酒;酒精饮料原汁;酒精饮料（啤酒除外）</t>
  </si>
  <si>
    <t>泮芳春</t>
  </si>
  <si>
    <t>杭州泮芳春餐饮管理有限公司</t>
  </si>
  <si>
    <t>葡萄酒;蜂蜜酒;含⽔果酒精饮料;薄荷酒;烧酒;⽶酒;⻩酒;果酒;开胃酒;酒精饮料浓缩汁</t>
  </si>
  <si>
    <t>湘否</t>
  </si>
  <si>
    <t>龙恩云</t>
  </si>
  <si>
    <t>清酒（⽇本⽶酒）;威⼠忌;烈酒（饮料）;⻩酒;葡萄酒;开胃酒;⽩酒;鸡尾酒;酒精饮料（啤酒除外）;果酒</t>
  </si>
  <si>
    <t>枫榕窖好枫光</t>
  </si>
  <si>
    <t>⽶酒;烈酒（饮料）;露酒;⽩酒;蒸馏饮料;餐后酒（利⼝酒和烈酒）;葡萄酒;⾕物制蒸馏酒精饮料;果酒（含酒精）;苹果酒</t>
  </si>
  <si>
    <t>宜芳郡府</t>
  </si>
  <si>
    <t>山西土豆花开酒业有限公司</t>
  </si>
  <si>
    <t>葡萄酒;⽶酒;⽩酒;果酒（含酒精）;⻘稞酒;⻩酒;清酒（⽇本⽶酒）;酒精饮料（啤酒除外）;蒸馏饮料;预先混合的酒精饮料（以啤酒为主的除外）</t>
  </si>
  <si>
    <t>麓晟匠酒</t>
  </si>
  <si>
    <t>盛菲菲</t>
  </si>
  <si>
    <t>预先混合的酒精饮料（以啤酒为主的除外）;清酒（⽇本⽶酒）;⽩酒;鸡尾酒;⽶酒;葡萄酒;烧酒;含⽔果酒精饮料;⾷⽤酒精;⻩酒</t>
  </si>
  <si>
    <t>将榜帅印</t>
  </si>
  <si>
    <t>葡萄酒;⽩酒;⻘稞酒;⾷⽤酒精;酒精饮料（啤酒除外）;⽶酒;⾕物制蒸馏酒精饮料;烧酒;⽼酒（中国蒸馏烈酒）;果酒</t>
  </si>
  <si>
    <t>赛春韵</t>
  </si>
  <si>
    <t>张光华</t>
  </si>
  <si>
    <t>葡萄酒;果酒（含酒精）;⽩酒;蒸馏饮料;⾷⽤酒精;烧酒;酒精饮料原汁;酒精饮料（啤酒除外）;⽶酒;烈酒（饮料）</t>
  </si>
  <si>
    <t>水匐鸣醉知己</t>
  </si>
  <si>
    <t>响水县醉知己酒业有限公司</t>
  </si>
  <si>
    <t>果酒（含酒精）;清酒（⽇本⽶酒）;⽶酒;烈酒（饮料）;⽩酒;酒精饮料（啤酒除外）;⾷⽤酒精;⻩酒;烧酒;蒸馏饮料</t>
  </si>
  <si>
    <t>TQZ 铜钱洲</t>
  </si>
  <si>
    <t>章遐勇</t>
  </si>
  <si>
    <t>⽩酒;葡萄酒;威⼠忌;果酒（含酒精）;⽶酒;酒精饮料（啤酒除外）;烧酒;蜂蜜酒;⽩兰地;含酒精⽔果饮料</t>
  </si>
  <si>
    <t>凤鸣古邳</t>
  </si>
  <si>
    <t>烧酒;⽩兰地;⽩酒;葡萄酒;果酒（含酒精）;鸡尾酒;烈酒（饮料）;⽶酒;⻩酒;酒精饮料（啤酒除外）</t>
  </si>
  <si>
    <t>晋青春</t>
  </si>
  <si>
    <t>山西北强商贸有限公司</t>
  </si>
  <si>
    <t>⽶酒;葡萄酒;酒精饮料（啤酒除外）;烧酒;蒸馏饮料;酒精饮料原汁;鸡尾酒;⽩酒;烈酒;蒸煮提取物（利⼝酒和烈酒）</t>
  </si>
  <si>
    <t>电来电往</t>
  </si>
  <si>
    <t>安徽中鑫富能能源管理有限公司</t>
  </si>
  <si>
    <t>⽩酒;酒精饮料（啤酒除外）;烧酒;果酒（含酒精）;⽶酒;烈酒（饮料）;葡萄酒;清酒（⽇本⽶酒）;⻩酒;鸡尾酒</t>
  </si>
  <si>
    <t>今世缘金一帆</t>
  </si>
  <si>
    <t>江苏今世缘酒业股份有限公司</t>
  </si>
  <si>
    <t>苦味酒;鸡尾酒;酒精饮料（啤酒除外）;杜松⼦酒;蒸煮提取物（利⼝酒和烈酒）;开胃酒;⽩酒;果酒（含酒精）;葡萄酒;预先混合的酒精饮料（以啤酒为主的除外）</t>
  </si>
  <si>
    <t>嗜石酒</t>
  </si>
  <si>
    <t>宜宾龙莱福酒业有限责任公司</t>
  </si>
  <si>
    <t>葡萄酒;威⼠忌;酒精饮料（啤酒除外）;烈酒（饮料）;果酒（含酒精）;烧酒;⽩酒;蒸馏饮料;汽酒;含⽔果酒精饮料</t>
  </si>
  <si>
    <t>BLUE KIWI</t>
  </si>
  <si>
    <t>景德镇群帆乐饮生物科技有限公司</t>
  </si>
  <si>
    <t>起泡红葡萄酒;葡萄汽酒;葡萄酒;酒精饮料原汁;桃红葡萄酒;以葡萄酒为主的饮料;天然汽酒;汽酒;甜酒;果酒（含酒精）;酒精饮料（啤酒除外）;预先混合的酒精饮料（以啤酒为主的除外）</t>
  </si>
  <si>
    <t>靖轩佳垚</t>
  </si>
  <si>
    <t>山东靖轩佳垚国际贸易有限公司</t>
  </si>
  <si>
    <t>含⽔果酒精饮料;⽩酒;果酒（含酒精）;烈酒（饮料）;⻩酒;⽶酒;烧酒;酒精饮料（啤酒除外）;葡萄酒;⽩兰地</t>
  </si>
  <si>
    <t>瞿沟魔力</t>
  </si>
  <si>
    <t>刘俊衡</t>
  </si>
  <si>
    <t>含⽔果酒精饮料;葡萄酒;⻩酒;烧酒;酒精饮料（啤酒除外）;烈酒;⽩酒;蒸馏饮料;烈酒（饮料）;餐后酒（利⼝酒和烈酒）</t>
  </si>
  <si>
    <t>CHILL LAND</t>
  </si>
  <si>
    <t>吉林省莱斯沐酒业有限公司</t>
  </si>
  <si>
    <t>威⼠忌;苹果酒;葡萄酒;⽩酒;利⼝酒;含⽔果酒精饮料;⽶酒;果酒（含酒精）;开胃酒;奶油利⼝酒</t>
  </si>
  <si>
    <t>滁亭</t>
  </si>
  <si>
    <t>何露</t>
  </si>
  <si>
    <t>利⼝酒;⾷⽤酒精;⽩酒;葡萄酒;⻩酒;⻘稞酒;烧酒;烈酒;蒸煮提取物（利⼝酒和烈酒）;由⾕物蒸馏的⽩酒</t>
  </si>
  <si>
    <t>乐达仙</t>
  </si>
  <si>
    <t>刘克平</t>
  </si>
  <si>
    <t>酒精饮料（啤酒除外）;⾕物制蒸馏酒精饮料;由⾕物蒸馏的⽩酒;烧酒;⽩酒;威⼠忌;以葡萄酒为主的饮料;⽩⼲酒（中国⽩酒）;鸡尾酒;⽩兰地</t>
  </si>
  <si>
    <t>金故聚</t>
  </si>
  <si>
    <t>蒸馏饮料;⻩酒;⽩酒;果酒（含酒精）;酒精饮料（啤酒除外）;烧酒;含⽔果酒精饮料;烈酒（饮料）;薄荷酒;⽶酒</t>
  </si>
  <si>
    <t>庄台赋</t>
  </si>
  <si>
    <t>内蒙古农夫饮品科技开发有限责任公司</t>
  </si>
  <si>
    <t>⻩酒;⽶酒;果酒（含酒精）;烧酒;鸡尾酒;⻘稞酒;葡萄酒;⽩酒;威⼠忌;含⽔果酒精饮料</t>
  </si>
  <si>
    <t>迎洪福</t>
  </si>
  <si>
    <t>广州市同芯景观园林绿化有限公司</t>
  </si>
  <si>
    <t>⻩酒;果酒（含酒精）;威⼠忌;鸡尾酒;⻘稞酒;清酒（⽇本⽶酒）;⽩酒;葡萄酒;⽩兰地;⾷⽤酒精</t>
  </si>
  <si>
    <t>赤壁贺</t>
  </si>
  <si>
    <t>果酒;烧酒;蜂蜜酒;威⼠忌;葡萄酒;⻩酒;⽶酒;清酒;⽩酒;伏特加酒</t>
  </si>
  <si>
    <t>桂小妞</t>
  </si>
  <si>
    <t>广西贺州市桂品荟商贸有限公司</t>
  </si>
  <si>
    <t>烈酒（饮料）;⻘梅酒;梅酒;酒精饮料（啤酒除外）;果酒（含酒精）;⽩酒;葡萄酒;露酒;含酒精的饮料（啤酒除外）;⻩酒</t>
  </si>
  <si>
    <t>华七公</t>
  </si>
  <si>
    <t>聂润</t>
  </si>
  <si>
    <t>葡萄酒;果酒（含酒精）;⽩酒;伏特加酒;⽩⼲酒（中国⽩酒）;⽶酒;威⼠忌;酒精饮料（啤酒除外）;⻩酒;鸡尾酒</t>
  </si>
  <si>
    <t>乐淇莱</t>
  </si>
  <si>
    <t>重庆吾迪木商贸有限公司</t>
  </si>
  <si>
    <t>果酒;烧酒;⽶酒;酒精饮料（啤酒除外）;⽩葡萄酒;⾼粱酒;杨梅酒;⻩酒;⽩酒;⽼酒（中国蒸馏烈酒）</t>
  </si>
  <si>
    <t>天珏</t>
  </si>
  <si>
    <t>北京牛样山庄酒业有限公司</t>
  </si>
  <si>
    <t>鸡尾酒;烈酒（饮料）;葡萄酒;⽩酒;果酒（含酒精）;威⼠忌;⽶酒;⻩酒;酒精饮料（啤酒除外）;烧酒</t>
  </si>
  <si>
    <t>HOTMEET</t>
  </si>
  <si>
    <t>哈密瓜鲜果投资运营有限公司</t>
  </si>
  <si>
    <t>不起泡葡萄酒;果酒（含酒精）;葡萄酒;果酒;含⽔果酒精饮料;蒸馏饮料;开胃酒;樱桃酒;酒精饮料原汁;⽩酒</t>
  </si>
  <si>
    <t>康与珍</t>
  </si>
  <si>
    <t>抚松县玖富特产有限公司</t>
  </si>
  <si>
    <t>果酒;⾕物制蒸馏酒精饮料;葡萄酒;⻘稞酒;⽶酒;伏特加酒;⽩酒;⻩酒;酒精饮料原汁;威⼠忌</t>
  </si>
  <si>
    <t>犬神</t>
  </si>
  <si>
    <t>郑玉佰</t>
  </si>
  <si>
    <t>⽩酒;烧酒;⻩酒;露酒;⽼酒（中国蒸馏烈酒）;⽩⼲酒（中国⽩酒）;烈酒;⻘稞酒;清酒;⾼粱酒</t>
  </si>
  <si>
    <t>第E学霸</t>
  </si>
  <si>
    <t>王兴世</t>
  </si>
  <si>
    <t>⽶酒;开胃酒;⻩酒;果酒;⽩酒;清酒;甜酒;葡萄酒;⾷⽤酒精;汽酒</t>
  </si>
  <si>
    <t>领环</t>
  </si>
  <si>
    <t>领环医疗科技有限公司</t>
  </si>
  <si>
    <t>果酒（含酒精）;蒸馏饮料;⻩酒;葡萄酒;⽶酒;烧酒;威⼠忌;⽩酒;烈酒（饮料）;酒精饮料（啤酒除外）</t>
  </si>
  <si>
    <t>添盛源</t>
  </si>
  <si>
    <t>陈方成</t>
  </si>
  <si>
    <t>烧酒;甜酒;葡萄酒;⽶酒;⽩酒;酒精饮料（啤酒除外）;⽼酒（中国蒸馏烈酒）;⽩兰地;果酒;蝮蛇酒</t>
  </si>
  <si>
    <t>神秘鹿</t>
  </si>
  <si>
    <t>郑州衡洋食品有限公司</t>
  </si>
  <si>
    <t>苹果酒;梨酒;威⼠忌;烧酒;朗姆酒;开胃酒;⽩兰地;⽩酒;⽶酒;果酒（含酒精）</t>
  </si>
  <si>
    <t>杏林谷</t>
  </si>
  <si>
    <t>刘东</t>
  </si>
  <si>
    <t>鸡尾酒;开胃酒;薄荷酒;⽩酒;蜂蜜酒;烧酒;伏特加酒;⽶酒;威⼠忌;烈酒（饮料）</t>
  </si>
  <si>
    <t>美日今典</t>
  </si>
  <si>
    <t>杜浩波</t>
  </si>
  <si>
    <t>汽酒;清酒;⻩酒;甜酒;⾷⽤酒精;葡萄酒;开胃酒;果酒;⽶酒;⽩酒</t>
  </si>
  <si>
    <t>桃之芳场</t>
  </si>
  <si>
    <t>乔森</t>
  </si>
  <si>
    <t>⻩酒;酒精饮料（啤酒除外）;蒸馏饮料;葡萄酒;⽩酒;汽酒;鸡尾酒;烈酒;⾷⽤酒精;果酒</t>
  </si>
  <si>
    <t>隆中情义</t>
  </si>
  <si>
    <t>海淘易购供应链（广州）有限公司</t>
  </si>
  <si>
    <t>利⼝酒;朗姆酒;烈酒（饮料）;伏特加酒;⽩兰地;葡萄酒;开胃酒;混合威⼠忌酒;威⼠忌;鸡尾酒</t>
  </si>
  <si>
    <t>洛丹王</t>
  </si>
  <si>
    <t>广州六发酒业有限公司</t>
  </si>
  <si>
    <t>开胃酒;⽩酒;⽶酒;葡萄酒;威⼠忌;⽩兰地;含⽔果酒精饮料;⻩酒;清酒;鸡尾酒</t>
  </si>
  <si>
    <t>颂天福</t>
  </si>
  <si>
    <t>敖印</t>
  </si>
  <si>
    <t>葡萄酒;威⼠忌;鸡尾酒;果酒（含酒精）;⻩酒;酒精饮料（啤酒除外）;⽶酒;伏特加酒;⽩酒;⽩⼲酒（中国⽩酒）</t>
  </si>
  <si>
    <t>黑创</t>
  </si>
  <si>
    <t>黑松股份有限公司</t>
  </si>
  <si>
    <t>利⼝酒;酒精饮料（啤酒除外）;烈酒;红葡萄酒;葡萄酒;梅酒;预先混合的酒精饮料（以啤酒为主的除外）;⽩酒;含酒精的饮料（啤酒除外）;威⼠忌</t>
  </si>
  <si>
    <t>鼎台仁</t>
  </si>
  <si>
    <t>广州国正唐台酒业有限公司</t>
  </si>
  <si>
    <t>⽩酒;威⼠忌;鸡尾酒;开胃酒;烧酒;蒸馏饮料;酒精饮料（啤酒除外）;酒精饮料原汁;利⼝酒;⽶酒</t>
  </si>
  <si>
    <t>中商汇融</t>
  </si>
  <si>
    <t>内蒙古中商汇融进出口有限公司</t>
  </si>
  <si>
    <t>鸡尾酒;烈酒（饮料）;⽩兰地;葡萄酒;⻩酒;⻘稞酒;果酒（含酒精）;⽩酒;⽶酒;含⽔果酒精饮料</t>
  </si>
  <si>
    <t>多子贵</t>
  </si>
  <si>
    <t>郑州阿成互联科技有限公司</t>
  </si>
  <si>
    <t>⽩酒;葡萄酒;酒精饮料（啤酒除外）;清酒;蒸馏饮料;利⼝酒;含⽔果酒精饮料;果酒（含酒精）;⽶酒;汽酒</t>
  </si>
  <si>
    <t>锦城护生堂</t>
  </si>
  <si>
    <t>山东锦城控股有限公司</t>
  </si>
  <si>
    <t>⽔果汽酒;朗姆酒;果酒（含酒精）;鸡尾酒;酒精饮料浓缩汁;烧酒（烈酒）;葡萄酒;⽩酒;⻩酒;酒精饮料（啤酒除外）</t>
  </si>
  <si>
    <t>银浆仙</t>
  </si>
  <si>
    <t>金焰</t>
  </si>
  <si>
    <t>葡萄酒;威⼠忌;酒精饮料（啤酒除外）;⻩酒;⽩酒;开胃酒;烈酒;清酒（⽇本⽶酒）;鸡尾酒;果酒（含酒精）</t>
  </si>
  <si>
    <t>甡元堂</t>
  </si>
  <si>
    <t>昆明如荼茶业有限公司</t>
  </si>
  <si>
    <t>果酒（含酒精）;⽶酒;以葡萄酒为主的饮料;⾷⽤酒精;⻩酒;⻘稞酒;烧酒;⽩酒;汽酒;蒸馏饮料</t>
  </si>
  <si>
    <t>尚龙万江竹</t>
  </si>
  <si>
    <t>辽宁盘锦鸿德酒业有限责任公司</t>
  </si>
  <si>
    <t>⾷⽤酒精;薄荷酒;酒精饮料（啤酒除外）;⽩兰地;⽶酒;烧酒;苦味酒;⽩酒;樱桃酒;鸡尾酒</t>
  </si>
  <si>
    <t>金鹤贡</t>
  </si>
  <si>
    <t>云南金鹤茶业有限公司</t>
  </si>
  <si>
    <t>⻩酒;红葡萄酒;烈酒;含⽔果酒精饮料;⽩⼲酒（中国⽩酒）;⽩酒;果酒;预先混合的酒精饮料（以啤酒为主的除外）;烧酒;⽶酒</t>
  </si>
  <si>
    <t>头鬃酒</t>
  </si>
  <si>
    <t>温州市洞头旅游文化发展有限公司</t>
  </si>
  <si>
    <t>烧酒;烈酒;清酒;⽶酒;⽩酒;开胃酒;葡萄酒;果酒（含酒精）;鸡尾酒;⻩酒</t>
  </si>
  <si>
    <t>小鹿阿荣</t>
  </si>
  <si>
    <t>穆棱市三德子鹿业有限公司</t>
  </si>
  <si>
    <t>烈酒（饮料）;烧酒;⽩酒;⽩⼲酒（中国⽩酒）;露酒;佐餐酒;⽶酒;开胃酒;果酒;烈酒浓缩汁</t>
  </si>
  <si>
    <t>冠约</t>
  </si>
  <si>
    <t>江苏中淮项目管理有限公司</t>
  </si>
  <si>
    <t>⾼粱酒;清酒;鸡尾酒;果酒（含酒精）;⽔果汽酒;开胃酒;葡萄酒;伏特加酒;⽩酒;⽶酒</t>
  </si>
  <si>
    <t>一代进士</t>
  </si>
  <si>
    <t>北京天赐金源国际贸易有限公司</t>
  </si>
  <si>
    <t>威⼠忌;葡萄酒;⽩酒;伏特加酒;⻩酒;清酒;果酒（含酒精）;烈酒;⽩兰地;⻘稞酒</t>
  </si>
  <si>
    <t>叁两梦</t>
  </si>
  <si>
    <t>好客（山东）广告传媒有限公司</t>
  </si>
  <si>
    <t>⽩酒;⽩⼲酒（中国⽩酒）;酒精饮料浓缩汁;葡萄酒;⾼粱酒;⽶酒;烈酒;果酒;由⾕物蒸馏的⽩酒;预先混合的酒精饮料（以啤酒为主的除外）</t>
  </si>
  <si>
    <t>鹿鞑官</t>
  </si>
  <si>
    <t>吉林立鹿生物科技有限公司</t>
  </si>
  <si>
    <t>已调味的蒸馏酒;含酒精的饮料（啤酒除外）;葡萄酒;烧酒;果酒（含酒精）;⽩酒;甜酒;清酒;开胃酒;⽼酒（中国蒸馏烈酒）;烈酒（饮料）</t>
  </si>
  <si>
    <t>粮者甲骨文</t>
  </si>
  <si>
    <t>河南粮者酒行连锁管理科技有限公司</t>
  </si>
  <si>
    <t>烈酒（饮料）;预先混合的酒精饮料（以啤酒为主的除外）;⾕物制蒸馏酒精饮料;含酒精的饮料（啤酒除外）;已调味的⻨芽酿制的酒精饮料（啤酒除外）;⽩酒;烈酒;⽩⼲酒（中国⽩酒）;由⾕物蒸馏的⽩酒;烧酒</t>
  </si>
  <si>
    <t>唐台春</t>
  </si>
  <si>
    <t>鸡尾酒;酒精饮料原汁;⽩酒;开胃酒;⽶酒;利⼝酒;烧酒;威⼠忌;酒精饮料（啤酒除外）;蒸馏饮料</t>
  </si>
  <si>
    <t>近光</t>
  </si>
  <si>
    <t>⽩酒;⾼粱酒;烧酒;⽩⼲酒（中国⽩酒）;露酒;⻩酒;清酒;烈酒;⻘稞酒;⽼酒（中国蒸馏烈酒）</t>
  </si>
  <si>
    <t>富贵季</t>
  </si>
  <si>
    <t>江爱珍</t>
  </si>
  <si>
    <t>⽩酒;酒精饮料（啤酒除外）;⻩酒;含⽔果酒精饮料;蒸馏饮料;葡萄酒;果酒（含酒精）;⽶酒;威⼠忌;清酒</t>
  </si>
  <si>
    <t>胖子金小六</t>
  </si>
  <si>
    <t>武金鹏</t>
  </si>
  <si>
    <t>利⼝酒;含⽔果酒精饮料;⽼酒（中国蒸馏烈酒）;烈酒（饮料）;酒精饮料原汁;葡萄酒;⾷⽤酒精;⽩酒;烧酒;酒精饮料（啤酒除外）</t>
  </si>
  <si>
    <t>荷尝</t>
  </si>
  <si>
    <t>师绍勤</t>
  </si>
  <si>
    <t>果酒;⽩葡萄酒;烧酒（烈酒）;葡萄酒;⽩酒;甜酒;⻩酒;苹果酒;⾼粱酒;果酒（含酒精）</t>
  </si>
  <si>
    <t>守众堂</t>
  </si>
  <si>
    <t>深圳艺家百年电子商务有限公司</t>
  </si>
  <si>
    <t>含酒精的充⽓饮料（啤酒除外）;蒸馏⽶酒（泡盛酒）;果酒（含酒精）;⽶酒;⾕物制蒸馏酒精饮料;预先混合的酒精饮料（以啤酒为主的除外）;果酒;⽩酒;甜酒;⾼粱酒</t>
  </si>
  <si>
    <t>名士路易</t>
  </si>
  <si>
    <t>西咸新区沣东新城格秀南百货店</t>
  </si>
  <si>
    <t>葡萄酒;鸡尾酒;⽶酒;混合威⼠忌酒;甜酒;烈酒（饮料）;⽩兰地;威⼠忌;⽩酒;果酒（含酒精）</t>
  </si>
  <si>
    <t>龙娲</t>
  </si>
  <si>
    <t>耿延军</t>
  </si>
  <si>
    <t>⽶酒;烈酒（饮料）;烧酒;鸡尾酒;葡萄酒;酒精饮料（啤酒除外）;⻩酒;⽩酒;果酒（含酒精）;⽢蔗制烈酒</t>
  </si>
  <si>
    <t>赣鄱黔液</t>
  </si>
  <si>
    <t>陈满桔</t>
  </si>
  <si>
    <t>鸡尾酒;烈酒（饮料）;酒精饮料（啤酒除外）;⾕物制蒸馏酒精饮料;⻩酒;烧酒;⽶酒;果酒（含酒精）;⽩酒;葡萄酒</t>
  </si>
  <si>
    <t>鼎台怀</t>
  </si>
  <si>
    <t>蒸馏饮料;利⼝酒;威⼠忌;鸡尾酒;开胃酒;烧酒;酒精饮料原汁;⽩酒;酒精饮料（啤酒除外）;⽶酒</t>
  </si>
  <si>
    <t>鸿泉万江红</t>
  </si>
  <si>
    <t>薄荷酒;樱桃酒;苦味酒;⾷⽤酒精;酒精饮料（啤酒除外）;烧酒;⽶酒;⽩酒;⽩兰地;鸡尾酒</t>
  </si>
  <si>
    <t>极物复新</t>
  </si>
  <si>
    <t>内蒙古复新生物科技有限公司</t>
  </si>
  <si>
    <t>果酒（含酒精）;蒸馏饮料;葡萄酒;威⼠忌;⽩兰地;烈酒（饮料）;烧酒;开胃酒;⽶酒;酒精饮料（啤酒除外）</t>
  </si>
  <si>
    <t>赏丰酒肆</t>
  </si>
  <si>
    <t>四川赏丰酒业有限公司</t>
  </si>
  <si>
    <t>烧酒;葡萄酒;威⼠忌;酒精饮料（啤酒除外）;⽩酒;⻩酒;果酒（含酒精）;清酒（⽇本⽶酒）;烈酒（饮料）;⽶酒</t>
  </si>
  <si>
    <t>郑阳</t>
  </si>
  <si>
    <t>苹果酒;威⼠忌;朗姆酒;⽩酒;烧酒;⽶酒;开胃酒;⽩兰地;梨酒;果酒（含酒精）</t>
  </si>
  <si>
    <t>今匠大师</t>
  </si>
  <si>
    <t>肖梦威</t>
  </si>
  <si>
    <t>威⼠忌;鸡尾酒;⽶酒;含⽔果酒精饮料;果酒（含酒精）;⽩酒;葡萄酒;烧酒;⻘稞酒;⻩酒</t>
  </si>
  <si>
    <t>红袍缘</t>
  </si>
  <si>
    <t>葡萄酒;⽩酒;果酒（含酒精）;酒精饮料（啤酒除外）;⻩酒;烧酒;开胃酒;鸡尾酒;清酒（⽇本⽶酒）;蜂蜜酒</t>
  </si>
  <si>
    <t>疆彩王</t>
  </si>
  <si>
    <t>陈利明</t>
  </si>
  <si>
    <t>酒精饮料浓缩汁;⽩酒;烈酒（饮料）;酒精饮料（啤酒除外）;⾕物制蒸馏酒精饮料;蒸馏饮料;鸡尾酒;葡萄酒;果酒（含酒精）;酒精饮料原汁</t>
  </si>
  <si>
    <t>HEYTRON</t>
  </si>
  <si>
    <t>葡萄酒;⽩酒;梅酒;预先混合的酒精饮料（以啤酒为主的除外）;酒精饮料（啤酒除外）;利⼝酒;红葡萄酒;威⼠忌;烈酒;含酒精的饮料（啤酒除外）</t>
  </si>
  <si>
    <t>赣鄱贵液</t>
  </si>
  <si>
    <t>烧酒;葡萄酒;⽩酒;⽶酒;⻩酒;烈酒（饮料）;酒精饮料（啤酒除外）;⾕物制蒸馏酒精饮料;果酒（含酒精）;鸡尾酒</t>
  </si>
  <si>
    <t>仁聚乾坤</t>
  </si>
  <si>
    <t>江西五元力新教育科技有限公司</t>
  </si>
  <si>
    <t>⻘稞酒;梅酒;⾼粱酒;⽶酒;果酒（含酒精）;⽩酒;⽼酒（中国蒸馏烈酒）;葡萄酒;⻩酒;烧酒</t>
  </si>
  <si>
    <t>忆照</t>
  </si>
  <si>
    <t>食安（山东）餐饮管理有限公司</t>
  </si>
  <si>
    <t>苹果酒;利⼝酒;⻩酒;酒精饮料（啤酒除外）;樱桃酒;⽩酒;果酒（含酒精）;开胃酒;鸡尾酒;葡萄酒</t>
  </si>
  <si>
    <t>斩犬</t>
  </si>
  <si>
    <t>⾼粱酒;烈酒;烧酒;⻘稞酒;⽼酒（中国蒸馏烈酒）;⽩酒;露酒;清酒;⽩⼲酒（中国⽩酒）;⻩酒</t>
  </si>
  <si>
    <t>美如仙</t>
  </si>
  <si>
    <t>贵州正永和酒业股份有限公司</t>
  </si>
  <si>
    <t>⻘稞酒;露酒;⾼粱酒;烈酒;⽩⼲酒（中国⽩酒）;清酒;⽼酒（中国蒸馏烈酒）;⽩酒;烧酒;⻩酒</t>
  </si>
  <si>
    <t>蕉贝</t>
  </si>
  <si>
    <t>北京蕉贝科技有限公司</t>
  </si>
  <si>
    <t>⻘梅酒;预先混合的酒精饮料（以啤酒为主的除外）;含酒精的充⽓饮料（啤酒除外）;朗姆酒（酒精饮料）;含酒精的饮料（啤酒除外）;含酒精的鸡尾酒混合饮品;葡萄汽酒;起泡⽩葡萄酒;果酒;汽酒</t>
  </si>
  <si>
    <t>浮意</t>
  </si>
  <si>
    <t>上高县精品名烟名酒土特产商行</t>
  </si>
  <si>
    <t>烈酒（饮料）;汽酒;葡萄酒;开胃酒;鸡尾酒;酒精饮料（啤酒除外）;⽩酒;⻩酒;⽶酒;果酒（含酒精）</t>
  </si>
  <si>
    <t>吉林省长想酒业有限公司</t>
  </si>
  <si>
    <t>⾼粱酒;烧酒;⽩酒;⾷⽤酒精;⽶酒;烈酒;果酒;⽼酒（中国蒸馏烈酒）;烧酒（烈酒）;葡萄酒</t>
  </si>
  <si>
    <t>全球梦</t>
  </si>
  <si>
    <t>⽶酒;葡萄酒;烧酒;含⽔果酒精饮料;⽩酒;⽩⼲酒（中国⽩酒）;开胃酒;⻩酒;果酒（含酒精）;清酒（⽇本⽶酒）</t>
  </si>
  <si>
    <t>老天成方圆</t>
  </si>
  <si>
    <t>河北老天成酒业有限公司</t>
  </si>
  <si>
    <t>⻩酒;葡萄酒;⽩兰地;果酒;烧酒（烈酒）;含⽔果酒精饮料;含酒精的⽔果鸡尾酒饮料;烈酒（饮料）;⽩酒;伏特加酒</t>
  </si>
  <si>
    <t>酌谊</t>
  </si>
  <si>
    <t>杭州酱醇供应链有限公司</t>
  </si>
  <si>
    <t>清酒(⽇本⽶酒);烧酒;⻩酒;⽩酒;蒸馏饮料;果酒(含酒精);⽶酒;⾷⽤酒精;酒精饮料(啤酒除外);烈酒(饮料)</t>
  </si>
  <si>
    <t>亭涧</t>
  </si>
  <si>
    <t>吴明深</t>
  </si>
  <si>
    <t>含⽔果酒精饮料;酒精饮料（啤酒除外）;⽩酒;鸡尾酒;⽶酒;⻩酒;⾷⽤酒精;果酒（含酒精）;葡萄酒;⽩兰地</t>
  </si>
  <si>
    <t>三亚精酿啤酒有限公司</t>
  </si>
  <si>
    <t>葡萄酒;⾕物制蒸馏酒精饮料;⽩酒;含⽔果酒精饮料;⻩酒;酒精饮料原汁;烈酒（饮料）;酒精饮料（啤酒除外）;汽酒;烧酒</t>
  </si>
  <si>
    <t>ES SO ES</t>
  </si>
  <si>
    <t>香港嘉龙贸易有限公司</t>
  </si>
  <si>
    <t>威⼠忌;⻨芽威⼠忌;葡萄酒;烈酒;葡萄汽酒;⽩兰地;预先混合的酒精饮料（以啤酒为主的除外）;果酒;甜酒;以葡萄酒为主的饮料</t>
  </si>
  <si>
    <t>梦正圆</t>
  </si>
  <si>
    <t>江苏梦之宴酒业有限公司</t>
  </si>
  <si>
    <t>葡萄酒;⽩酒;烈酒（饮料）;烧酒;预先混合的酒精饮料（以啤酒为主的除外）;利⼝酒;果酒（含酒精）;威⼠忌;⽶酒;⻩酒</t>
  </si>
  <si>
    <t>㵯凰潮</t>
  </si>
  <si>
    <t>李和献</t>
  </si>
  <si>
    <t>⽩酒;⾷⽤酒精;果酒（含酒精）;⽶酒;葡萄酒;酒精饮料（啤酒除外）;⻩酒;烧酒（烈酒）;蒸煮提取物（利⼝酒和烈酒）;开胃酒</t>
  </si>
  <si>
    <t>空带</t>
  </si>
  <si>
    <t>⻩酒;⾼粱酒;⽶酒;⽩酒;鸡尾酒;果酒（含酒精）;酒精饮料（啤酒除外）;伏特加酒;烈酒（饮料）;葡萄酒</t>
  </si>
  <si>
    <t>鹤元初健</t>
  </si>
  <si>
    <t>杜永强</t>
  </si>
  <si>
    <t>烈酒（饮料）;烧酒;果酒（含酒精）;鸡尾酒;⽩酒;甜酒;蜂蜜酒;⽩兰地;⽶酒;葡萄酒</t>
  </si>
  <si>
    <t>燕赵东方烈</t>
  </si>
  <si>
    <t>河北东方烈酒业有限公司</t>
  </si>
  <si>
    <t>⽶酒;⽩酒;烧酒;烈酒;⽼酒（中国蒸馏烈酒）;朝鲜烧酒;葡萄酒;鸡尾酒;⾼粱酒;果酒（含酒精）</t>
  </si>
  <si>
    <t>日之灵</t>
  </si>
  <si>
    <t>⽩酒;⻩酒;葡萄酒;酒精饮料（啤酒除外）;汽酒;烈酒（饮料）;果酒（含酒精）;开胃酒;鸡尾酒;⽶酒</t>
  </si>
  <si>
    <t>乔种水府</t>
  </si>
  <si>
    <t>湖南乔种水府酒业有限责任公司</t>
  </si>
  <si>
    <t>清酒（⽇本⽶酒）;⾼粱酒;⻩酒;⽩酒;甜果酒;含酒精的⽓泡⽔;酒精饮料（啤酒除外）;⽶酒;烧酒;含酒精的饮料（啤酒除外）</t>
  </si>
  <si>
    <t>刘钇宏</t>
  </si>
  <si>
    <t>刘继兰</t>
  </si>
  <si>
    <t>烈酒;蒸馏饮料;⻩酒;⽩酒;酒精饮料（啤酒除外）;⽶酒;清酒;烧酒;果酒;葡萄酒</t>
  </si>
  <si>
    <t>等草香</t>
  </si>
  <si>
    <t>刘丽</t>
  </si>
  <si>
    <t>含⽔果酒精饮料;烈酒;⽶酒;⽩酒;⻩酒;果酒（含酒精）;烧酒;鸡尾酒;酒精饮料（啤酒除外）;葡萄酒</t>
  </si>
  <si>
    <t>SZIHE</t>
  </si>
  <si>
    <t>江阴力民酒业有限公司</t>
  </si>
  <si>
    <t>烈酒（饮料）;⽩酒;果酒;佐餐酒;酒精饮料原汁;葡萄酒;⽩⼲酒（中国⽩酒）;⾼粱酒;含酒精的⽓泡⽔;烈酒</t>
  </si>
  <si>
    <t>牛培宁</t>
  </si>
  <si>
    <t>河南求时商贸有限公司</t>
  </si>
  <si>
    <t>蒸煮提取物（利⼝酒和烈酒）;烈酒（饮料）;⽩酒;果酒（含酒精）;蒸馏饮料;酒精饮料原汁;葡萄酒;含⽔果酒精饮料;⽶酒;⻩酒</t>
  </si>
  <si>
    <t>又见宋元</t>
  </si>
  <si>
    <t>福建中闽映象文化投资有限公司</t>
  </si>
  <si>
    <t>果酒（含酒精）;鸡尾酒;蒸馏饮料;⽩酒;⽩兰地;葡萄酒;蒸煮提取物（利⼝酒和烈酒）;⾷⽤酒精;⽶酒;清酒（⽇本⽶酒）</t>
  </si>
  <si>
    <t>君品铁狮</t>
  </si>
  <si>
    <t>大城县恒德商贸有限公司</t>
  </si>
  <si>
    <t>⾷⽤酒精;清酒;含⽔果酒精饮料;红葡萄酒;⽩酒;⾼粱酒;果酒（含酒精）;⽶酒;烧酒;烈酒</t>
  </si>
  <si>
    <t>醉圣魂</t>
  </si>
  <si>
    <t>杭州苁璟科技发展有限公司</t>
  </si>
  <si>
    <t>果酒（含酒精）;蒸馏饮料;预先混合的酒精饮料（以啤酒为主的除外）;已调味的⻨芽酿制的酒精饮料（啤酒除外）;酒精饮料原汁;蜂蜜酒;⽩酒;烈酒（饮料）;⽶酒;清酒（⽇本⽶酒）</t>
  </si>
  <si>
    <t>邯谊兄弟</t>
  </si>
  <si>
    <t>河北邯谊兄弟文化传媒有限公司</t>
  </si>
  <si>
    <t>烈性⼲酒;烧酒;含酒精的饮料（啤酒除外）;果酒（含酒精）;酒精饮料原汁;葡萄酒;鸡尾酒;⽩⼲酒（中国⽩酒）;蒸煮提取物（利⼝酒和烈酒）;⽩酒</t>
  </si>
  <si>
    <t>鑫富春</t>
  </si>
  <si>
    <t>杭州富阳佳奥食品有限公司</t>
  </si>
  <si>
    <t>⻩酒;葡萄酒;⽶酒;果酒（含酒精）;酒精饮料原汁;鸡尾酒;酒精饮料（啤酒除外）;红葡萄酒;⽩酒;威⼠忌</t>
  </si>
  <si>
    <t>CHENLIH</t>
  </si>
  <si>
    <t>湖南臻礼供应链管理有限公司</t>
  </si>
  <si>
    <t>葡萄酒;⽶酒;⾕物制蒸馏酒精饮料;⻩酒;烧酒;鸡尾酒;威⼠忌;含⽔果酒精饮料;⽩酒;果酒（含酒精）</t>
  </si>
  <si>
    <t>蜜动</t>
  </si>
  <si>
    <t>张爱霞</t>
  </si>
  <si>
    <t>⾼粱酒;伏特加酒;烈酒（饮料）;⽶酒;⻩酒;⽩酒;酒精饮料（啤酒除外）;鸡尾酒;葡萄酒;果酒（含酒精）</t>
  </si>
  <si>
    <t>宏燊烧坊</t>
  </si>
  <si>
    <t>深圳乐果时光贸易有限公司</t>
  </si>
  <si>
    <t>烧酒;⽩酒;⻩酒;开胃酒;⽶酒;鸡尾酒;酒精饮料（啤酒除外）;葡萄酒;伏特加酒;烈酒（饮料）</t>
  </si>
  <si>
    <t>观世</t>
  </si>
  <si>
    <t>河南醇香六粮御液酒业有限公司</t>
  </si>
  <si>
    <t>⽩兰地;⽩酒;酒精饮料（啤酒除外）;烧酒;鸡尾酒;果酒（含酒精）;烈酒（饮料）;⽶酒;葡萄酒;⻩酒</t>
  </si>
  <si>
    <t>青沙山优选</t>
  </si>
  <si>
    <t>河南青沙山餐饮管理有限公司</t>
  </si>
  <si>
    <t>除啤酒外的酒精饮料;烈酒（饮料）;⽩酒;葡萄酒;⻩酒;含酒精的饮料（啤酒除外）;⾷⽤酒精;果酒（含酒精）;酒精饮料浓缩汁;酒精饮料（啤酒除外）</t>
  </si>
  <si>
    <t>重逢宋元</t>
  </si>
  <si>
    <t>鸡尾酒;蒸馏饮料;⽩兰地;⽶酒;葡萄酒;⾷⽤酒精;清酒（⽇本⽶酒）;果酒（含酒精）;蒸煮提取物（利⼝酒和烈酒）;⽩酒</t>
  </si>
  <si>
    <t>道生之</t>
  </si>
  <si>
    <t>无锡大昊商贸有限公司</t>
  </si>
  <si>
    <t>汽酒;⻘稞酒;烧酒;含⽔果酒精饮料;⽩⼲酒（中国⽩酒）;⻩酒;烈酒;⽩酒;⽶酒;葡萄酒</t>
  </si>
  <si>
    <t>领芮</t>
  </si>
  <si>
    <t>香格里拉市领纳酒业有限公司</t>
  </si>
  <si>
    <t>⻘稞酒;蒸馏饮料;烧酒;葡萄酒;⻩酒;果酒（含酒精）;酒精饮料（啤酒除外）;⽶酒;露酒;⽩酒</t>
  </si>
  <si>
    <t>农创谷</t>
  </si>
  <si>
    <t>中禾瑞企（上海）商务服务有限公司</t>
  </si>
  <si>
    <t>威⼠忌;酒精饮料（啤酒除外）;伏特加酒;⽩酒;⻩酒;⽩兰地;果酒（含酒精）;鸡尾酒;葡萄酒;开胃酒</t>
  </si>
  <si>
    <t>RENEWMAN</t>
  </si>
  <si>
    <t>广州力牛文化传播有限公司</t>
  </si>
  <si>
    <t>蒸馏饮料;鸡尾酒;烈酒（饮料）;清酒（⽇本⽶酒）;蒸煮提取物（利⼝酒和烈酒）;⽩兰地;酒精饮料（啤酒除外）;葡萄酒;果酒（含酒精）;威⼠忌</t>
  </si>
  <si>
    <t>迅捷熊猫</t>
  </si>
  <si>
    <t>张飞龙</t>
  </si>
  <si>
    <t>⽩酒;⻩酒;鸡尾酒;⽶酒;烈酒（饮料）;⾷⽤酒精;⽩兰地;酒精饮料（啤酒除外）;威⼠忌;葡萄酒</t>
  </si>
  <si>
    <t>夏洋醇</t>
  </si>
  <si>
    <t>山东夏洋醇酒业有限公司</t>
  </si>
  <si>
    <t>烈酒;鸡尾酒;⽩兰地;⽩酒;伏特加酒;开胃酒;烧酒;果酒;葡萄酒;⽶酒</t>
  </si>
  <si>
    <t>刘千迅</t>
  </si>
  <si>
    <t>上海千迅餐饮管理服务有限公司</t>
  </si>
  <si>
    <t>⽶酒;⽩酒;果酒（含酒精）;⾕物制蒸馏酒精饮料;⽩⼲酒（中国⽩酒）;⽼酒（中国蒸馏烈酒）;杨梅酒;烧酒;⻩酒;含酒精的⽔果鸡尾酒饮料</t>
  </si>
  <si>
    <t>江边牛</t>
  </si>
  <si>
    <t>广州众得利电子商务有限公司</t>
  </si>
  <si>
    <t>⽩兰地;酒精饮料（啤酒除外）;露酒;葡萄酒;蒸煮提取物（利⼝酒和烈酒）;⽩酒;果酒;⽶酒;⻩酒;威⼠忌</t>
  </si>
  <si>
    <t>君行藏马</t>
  </si>
  <si>
    <t>青岛隆海健康产业集团有限公司</t>
  </si>
  <si>
    <t>酒精饮料（啤酒除外）;葡萄酒;汽酒;果酒;⽩兰地;威⼠忌;开胃酒;含酒精的饮料（啤酒除外）;烈酒;⻩酒</t>
  </si>
  <si>
    <t>通运河</t>
  </si>
  <si>
    <t>杨东升</t>
  </si>
  <si>
    <t>⽶酒;苦荞酒;开胃酒;酒精饮料（啤酒除外）;葡萄酒;⻘梅酒;⾼粱酒;⻩酒;果酒（含酒精）;⽩酒</t>
  </si>
  <si>
    <t>现代主角</t>
  </si>
  <si>
    <t>王爱辉</t>
  </si>
  <si>
    <t>⽩酒;烈酒;⽼酒（中国蒸馏烈酒）;果酒;朗姆酒;含酒精的饮料（啤酒除外）;⽩⼲酒（中国⽩酒）;烧酒;葡萄酒;汽酒</t>
  </si>
  <si>
    <t>昆胖碗</t>
  </si>
  <si>
    <t>余智诚</t>
  </si>
  <si>
    <t>⽩酒;果酒（含酒精）;伏特加酒;清酒（⽇本⽶酒）;烧酒;葡萄酒;⽩兰地;酒精饮料（啤酒除外）;⽶酒;开胃酒</t>
  </si>
  <si>
    <t>弥月泉</t>
  </si>
  <si>
    <t>伊犁弥玥泉生物科技有限公司</t>
  </si>
  <si>
    <t>葡萄酒;⽩兰地;果酒（含酒精）;蒸馏饮料;酒精饮料（啤酒除外）;含⽔果酒精饮料;鸡尾酒;威⼠忌;酒精饮料原汁;烈酒（饮料）</t>
  </si>
  <si>
    <t>夷泡红</t>
  </si>
  <si>
    <t>葡萄酒;⾷⽤酒精;⽩酒;果酒（含酒精）;⽶酒;酒精饮料（啤酒除外）;含⽔果酒精饮料;⾕物制蒸馏酒精饮料;开胃酒;烧酒</t>
  </si>
  <si>
    <t>贞誉烧锅</t>
  </si>
  <si>
    <t>烈酒（饮料）;⻩酒;开胃酒;威⼠忌;⽩酒;酒精饮料（啤酒除外）;清酒（⽇本⽶酒）;葡萄酒;果酒（含酒精）;鸡尾酒</t>
  </si>
  <si>
    <t>丛连彪</t>
  </si>
  <si>
    <t>吉林省长春皓月清真肉业股份有限公司</t>
  </si>
  <si>
    <t>葡萄酒;清酒（⽇本⽶酒）;酒精饮料原汁;果酒（含酒精）;⻩酒;⾷⽤酒精;烈酒（饮料）;⽶酒;⽩酒;利⼝酒</t>
  </si>
  <si>
    <t>挺憙功夫</t>
  </si>
  <si>
    <t>佛山市万客来网络科技有限公司</t>
  </si>
  <si>
    <t>鸡尾酒;果酒（含酒精）;⽩兰地;开胃酒;蜂蜜酒;⻩酒;烧酒;蒸馏饮料;葡萄酒;⾕物制蒸馏酒精饮料</t>
  </si>
  <si>
    <t>醉春溪</t>
  </si>
  <si>
    <t>上海勺远实业有限公司</t>
  </si>
  <si>
    <t>果酒（含酒精）;酒精饮料（啤酒除外）;葡萄酒;烧酒;⻩酒;⽢蔗制烈酒;烈酒（饮料）;鸡尾酒;⽶酒;⽩酒</t>
  </si>
  <si>
    <t>京台玳福</t>
  </si>
  <si>
    <t>⻩酒;烈酒（饮料）;果酒（含酒精）;⽩酒;除啤酒外的酒精饮料;葡萄酒;⽩⼲酒（中国⽩酒）;蒸馏饮料;鸡尾酒;由⾕物蒸馏的⽩酒</t>
  </si>
  <si>
    <t>今富春</t>
  </si>
  <si>
    <t>⽩酒;鸡尾酒;⻩酒;果酒（含酒精）;威⼠忌;酒精饮料（啤酒除外）;红葡萄酒;酒精饮料原汁;⽶酒;葡萄酒</t>
  </si>
  <si>
    <t>福瑞太空</t>
  </si>
  <si>
    <t>碧海岩生物科技（海南）有限公司</t>
  </si>
  <si>
    <t>威⼠忌;⻘稞酒;⽩兰地;红葡萄酒;⾷⽤酒精;甜果酒;鸡尾酒;⽶酒;⽩酒;含⽔果酒精饮料</t>
  </si>
  <si>
    <t>硬汉龙哥</t>
  </si>
  <si>
    <t>瀚海龙瀛（海南）贸易有限责任公司</t>
  </si>
  <si>
    <t>酒精饮料（啤酒除外）;果酒（含酒精）;开胃酒;烈酒（饮料）;酒精饮料原汁;酒精饮料浓缩汁;预先混合的酒精饮料（以啤酒为主的除外）;蒸馏饮料;利⼝酒;⽩酒</t>
  </si>
  <si>
    <t>善任</t>
  </si>
  <si>
    <t>刘晶晶410104********0121</t>
  </si>
  <si>
    <t>果酒;⽩酒;苹果酒;烧酒;红葡萄酒;⾷⽤酒精;鸡尾酒;⾼粱酒;除啤酒外的酒精饮料;⻩酒</t>
  </si>
  <si>
    <t>陕商惠</t>
  </si>
  <si>
    <t>宁夏陕商惠供应链管理有限公司</t>
  </si>
  <si>
    <t>含酒精的充⽓饮料（啤酒除外）;⽼酒（中国蒸馏烈酒）;⼲型苹果酒;⽩酒;⾼粱酒;红葡萄酒;⽶酒;含⽔果酒精饮料;果酒;烈酒</t>
  </si>
  <si>
    <t>头马会</t>
  </si>
  <si>
    <t>内蒙古自治区马儿跳跃体育运动有限公司</t>
  </si>
  <si>
    <t>伏特加酒;⽩兰地;果酒（含酒精）;开胃酒;烈酒浓缩汁;葡萄酒;威⼠忌;⽶酒;鸡尾酒;酒精饮料原汁</t>
  </si>
  <si>
    <t>酒精饮料原汁;含酒精的⽓泡⽔;烈酒;烈酒（饮料）;葡萄酒;⾼粱酒;⽩酒;佐餐酒;⽩⼲酒（中国⽩酒）;果酒</t>
  </si>
  <si>
    <t>跍岛</t>
  </si>
  <si>
    <t>四川沛华仁艺食品饮料有限公司</t>
  </si>
  <si>
    <t>含酒精的⽔果鸡尾酒饮料;含酒精的⽓泡⽔;酒精饮料（啤酒除外）;葡萄酒;⽩兰地;含⽔果酒精饮料;⽩酒;果酒（含酒精）;清酒;以葡萄酒为主的饮料</t>
  </si>
  <si>
    <t>YUETENG</t>
  </si>
  <si>
    <t>浙江悦腾信息科技有限公司</t>
  </si>
  <si>
    <t>果酒（含酒精）;⽩兰地;⽶酒;葡萄酒;烧酒;⻩酒;利⼝酒;酒精饮料（啤酒除外）;清酒;⾷⽤酒精</t>
  </si>
  <si>
    <t>侃涧</t>
  </si>
  <si>
    <t>赵森</t>
  </si>
  <si>
    <t>酒精饮料（啤酒除外）;含⽔果酒精饮料;⽩酒;葡萄酒;⾷⽤酒精;鸡尾酒;⽩兰地;⻩酒;⽶酒;果酒（含酒精）</t>
  </si>
  <si>
    <t>弘金龙</t>
  </si>
  <si>
    <t>利川市农竹生态农业发展中心</t>
  </si>
  <si>
    <t>果酒;烧酒;⽶酒;⽩酒;⻩酒;烈酒;威⼠忌;⾷⽤酒精;含⽔果酒精饮料;⾼粱酒</t>
  </si>
  <si>
    <t>品服</t>
  </si>
  <si>
    <t>刘宝山</t>
  </si>
  <si>
    <t>蒸馏饮料;⽶酒;蜂蜜酒;酒精饮料原汁;⽩酒;含⽔果酒精饮料;果酒（含酒精）;⻩酒;汽酒;酒精饮料（啤酒除外）</t>
  </si>
  <si>
    <t>HCBT</t>
  </si>
  <si>
    <t>合创抱团（深圳）科技有限公司</t>
  </si>
  <si>
    <t>葡萄酒;蒸馏饮料;预先混合的酒精饮料（以啤酒为主的除外）;含⽔果酒精饮料;酒精饮料（啤酒除外）;烈酒（饮料）;含酒精的⽔果鸡尾酒饮料;⽩酒;果酒（含酒精）;汽酒</t>
  </si>
  <si>
    <t>崂馔</t>
  </si>
  <si>
    <t>山东光峰伟业电子科技有限公司</t>
  </si>
  <si>
    <t>葡萄酒;酒精饮料（啤酒除外）;清酒（⽇本⽶酒）;伏特加酒;⻩酒;烈酒（饮料）;⽩酒;果酒（含酒精）;⽶酒;蒸煮提取物（利⼝酒和烈酒）</t>
  </si>
  <si>
    <t>微风蜜珀</t>
  </si>
  <si>
    <t>青岛紫珊瑚酒业有限公司</t>
  </si>
  <si>
    <t>开胃酒;烈酒;含⽔果酒精饮料;梨酒;葡萄酒;酒精饮料浓缩汁;汽酒;⽩兰地;果酒;酒精饮料原汁</t>
  </si>
  <si>
    <t>柒俩拾柒酿</t>
  </si>
  <si>
    <t>曾小敏</t>
  </si>
  <si>
    <t>⽶酒;烧酒;清酒（⽇本⽶酒）;⾕物制蒸馏酒精饮料;樱桃酒;开胃酒;⽩酒;含⽔果酒精饮料;果酒（含酒精）;葡萄酒</t>
  </si>
  <si>
    <t>严纯</t>
  </si>
  <si>
    <t>山西天汁然商贸有限公司</t>
  </si>
  <si>
    <t>含⽔果酒精饮料;含酒精⽔果饮料;果酒（含酒精）;葡萄酒;⽩酒;⻩酒;含酒精的⽓泡⽔;苹果酒;烈酒（饮料）;⽶酒</t>
  </si>
  <si>
    <t>今村</t>
  </si>
  <si>
    <t>张小茹</t>
  </si>
  <si>
    <t>汽酒;⽶酒;⻩酒;果酒;⽩酒;葡萄酒;开胃酒;清酒;⾷⽤酒精;甜酒</t>
  </si>
  <si>
    <t>裴福记</t>
  </si>
  <si>
    <t>裴西洲</t>
  </si>
  <si>
    <t>汽酒;果酒（含酒精）;葡萄酒;⽶酒;⽩酒;⻩酒;开胃酒;酒精饮料（啤酒除外）;⾕物制蒸馏酒精饮料;烧酒</t>
  </si>
  <si>
    <t>EVALESS</t>
  </si>
  <si>
    <t>福建新时颖电子商务有限公司</t>
  </si>
  <si>
    <t>果酒（含酒精）;鸡尾酒;烈酒;汽酒;⻩酒;⽩酒;葡萄酒;⽶酒;酒精饮料（啤酒除外）;酒精饮料原汁</t>
  </si>
  <si>
    <t>曲大神</t>
  </si>
  <si>
    <t>果酒;⽶酒;清酒（⽇本⽶酒）;⻘稞酒;含酒精的饮料（啤酒除外）;烈酒（饮料）;⽩酒;葡萄酒;开胃酒;鸡尾酒</t>
  </si>
  <si>
    <t>柒良柒酿</t>
  </si>
  <si>
    <t>⽶酒;烧酒;⽩酒;葡萄酒;清酒（⽇本⽶酒）;开胃酒;樱桃酒;⾕物制蒸馏酒精饮料;含⽔果酒精饮料;果酒（含酒精）</t>
  </si>
  <si>
    <t>植然粹养</t>
  </si>
  <si>
    <t>李朝政</t>
  </si>
  <si>
    <t>甜酒;开胃酒;⽶酒;葡萄酒;⽩酒;⻩酒;果酒;汽酒;清酒;⾷⽤酒精</t>
  </si>
  <si>
    <t>京门圣贤</t>
  </si>
  <si>
    <t>五华区蓦酒百货店</t>
  </si>
  <si>
    <t>⽩酒;⻘稞酒;⻩酒;烈性⼲酒;⽩⼲酒（中国⽩酒）;果酒（含酒精）;⽶酒;⽼酒（中国蒸馏烈酒）;烧酒;酒精饮料（啤酒除外）</t>
  </si>
  <si>
    <t>桃汤</t>
  </si>
  <si>
    <t>重庆江小白品牌管理有限公司</t>
  </si>
  <si>
    <t>果酒（含酒精）;酒精饮料（啤酒除外）;鸡尾酒;威⼠忌;⽶酒;⾼粱酒;烈酒（饮料）;烧酒;葡萄酒;⽩酒</t>
  </si>
  <si>
    <t>曙瑾逍</t>
  </si>
  <si>
    <t>中江县槿宏养殖有限公司</t>
  </si>
  <si>
    <t>葡萄酒;果酒;开胃酒;⽶酒;酒精饮料浓缩汁;含⽔果酒精饮料;⽩酒;鸡尾酒;⻩酒;威⼠忌</t>
  </si>
  <si>
    <t>素又</t>
  </si>
  <si>
    <t>平顶山市启亿网络科技有限公司</t>
  </si>
  <si>
    <t>葡萄酒;威⼠忌;伏特加酒;⽩兰地;朗姆酒;⽩酒;⾷⽤酒精;烈酒（饮料）;果酒（含酒精）;⻩酒</t>
  </si>
  <si>
    <t>成本领鲜</t>
  </si>
  <si>
    <t>聂强</t>
  </si>
  <si>
    <t>果酒（含酒精）;葡萄酒;⽶酒;⻩酒;清酒;⽩酒;蒸馏饮料;含⽔果酒精饮料;蒸煮提取物（利⼝酒和烈酒）;开胃酒</t>
  </si>
  <si>
    <t>金樽琅</t>
  </si>
  <si>
    <t>杨凡</t>
  </si>
  <si>
    <t>开胃酒;酒精饮料（啤酒除外）;⻩酒;烧酒;⽩酒;葡萄酒;利⼝酒;烈酒（饮料）;果酒;⽶酒</t>
  </si>
  <si>
    <t>元气蛮蛮</t>
  </si>
  <si>
    <t>腾想控股集团有限公司</t>
  </si>
  <si>
    <t>汽酒;烈酒（饮料）;开胃酒;⽩兰地;蜂蜜酒;⽩酒;苹果酒;威⼠忌;葡萄酒;清酒（⽇本⽶酒）</t>
  </si>
  <si>
    <t>驿天香</t>
  </si>
  <si>
    <t>河南璐萨实业有限责任公司</t>
  </si>
  <si>
    <t>果酒（含酒精）;蒸馏饮料;⽶酒;酒精饮料（啤酒除外）;⽩酒;清酒（⽇本⽶酒）;烧酒;⻩酒;⾷⽤酒精;烈酒（饮料）</t>
  </si>
  <si>
    <t>海风蜜珀</t>
  </si>
  <si>
    <t>开胃酒;汽酒;梨酒;烈酒;⽩兰地;果酒;酒精饮料原汁;酒精饮料浓缩汁;含⽔果酒精饮料;葡萄酒</t>
  </si>
  <si>
    <t>SEASEE</t>
  </si>
  <si>
    <t>烈酒;梨酒;酒精饮料浓缩汁;果酒;含⽔果酒精饮料;葡萄酒;汽酒;酒精饮料原汁;⽩兰地;开胃酒</t>
  </si>
  <si>
    <t>京门酒州</t>
  </si>
  <si>
    <t>⽶酒;⻩酒;⽩酒;⻘稞酒;⽼酒（中国蒸馏烈酒）;烧酒;烈性⼲酒;⽩⼲酒（中国⽩酒）;酒精饮料（啤酒除外）;果酒（含酒精）</t>
  </si>
  <si>
    <t>京门朱雀</t>
  </si>
  <si>
    <t>酒精饮料（啤酒除外）;⻩酒;⽼酒（中国蒸馏烈酒）;⽩酒;⽩⼲酒（中国⽩酒）;果酒（含酒精）;⽶酒;⻘稞酒;烈性⼲酒;烧酒</t>
  </si>
  <si>
    <t>双籽缘</t>
  </si>
  <si>
    <t>深圳怡通庄园酒业有限公司</t>
  </si>
  <si>
    <t>葡萄酒;烈酒（饮料）;威⼠忌;烧酒;酒精饮料（啤酒除外）;蒸馏饮料;⽩兰地;⽶酒;⽩酒;⻩酒</t>
  </si>
  <si>
    <t>琅府井</t>
  </si>
  <si>
    <t>⻩酒;葡萄酒;开胃酒;利⼝酒;⽶酒;果酒;烈酒（饮料）;酒精饮料（啤酒除外）;⽩酒;烧酒</t>
  </si>
  <si>
    <t>酒都井</t>
  </si>
  <si>
    <t>汝阳县田丰农机销售有限公司</t>
  </si>
  <si>
    <t>⽩酒;⽩兰地;威⼠忌;朗姆酒;伏特加酒;⾷⽤酒精;葡萄酒;⻩酒;⽶酒;开胃酒</t>
  </si>
  <si>
    <t>伴山牛</t>
  </si>
  <si>
    <t>刘佳益</t>
  </si>
  <si>
    <t>利⼝酒;⾕物制蒸馏酒精饮料;开胃酒;果酒;⽩酒;露酒;⽶酒;葡萄酒;烈酒;鸡尾酒</t>
  </si>
  <si>
    <t>帝龙岁</t>
  </si>
  <si>
    <t>胡宪亮</t>
  </si>
  <si>
    <t>葡萄酒;威⼠忌;⽩⼲酒（中国⽩酒）;鸡尾酒;果酒（含酒精）;⽶酒;⽩酒;酒精饮料（啤酒除外）;伏特加酒;⻩酒</t>
  </si>
  <si>
    <t>口里人山河</t>
  </si>
  <si>
    <t>张家口福淼酒业有限公司</t>
  </si>
  <si>
    <t>⽩酒;开胃酒;鸡尾酒;葡萄酒;威⼠忌;果酒（含酒精）;⻩酒;烈酒（饮料）;酒精饮料（啤酒除外）;伏特加酒</t>
  </si>
  <si>
    <t>戎马盖世</t>
  </si>
  <si>
    <t>卢剑平</t>
  </si>
  <si>
    <t>开胃酒;葡萄酒;⻩酒;鸡尾酒;⽩酒;烈酒;清酒（⽇本⽶酒）;果酒（含酒精）;威⼠忌;酒精饮料（啤酒除外）</t>
  </si>
  <si>
    <t>牛晓东</t>
  </si>
  <si>
    <t>甜酒;⻩酒;⽩葡萄酒;⽩酒;清酒;果酒（含酒精）;⽩⼲酒（中国⽩酒）;⽶酒;鸡尾酒;⽔果汽酒</t>
  </si>
  <si>
    <t>扭扭鹅</t>
  </si>
  <si>
    <t>深圳鼎奢国际品牌管理有限公司</t>
  </si>
  <si>
    <t>⻩酒;果酒（含酒精）;蒸馏饮料;葡萄酒;⽩酒;⽩兰地;酒精饮料（啤酒除外）;含⽔果酒精饮料;⽶酒;威⼠忌</t>
  </si>
  <si>
    <t>南洲七九</t>
  </si>
  <si>
    <t>湖南南洲酒业有限公司</t>
  </si>
  <si>
    <t>⽩酒;烧酒;⻘稞酒;⽶酒;烈酒（饮料）;葡萄酒;酒精饮料原汁;预先混合的酒精饮料（以啤酒为主的除外）;果酒（含酒精）;⻩酒</t>
  </si>
  <si>
    <t>微风兰珀</t>
  </si>
  <si>
    <t>酒精饮料浓缩汁;葡萄酒;烈酒;酒精饮料原汁;梨酒;⽩兰地;果酒;开胃酒;汽酒;含⽔果酒精饮料</t>
  </si>
  <si>
    <t>张万举</t>
  </si>
  <si>
    <t>⻩酒;酒精饮料（啤酒除外）;酒精饮料原汁;果酒（含酒精）;鸡尾酒;⽶酒;葡萄酒;伏特加酒;⽩酒;⾕物制蒸馏酒精饮料</t>
  </si>
  <si>
    <t>深爽</t>
  </si>
  <si>
    <t>深圳深爽文化科技有限公司</t>
  </si>
  <si>
    <t>葡萄酒;清酒（⽇本⽶酒）;果酒（含酒精）;⻩酒;烈酒（饮料）;⽩酒;威⼠忌;⽶酒;烧酒;鸡尾酒</t>
  </si>
  <si>
    <t>华三叔</t>
  </si>
  <si>
    <t>伏特加酒;⽩⼲酒（中国⽩酒）;⽶酒;葡萄酒;鸡尾酒;⽩酒;威⼠忌;酒精饮料（啤酒除外）;⻩酒;果酒（含酒精）</t>
  </si>
  <si>
    <t>田园犬</t>
  </si>
  <si>
    <t>葡萄酒;烈酒（饮料）;威⼠忌;酒精饮料（啤酒除外）;果酒（含酒精）;⾼粱酒;鸡尾酒;⽶酒;烧酒;⽩酒</t>
  </si>
  <si>
    <t>苏卡苏</t>
  </si>
  <si>
    <t>山东中博酩悦酒业有限公司</t>
  </si>
  <si>
    <t>鸡尾酒;⽩酒;开胃酒;葡萄酒;果酒（含酒精）;⽶酒;⽩兰地;利⼝酒;含⽔果酒精饮料;烧酒</t>
  </si>
  <si>
    <t>颜艺明</t>
  </si>
  <si>
    <t>葡萄酒;⽩酒;鸡尾酒;烧酒;⽶酒;果酒;清酒（⽇本⽶酒）;⻩酒;甜酒;威⼠忌</t>
  </si>
  <si>
    <t>帅仙</t>
  </si>
  <si>
    <t>预先混合的酒精饮料（以啤酒为主的除外）;⽩酒;⾼粱酒;酒精饮料（啤酒除外）;鸡尾酒;果酒;葡萄酒;烧酒;⾷⽤酒精;⽶酒</t>
  </si>
  <si>
    <t>海风兰珀</t>
  </si>
  <si>
    <t>果酒;酒精饮料原汁;烈酒;⽩兰地;梨酒;开胃酒;酒精饮料浓缩汁;葡萄酒;汽酒;含⽔果酒精饮料</t>
  </si>
  <si>
    <t>京门凤凰</t>
  </si>
  <si>
    <t>酒精饮料（啤酒除外）;⽩酒;⽶酒;烧酒;⻩酒;果酒（含酒精）;烈性⼲酒;⽩⼲酒（中国⽩酒）;⽼酒（中国蒸馏烈酒）;⻘稞酒</t>
  </si>
  <si>
    <t>守盛</t>
  </si>
  <si>
    <t>厦门守盛网络科技有限责任公司</t>
  </si>
  <si>
    <t>默迪卡</t>
  </si>
  <si>
    <t>河南曼诗威贸易有限公司</t>
  </si>
  <si>
    <t>利⼝酒;⽩兰地;红葡萄酒;甜酒;⽩葡萄酒;鸡尾酒;葡萄酒;果酒;威⼠忌</t>
  </si>
  <si>
    <t>世王鹿</t>
  </si>
  <si>
    <t>世伟工贸集团有限公司</t>
  </si>
  <si>
    <t>含⽔果酒精饮料;蒸煮提取物（利⼝酒和烈酒）;烧酒;⽩兰地;蒸馏饮料;利⼝酒;果酒（含酒精）;葡萄酒;酒精饮料（啤酒除外）;⽩酒</t>
  </si>
  <si>
    <t>拾花海</t>
  </si>
  <si>
    <t>烧酒;鸡尾酒;开胃酒;⽶酒;樱桃酒;⽩酒;⻩酒;梨酒;葡萄酒</t>
  </si>
  <si>
    <t>恺罗思</t>
  </si>
  <si>
    <t>凯洛思酒庄有限责任公司</t>
  </si>
  <si>
    <t>⻘稞酒;蒸煮提取物（利⼝酒和烈酒）;葡萄酒;⽩酒;果酒（含酒精）;鸡尾酒;利⼝酒;伏特加酒;以葡萄酒为主的饮料;⽩兰地</t>
  </si>
  <si>
    <t>康仁礼行</t>
  </si>
  <si>
    <t>苏州康仁新传媒有限公司</t>
  </si>
  <si>
    <t>鸡尾酒;⽶酒;烈酒（饮料）;烧酒;⻩酒;汽酒;餐后酒（利⼝酒和烈酒）;⽩兰地;葡萄酒;⽩酒</t>
  </si>
  <si>
    <t>郑乖乖</t>
  </si>
  <si>
    <t>杨世文</t>
  </si>
  <si>
    <t>果酒（含酒精）;威⼠忌;⽢蔗制酒精饮料;⻩酒;烧酒;⽶酒;⽩酒;葡萄酒;朝鲜族⽶酒;烈酒（饮料）</t>
  </si>
  <si>
    <t>筑春龙</t>
  </si>
  <si>
    <t>陈志强</t>
  </si>
  <si>
    <t>酒精饮料原汁;烧酒;⽩兰地;以葡萄酒为主的饮料;⽢蔗制酒精饮料;含酒精的饮料（啤酒除外）;⾕物制蒸馏酒精饮料;威⼠忌;鸡尾酒;⽩酒</t>
  </si>
  <si>
    <t>丽瑰微儿</t>
  </si>
  <si>
    <t>上海猛小犸贸易有限公司</t>
  </si>
  <si>
    <t>酒精饮料（啤酒除外）;果酒;⽩兰地;威⼠忌;葡萄酒</t>
  </si>
  <si>
    <t>2024/07/12</t>
  </si>
  <si>
    <t>贵州圣都药业有限公司</t>
  </si>
  <si>
    <t>⻩酒;烧酒;烈酒;⾼粱酒;⽩酒;⾷⽤酒精;⽶酒;清酒;果酒;甜酒</t>
  </si>
  <si>
    <t>楚云深</t>
  </si>
  <si>
    <t>河北西江月文化艺术发展有限公司</t>
  </si>
  <si>
    <t>⽶酒;⻩酒;果酒（含酒精）;甜酒;酒精饮料（啤酒除外）;烈酒（饮料）;清酒（⽇本⽶酒）;烧酒;⽩酒;葡萄酒</t>
  </si>
  <si>
    <t>金翁寿</t>
  </si>
  <si>
    <t>何梦圆</t>
  </si>
  <si>
    <t>⽩酒;清酒（⽇本⽶酒）;⽶酒;烧酒;露酒;烈酒;⽩⼲酒（中国⽩酒）;⻩酒;⻘稞酒;⻘梅酒</t>
  </si>
  <si>
    <t>吾岳独尊</t>
  </si>
  <si>
    <t>中外古今酒业（潍坊）有限公司</t>
  </si>
  <si>
    <t>果酒（含酒精）;伏特加酒;⻩酒;⾷⽤酒精;朗姆酒;酒精饮料（啤酒除外）;⽶酒;葡萄酒;⽩兰地;⽩酒</t>
  </si>
  <si>
    <t>茜裬</t>
  </si>
  <si>
    <t>丹东金钢石化有限公司</t>
  </si>
  <si>
    <t>烧酒;⽩酒;清酒;刺五加酒;葡萄酒;果酒（含酒精）;威⼠忌;⽶酒;酒精饮料（啤酒除外）;鸡尾酒</t>
  </si>
  <si>
    <t>郑加鸿</t>
  </si>
  <si>
    <t>含⽔果酒精饮料;烈酒（饮料）;⽩兰地;酒精饮料（啤酒除外）;烧酒;蒸馏饮料;⽶酒;葡萄酒;果酒（含酒精）;⽩酒</t>
  </si>
  <si>
    <t>金玉阳</t>
  </si>
  <si>
    <t>且末县玉沙液酒厂</t>
  </si>
  <si>
    <t>伏特加酒;⽶酒;威⼠忌;果酒（含酒精）;⻩酒;酒精饮料（啤酒除外）;⻘稞酒;⽩酒;⽩兰地;葡萄酒</t>
  </si>
  <si>
    <t>龙楠台</t>
  </si>
  <si>
    <t>世台科技集团有限公司</t>
  </si>
  <si>
    <t>葡萄酒;果酒（含酒精）;⽩酒;烧酒;⽢蔗制烈酒;⻩酒;鸡尾酒;酒精饮料（啤酒除外）;烈酒（饮料）;⽶酒</t>
  </si>
  <si>
    <t>巫寨 食</t>
  </si>
  <si>
    <t>巫建军</t>
  </si>
  <si>
    <t>预先混合的酒精饮料（以啤酒为主的除外）;开胃酒;葡萄酒;烧酒;⻩酒;果酒（含酒精）;烈酒（饮料）;⽶酒;⾕物制蒸馏酒精饮料;⽩酒</t>
  </si>
  <si>
    <t>贤贵妃</t>
  </si>
  <si>
    <t>张亚</t>
  </si>
  <si>
    <t>万羿酒坊</t>
  </si>
  <si>
    <t>海口龙华区舟炫食品经营部（个体工商户）</t>
  </si>
  <si>
    <t>汽酒;⽼酒（中国蒸馏烈酒）;梅酒;威⼠忌;⽶酒;⻩酒;果酒;⽩酒;烧酒;葡萄酒</t>
  </si>
  <si>
    <t>矜澊浀</t>
  </si>
  <si>
    <t>广州世航国际货运代理有限公司</t>
  </si>
  <si>
    <t>⽩酒;蒸馏⽶酒（泡盛酒）;⽼酒（中国蒸馏烈酒）;清酒（⽇本⽶酒）;⾼粱酒;⻘稞酒;果酒（含酒精）;⽩⼲酒（中国⽩酒）;⽶酒;烧酒</t>
  </si>
  <si>
    <t>古匠乐</t>
  </si>
  <si>
    <t>何梦贺</t>
  </si>
  <si>
    <t>清酒（⽇本⽶酒）;⽶酒;⻘稞酒;烧酒;⻩酒;露酒;⽩酒;⻘梅酒;⽩⼲酒（中国⽩酒）;烈酒</t>
  </si>
  <si>
    <t>廊洽食光</t>
  </si>
  <si>
    <t>廊坊临空资产运营管理有限公司</t>
  </si>
  <si>
    <t>⽩酒;鸡尾酒;果酒（含酒精）;苹果酒;⻩酒;⻘稞酒;清酒（⽇本⽶酒）;烈酒（饮料）;⽶酒;葡萄酒</t>
  </si>
  <si>
    <t>弘吉康</t>
  </si>
  <si>
    <t>广州圣济康生物科技有限公司</t>
  </si>
  <si>
    <t>蒸馏饮料;苦味酒;葡萄酒;⽶酒;汽酒;薄荷酒;开胃酒;鸡尾酒;烈酒（饮料）;⾷⽤酒精</t>
  </si>
  <si>
    <t>曦匠坊</t>
  </si>
  <si>
    <t>廊坊旭源商贸有限公司</t>
  </si>
  <si>
    <t>蒸馏饮料;酒精饮料（啤酒除外）;果酒（含酒精）;⽩酒;威⼠忌;蒸煮提取物（利⼝酒和烈酒）;烧酒;葡萄酒;⽶酒;⻩酒</t>
  </si>
  <si>
    <t>成功町</t>
  </si>
  <si>
    <t>邱增好</t>
  </si>
  <si>
    <t>清酒（⽇本⽶酒）;⽩酒;烧酒;开胃酒;酒精饮料（啤酒除外）;葡萄酒;蜂蜜酒;⻩酒;鸡尾酒;果酒（含酒精）</t>
  </si>
  <si>
    <t>传世艺宫</t>
  </si>
  <si>
    <t>⽩酒;葡萄酒;烈酒（饮料）;⻩酒;烧酒;⽢蔗制烈酒;果酒（含酒精）;⽶酒;酒精饮料（啤酒除外）;鸡尾酒</t>
  </si>
  <si>
    <t>蓝源水业有限公司</t>
  </si>
  <si>
    <t>⽶酒;烈酒（饮料）;鸡尾酒;⻩酒;烧酒;果酒（含酒精）;开胃酒;酒精饮料（啤酒除外）;苹果酒;⽩酒</t>
  </si>
  <si>
    <t>MAESI</t>
  </si>
  <si>
    <t>广州尉涞酒业有限公司</t>
  </si>
  <si>
    <t>烧酒;鸡尾酒;威⼠忌;⽩酒;蒸馏饮料;酒精饮料（啤酒除外）;葡萄酒;⽶酒;果酒（含酒精）;烈酒（饮料）</t>
  </si>
  <si>
    <t>工讯</t>
  </si>
  <si>
    <t>田华昌</t>
  </si>
  <si>
    <t>⽶酒;蒸馏饮料;⾕物制蒸馏酒精饮料;酒精饮料（啤酒除外）;⽩酒;威⼠忌;⻩酒;果酒（含酒精）;烧酒;葡萄酒</t>
  </si>
  <si>
    <t>金富泰</t>
  </si>
  <si>
    <t>何梦娇</t>
  </si>
  <si>
    <t>⽶酒;⻘稞酒;烈酒;清酒（⽇本⽶酒）;⻘梅酒;露酒;⽩⼲酒（中国⽩酒）;⽩酒;烧酒;⻩酒</t>
  </si>
  <si>
    <t>初届</t>
  </si>
  <si>
    <t>威⼠忌;⽩酒;果酒（含酒精）;葡萄酒;蒸馏饮料;⽶酒;⻩酒;烧酒;⾕物制蒸馏酒精饮料;酒精饮料（啤酒除外）</t>
  </si>
  <si>
    <t>浪淘泉</t>
  </si>
  <si>
    <t>谷海翔</t>
  </si>
  <si>
    <t>酒精饮料（啤酒除外）;⽶酒;⽩酒;⽩葡萄酒;⾼粱酒;⽼酒（中国蒸馏烈酒）;果酒;利⼝酒;烧酒;烈酒</t>
  </si>
  <si>
    <t>无阻</t>
  </si>
  <si>
    <t>酒精饮料（啤酒除外）;烧酒;⽩酒;⽩葡萄酒;⾼粱酒;⽼酒（中国蒸馏烈酒）;利⼝酒;烈酒;⽶酒;果酒</t>
  </si>
  <si>
    <t>夏核泰慕木萨力斯</t>
  </si>
  <si>
    <t>木台力甫·木尼亚孜</t>
  </si>
  <si>
    <t>预先混合的酒精饮料（以啤酒为主的除外）;果酒（含酒精）;薄荷酒;葡萄酒;酒精饮料（啤酒除外）;樱桃酒;酒精饮料浓缩汁;鸡尾酒;酒精饮料原汁;含⽔果酒精饮料</t>
  </si>
  <si>
    <t>碗之吻</t>
  </si>
  <si>
    <t>襄阳华正旅游开发有限公司</t>
  </si>
  <si>
    <t>⽩酒;⾕物制蒸馏酒精饮料;烧酒;鸡尾酒;⻩酒;烈酒（饮料）;果酒（含酒精）;⽶酒;酒精饮料（啤酒除外）;开胃酒</t>
  </si>
  <si>
    <t>鼓盏</t>
  </si>
  <si>
    <t>卢锦洪</t>
  </si>
  <si>
    <t>⽢蔗制烈酒;⽩酒;⽩兰地;烧酒;⽶酒;⽼酒（中国蒸馏烈酒）;烈酒;威⼠忌;⾼粱酒;朗姆酒</t>
  </si>
  <si>
    <t>骋先景</t>
  </si>
  <si>
    <t>瑞和酒业（山东）有限公司</t>
  </si>
  <si>
    <t>葡萄酒;烈酒（饮料）;清酒（⽇本⽶酒）;⽶酒;⻩酒;⽩酒;酒精饮料（啤酒除外）;果酒（含酒精）;鸡尾酒;烧酒（烈酒）</t>
  </si>
  <si>
    <t>酒遇良才</t>
  </si>
  <si>
    <t>佑臻锦泰(盐城)生物科技有限公司</t>
  </si>
  <si>
    <t>葡萄酒;烈酒（饮料）;烧酒;⽩酒;果酒（含酒精）;含⽔果酒精饮料;果酒;⻩酒;蒸馏饮料;酒精饮料原汁</t>
  </si>
  <si>
    <t>茹清王</t>
  </si>
  <si>
    <t>山西九如海酒业有限公司</t>
  </si>
  <si>
    <t>威⼠忌;果酒;⽶酒;⽩酒;烧酒;⻩酒;⽩兰地;鸡尾酒;蒸馏饮料;葡萄酒</t>
  </si>
  <si>
    <t>起旌</t>
  </si>
  <si>
    <t>中国国联集团有限公司</t>
  </si>
  <si>
    <t>⽼酒（中国蒸馏烈酒）;⾼粱酒;⽩酒;⽶酒;烧酒;⽩兰地;威⼠忌;⻩酒;烈酒;清酒</t>
  </si>
  <si>
    <t>云美森</t>
  </si>
  <si>
    <t>刘如美</t>
  </si>
  <si>
    <t>酸酒（低等葡萄酒）;葡萄酒;⽶酒;烧酒;红葡萄酒;⻩酒;汽酒;果酒（含酒精）;甜酒;⽩酒</t>
  </si>
  <si>
    <t>会邦</t>
  </si>
  <si>
    <t>⽶酒;蒸馏饮料;威⼠忌;⻩酒;葡萄酒;⾕物制蒸馏酒精饮料;酒精饮料（啤酒除外）;⽩酒;果酒（含酒精）;烧酒</t>
  </si>
  <si>
    <t>力从心</t>
  </si>
  <si>
    <t>朱雪娜</t>
  </si>
  <si>
    <t>酒精饮料（啤酒除外）;露酒;鸡尾酒;烈酒（饮料）;烧酒;⽩酒;⽶酒;果酒;⽩⼲酒（中国⽩酒）;⽼酒（中国蒸馏烈酒）</t>
  </si>
  <si>
    <t>地球碗</t>
  </si>
  <si>
    <t>⾕物制蒸馏酒精饮料;酒精饮料（啤酒除外）;鸡尾酒;开胃酒;烧酒;⽶酒;果酒（含酒精）;⽩酒;烈酒（饮料）;⻩酒</t>
  </si>
  <si>
    <t>净芙哲学</t>
  </si>
  <si>
    <t>武汉二十四桥生物科技有限公司</t>
  </si>
  <si>
    <t>⽩酒;汽酒;⽔果汽酒;酒精饮料（啤酒除外）;含酒精的⽔果鸡尾酒饮料;果酒;以朗姆酒为主的饮料;⻩酒;清酒;红葡萄酒</t>
  </si>
  <si>
    <t>金寿贺</t>
  </si>
  <si>
    <t>刘庆超</t>
  </si>
  <si>
    <t>清酒（⽇本⽶酒）;烧酒;⻘梅酒;露酒;⽩⼲酒（中国⽩酒）;⽶酒;⽩酒;⻘稞酒;烈酒;⻩酒</t>
  </si>
  <si>
    <t>金康裕</t>
  </si>
  <si>
    <t>⽩酒;烧酒;清酒（⽇本⽶酒）;⻘梅酒;⽶酒;露酒;⻘稞酒;⽩⼲酒（中国⽩酒）;⻩酒;烈酒</t>
  </si>
  <si>
    <t>龙运鲤</t>
  </si>
  <si>
    <t>北京酒香天下科技有限公司</t>
  </si>
  <si>
    <t>酒精饮料（啤酒除外）;鸡尾酒;⻩酒;烈酒;果酒（含酒精）;⽩酒;开胃酒;葡萄酒;清酒（⽇本⽶酒）;威⼠忌</t>
  </si>
  <si>
    <t>九福纪</t>
  </si>
  <si>
    <t>李芷晴</t>
  </si>
  <si>
    <t>果酒（含酒精）;葡萄酒;⽩酒;鸡尾酒;⻩酒;烈酒;开胃酒;酒精饮料（啤酒除外）;清酒（⽇本⽶酒）;威⼠忌</t>
  </si>
  <si>
    <t>蒂云</t>
  </si>
  <si>
    <t>上海蒂云天下能源集团有限公司</t>
  </si>
  <si>
    <t>⽶酒;除啤酒外的酒精饮料;以葡萄酒为主的饮料;⻩酒;含⽔果酒精饮料;甜果酒;天然汽酒;果酒;⽩酒;烧酒</t>
  </si>
  <si>
    <t>洪浒湾</t>
  </si>
  <si>
    <t>葡萄酒;烈酒（饮料）;烧酒;⽩酒;利⼝酒;预先混合的酒精饮料（以啤酒为主的除外）;果酒（含酒精）;⻩酒;⽶酒;威⼠忌</t>
  </si>
  <si>
    <t>玺九村</t>
  </si>
  <si>
    <t>李志芬</t>
  </si>
  <si>
    <t>果酒（含酒精）;⻩酒;⽩酒;开胃酒;清酒（⽇本⽶酒）;烈酒;葡萄酒;威⼠忌;鸡尾酒;酒精饮料（啤酒除外）</t>
  </si>
  <si>
    <t>瑞祥凤舞九天</t>
  </si>
  <si>
    <t>深圳市凤舞九天酒业有限公司</t>
  </si>
  <si>
    <t>阿蒙蒂拉多⽩葡萄酒;苦荞酒;由⾕物蒸馏的⽩酒;甜酒;五加⽪酒（中国混合烈酒）;烈性⼲酒;⾼粱酒;⽼酒（中国蒸馏烈酒）;⽩葡萄酒;红葡萄酒</t>
  </si>
  <si>
    <t>康小忆</t>
  </si>
  <si>
    <t>四川泸州风雪两江酒业有限公司</t>
  </si>
  <si>
    <t>⽩酒;开胃酒;⻩酒;烧酒;⽩兰地;果酒（含酒精）;⽶酒;露酒;葡萄酒;烈酒（饮料）</t>
  </si>
  <si>
    <t>伊芮白骏马</t>
  </si>
  <si>
    <t>李国彬</t>
  </si>
  <si>
    <t>⽩酒;露酒;葡萄酒;酒精饮料（啤酒除外）;威⼠忌;蜂蜜酒;烧酒（烈酒）;果酒;⽩兰地;⾼粱酒</t>
  </si>
  <si>
    <t>桃卡</t>
  </si>
  <si>
    <t>⽩酒;⽶酒;伏特加酒;烈酒（饮料）;葡萄酒;果酒（含酒精）;⻩酒;酒精饮料（啤酒除外）;鸡尾酒;⾼粱酒</t>
  </si>
  <si>
    <t>由每</t>
  </si>
  <si>
    <t>楼艳纯</t>
  </si>
  <si>
    <t>葡萄酒;⽶酒;⽩酒;烈酒（饮料）;威⼠忌;⻩酒;⾷⽤酒精;开胃酒;鸡尾酒;烧酒</t>
  </si>
  <si>
    <t>蒙云窖王卿</t>
  </si>
  <si>
    <t>山东窖王酒业有限公司</t>
  </si>
  <si>
    <t>⻩酒;葡萄酒;鸡尾酒;果酒（含酒精）;酒精饮料（啤酒除外）;烧酒;开胃酒;⽶酒;烈酒;⽩酒</t>
  </si>
  <si>
    <t>尊醇贤酒</t>
  </si>
  <si>
    <t>贵州酒投酒业发展（集团）有限责任公司</t>
  </si>
  <si>
    <t>果酒（含酒精）;含⽔果酒精饮料;⻘稞酒;⽶酒;⽩酒;葡萄酒;甜果酒;苹果酒;鸡尾酒;⻩酒</t>
  </si>
  <si>
    <t>蒂云天下</t>
  </si>
  <si>
    <t>除啤酒外的酒精饮料;甜果酒;果酒;⽩酒;天然汽酒;⽶酒;烧酒;以葡萄酒为主的饮料;含⽔果酒精饮料;⻩酒</t>
  </si>
  <si>
    <t>盈相思</t>
  </si>
  <si>
    <t>董国兵</t>
  </si>
  <si>
    <t>鸡尾酒;⻩酒;⽩酒;果酒（含酒精）;烧酒;烈酒（饮料）;酒精饮料（啤酒除外）;酒精饮料原汁;⽶酒;葡萄酒</t>
  </si>
  <si>
    <t>听空</t>
  </si>
  <si>
    <t>济南平安年生物科技开发有限公司</t>
  </si>
  <si>
    <t>含⽔果酒精饮料;酒精饮料原汁;梨酒;⻩酒;烈酒;烧酒;果酒;⽩酒;⽶酒;蒸煮提取物（利⼝酒和烈酒）</t>
  </si>
  <si>
    <t>BLACK GOOSE</t>
  </si>
  <si>
    <t>王振忠</t>
  </si>
  <si>
    <t>烈酒（饮料）;⻩酒;酒精饮料（啤酒除外）;葡萄酒;伏特加酒;⾼粱酒;⽶酒;果酒（含酒精）;鸡尾酒;⽩酒</t>
  </si>
  <si>
    <t>黔总财</t>
  </si>
  <si>
    <t>袁雷</t>
  </si>
  <si>
    <t>露酒;⽼酒（中国蒸馏烈酒）;⾼粱酒;果酒（含酒精）;⻘稞酒;⽩酒;⽶酒;烧酒;⻩酒;酒精饮料（啤酒除外）</t>
  </si>
  <si>
    <t>哈士忌</t>
  </si>
  <si>
    <t>哈尔滨中塘材料科技有限公司</t>
  </si>
  <si>
    <t>⾕物制蒸馏酒精饮料;果酒（含酒精）;威⼠忌;葡萄酒;鸡尾酒;利⼝酒;朗姆酒;⽩兰地;伏特加酒;⽩酒</t>
  </si>
  <si>
    <t>保伦</t>
  </si>
  <si>
    <t>广东保伦电子股份有限公司</t>
  </si>
  <si>
    <t>开胃酒;果酒（含酒精）;⽶酒;蒸馏饮料;⽩酒;葡萄酒;薄荷酒;⾷⽤酒精;威⼠忌;蒸煮提取物（利⼝酒和烈酒）</t>
  </si>
  <si>
    <t>魏贵妃</t>
  </si>
  <si>
    <t>周恩博</t>
  </si>
  <si>
    <t>⽩酒;酒精饮料（啤酒除外）;餐后酒（利⼝酒和烈酒）;果酒（含酒精）;⻩酒;烈酒（饮料）;烧酒;葡萄酒;酒精饮料原汁;⽶酒</t>
  </si>
  <si>
    <t>垣真凰仕一号</t>
  </si>
  <si>
    <t>浙江恒真酒业有限公司</t>
  </si>
  <si>
    <t>⽶酒;果酒（含酒精）;烧酒;⾷⽤酒精;葡萄酒;⽩酒;烈酒（饮料）;红葡萄酒;酒精饮料（啤酒除外）;酒精饮料浓缩汁</t>
  </si>
  <si>
    <t>雍贵妃</t>
  </si>
  <si>
    <t>赵丽雪</t>
  </si>
  <si>
    <t>酒精饮料（啤酒除外）;⽶酒;⻩酒;烈酒（饮料）;餐后酒（利⼝酒和烈酒）;葡萄酒;果酒（含酒精）;烧酒;酒精饮料原汁;⽩酒</t>
  </si>
  <si>
    <t>垣真猎鹰珍藏</t>
  </si>
  <si>
    <t>烧酒;红葡萄酒;烈酒（饮料）;酒精饮料浓缩汁;酒精饮料（啤酒除外）;葡萄酒;果酒（含酒精）;⽶酒;⾷⽤酒精;⽩酒</t>
  </si>
  <si>
    <t>湘湖蓉</t>
  </si>
  <si>
    <t>深圳市佬潇湘餐饮管理有限公司富康分公司</t>
  </si>
  <si>
    <t>甜酒;蜂蜜酒;草莓酒;果酒;葡萄酒;⾼粱酒;⽩酒;⽶酒;含⽔果酒精饮料;烧酒</t>
  </si>
  <si>
    <t>隆秦</t>
  </si>
  <si>
    <t>徐俊刚</t>
  </si>
  <si>
    <t>⾼粱酒;清酒;葡萄酒;烈酒;果酒（含酒精）;露酒;⽶酒;⻩酒;⽩酒;烧酒</t>
  </si>
  <si>
    <t>法兰乐雅</t>
  </si>
  <si>
    <t>上海酒悦优品商业管理有限公司</t>
  </si>
  <si>
    <t>葡萄酒;酒精饮料（啤酒除外）;鸡尾酒;蜂蜜酒;⾷⽤酒精;烧酒;⻩酒;烈酒（饮料）;酒精饮料原汁;⽩酒</t>
  </si>
  <si>
    <t>KNSF</t>
  </si>
  <si>
    <t>上海晏英信息咨询服务有限公司</t>
  </si>
  <si>
    <t>餐后酒（利⼝酒和烈酒）;威⼠忌;⽩兰地;朗姆酒;果酒（含酒精）;预先混合的酒精饮料（以啤酒为主的除外）;鸡尾酒;葡萄酒;已调味的⻨芽酿制的酒精饮料（啤酒除外）;⽩酒</t>
  </si>
  <si>
    <t>杨丽珍</t>
  </si>
  <si>
    <t>果酒（含酒精）;⽩兰地;⻩酒;⽩酒;鸡尾酒;⽶酒;⻘稞酒;清酒（⽇本⽶酒）;开胃酒;葡萄酒</t>
  </si>
  <si>
    <t>力象</t>
  </si>
  <si>
    <t>广州力象文化传播有限公司</t>
  </si>
  <si>
    <t>⽶酒;葡萄酒;蒸馏饮料;酒精饮料（啤酒除外）;果酒（含酒精）;开胃酒;鸡尾酒;⽩酒;⻩酒;烈酒（饮料）</t>
  </si>
  <si>
    <t>风雪两江</t>
  </si>
  <si>
    <t>开胃酒;葡萄酒;⽩兰地;果酒（含酒精）;烈酒（饮料）;烧酒;⽩酒;露酒;⻩酒;⽶酒</t>
  </si>
  <si>
    <t>KANBLE</t>
  </si>
  <si>
    <t>江苏康缘药业股份有限公司</t>
  </si>
  <si>
    <t>开胃酒;⻩酒;⽩酒;烧酒;酒精饮料（啤酒除外）;利⼝酒;蒸煮提取物（利⼝酒和烈酒）;果酒（含酒精）;葡萄酒;⽶酒</t>
  </si>
  <si>
    <t>华飓</t>
  </si>
  <si>
    <t>李文辉</t>
  </si>
  <si>
    <t>酒精饮料（啤酒除外）;利⼝酒;烧酒;⽩酒;烈酒;威⼠忌;果酒;⽼酒（中国蒸馏烈酒）;⽶酒;⾼粱酒</t>
  </si>
  <si>
    <t>2024/07/13</t>
  </si>
  <si>
    <t>张献民大师</t>
  </si>
  <si>
    <t>江苏沅琛供应链管理有限公司</t>
  </si>
  <si>
    <t>烈酒（饮料）;开胃酒;⻩酒;⽩酒;烧酒;果酒（含酒精）;⽶酒;葡萄酒;鸡尾酒;清酒</t>
  </si>
  <si>
    <t>月土之液</t>
  </si>
  <si>
    <t>合肥茶树花开商贸有限公司</t>
  </si>
  <si>
    <t>⽶酒;葡萄酒;烈酒（饮料）;⽩兰地;⾷⽤酒精;威⼠忌;⽩酒;果酒（含酒精）;酒精饮料原汁;酒精饮料（啤酒除外）</t>
  </si>
  <si>
    <t>桐岭不晚酒</t>
  </si>
  <si>
    <t>杨晓蓉</t>
  </si>
  <si>
    <t>⻩酒;鸡尾酒;⽶酒;⾷⽤酒精;酒精饮料（啤酒除外）;葡萄酒;⽩酒;含⽔果酒精饮料;汽酒;果酒（含酒精）</t>
  </si>
  <si>
    <t>LICENEE 菱信</t>
  </si>
  <si>
    <t>菱信（浙江）环境科技有限公司</t>
  </si>
  <si>
    <t>汽酒;清酒;葡萄酒;⽶酒;果酒;烈酒;酒精饮料（啤酒除外）;烧酒;⽩酒;⻩酒</t>
  </si>
  <si>
    <t>烈稞</t>
  </si>
  <si>
    <t>范朝阳</t>
  </si>
  <si>
    <t>葡萄酒;⾷⽤酒精;果酒（含酒精）;酒精饮料（啤酒除外）;⽩酒;⻩酒;鸡尾酒;⽩兰地;⽶酒;含⽔果酒精饮料</t>
  </si>
  <si>
    <t>真定开元</t>
  </si>
  <si>
    <t>石家庄众达兴商贸有限公司</t>
  </si>
  <si>
    <t>烧酒;酒精饮料（啤酒除外）;⻩酒;蒸煮提取物（利⼝酒和烈酒）;以蒸馏酒为主的开胃酒;⾼粱酒;⽩酒;葡萄酒;⾷⽤酒精;果酒</t>
  </si>
  <si>
    <t>真定隆兴</t>
  </si>
  <si>
    <t>⽩酒;⻩酒;以蒸馏酒为主的开胃酒;烧酒;果酒;⾼粱酒;蒸煮提取物（利⼝酒和烈酒）;葡萄酒;酒精饮料（啤酒除外）;⾷⽤酒精</t>
  </si>
  <si>
    <t>五稻火</t>
  </si>
  <si>
    <t>杜清</t>
  </si>
  <si>
    <t>鸡尾酒;⽩兰地;含⽔果酒精饮料;⾷⽤酒精;⻩酒;酒精饮料（啤酒除外）;⽶酒;果酒（含酒精）;葡萄酒;⽩酒</t>
  </si>
  <si>
    <t>穆魂酒业</t>
  </si>
  <si>
    <t>何鑫汉</t>
  </si>
  <si>
    <t>鸡尾酒;含⽔果酒精饮料;⽩酒;葡萄酒;⽩兰地;酒精饮料（啤酒除外）;⽶酒;⾷⽤酒精;果酒（含酒精）;⻩酒</t>
  </si>
  <si>
    <t>汣必稻</t>
  </si>
  <si>
    <t>全鑫宇</t>
  </si>
  <si>
    <t>葡萄酒;酒精饮料（啤酒除外）;⾷⽤酒精;果酒（含酒精）;⽶酒;⽩酒;⽩兰地;⻩酒;鸡尾酒;含⽔果酒精饮料</t>
  </si>
  <si>
    <t>华汣池</t>
  </si>
  <si>
    <t>窦臣朋</t>
  </si>
  <si>
    <t>鸡尾酒;葡萄酒;⾷⽤酒精;⽩酒;含⽔果酒精饮料;⽶酒;⻩酒;⽩兰地;酒精饮料（啤酒除外）;果酒（含酒精）</t>
  </si>
  <si>
    <t>贵匠业</t>
  </si>
  <si>
    <t>⽩酒;苦荞酒;清酒;饮⽤烈酒;烈酒;杨梅酒;烧酒（烈酒）;⻘稞酒;烧酒;⻘梅酒</t>
  </si>
  <si>
    <t>汣水河</t>
  </si>
  <si>
    <t>含⽔果酒精饮料;葡萄酒;⽶酒;鸡尾酒;果酒（含酒精）;酒精饮料（啤酒除外）;⽩兰地;⾷⽤酒精;⽩酒;⻩酒</t>
  </si>
  <si>
    <t>真定四塔</t>
  </si>
  <si>
    <t>葡萄酒;酒精饮料（啤酒除外）;以蒸馏酒为主的开胃酒;果酒;⾼粱酒;⽩酒;⾷⽤酒精;⻩酒;烧酒;蒸煮提取物（利⼝酒和烈酒）</t>
  </si>
  <si>
    <t>QIANMAI POWER</t>
  </si>
  <si>
    <t>蒋先勇</t>
  </si>
  <si>
    <t>葡萄酒;苦味酒;梨酒;威⼠忌;⽩酒;利⼝酒;烈酒;鸡尾酒;烧酒;果酒（含酒精）</t>
  </si>
  <si>
    <t>五汣丰</t>
  </si>
  <si>
    <t>侯璐瑶</t>
  </si>
  <si>
    <t>鸡尾酒;⻩酒;⾷⽤酒精;酒精饮料（啤酒除外）;⽩酒;果酒（含酒精）;葡萄酒;含⽔果酒精饮料;⽶酒;⽩兰地</t>
  </si>
  <si>
    <t>真定九楼</t>
  </si>
  <si>
    <t>葡萄酒;以蒸馏酒为主的开胃酒;酒精饮料（啤酒除外）;烧酒;蒸煮提取物（利⼝酒和烈酒）;⽩酒;⻩酒;果酒;⾷⽤酒精;⾼粱酒</t>
  </si>
  <si>
    <t>穗岁兴</t>
  </si>
  <si>
    <t>吕彦平</t>
  </si>
  <si>
    <t>果酒（含酒精）;鸡尾酒;⽶酒;⽩酒;⾷⽤酒精;酒精饮料（啤酒除外）;⻩酒;葡萄酒;含⽔果酒精饮料;⽩兰地</t>
  </si>
  <si>
    <t>2024/07/14</t>
  </si>
  <si>
    <t>穗岁喜</t>
  </si>
  <si>
    <t>鸡尾酒;酒精饮料（啤酒除外）;果酒（含酒精）;⽩兰地;⽶酒;⻩酒;⽩酒;葡萄酒;含⽔果酒精饮料;⾷⽤酒精</t>
  </si>
  <si>
    <t>皇廷鹿</t>
  </si>
  <si>
    <t>烈酒（饮料）;⽼酒（中国蒸馏烈酒）;已调味的蒸馏酒;甜酒;⽩酒;果酒（含酒精）;葡萄酒;烧酒;含酒精的饮料（啤酒除外）;清酒</t>
  </si>
  <si>
    <t>寿家乡</t>
  </si>
  <si>
    <t>广西巴马寿家乡健康食品有限公司</t>
  </si>
  <si>
    <t>⽶酒;⽩酒;含⽔果酒精饮料;果酒;⻩酒;⽼酒（中国蒸馏烈酒）;葡萄酒;酒精饮料（啤酒除外）;甜酒;⾕物制蒸馏酒精饮料</t>
  </si>
  <si>
    <t>陶城春</t>
  </si>
  <si>
    <t>臧鑫</t>
  </si>
  <si>
    <t>⽶酒;⻩酒;苹果酒;⽩酒;樱桃酒;⾕物制蒸馏酒精饮料;果酒（含酒精）;葡萄酒;⻘稞酒;烧酒</t>
  </si>
  <si>
    <t>橘周堂</t>
  </si>
  <si>
    <t>化州市巨实农业科技有限公司</t>
  </si>
  <si>
    <t>含⽔果酒精饮料;烧酒;汽酒;⻩酒;烈酒（饮料）;⽩酒;果酒（含酒精）;蜂蜜酒;⽶酒;葡萄酒</t>
  </si>
  <si>
    <t>京奕成</t>
  </si>
  <si>
    <t>蒸馏饮料;鸡尾酒;葡萄酒;威⼠忌;⻩酒;烧酒;⽩酒;果酒（含酒精）;⽩兰地;⽶酒</t>
  </si>
  <si>
    <t>穗岁爱</t>
  </si>
  <si>
    <t>葡萄酒;⽩兰地;⽶酒;⾷⽤酒精;鸡尾酒;含⽔果酒精饮料;酒精饮料（啤酒除外）;⻩酒;果酒（含酒精）;⽩酒</t>
  </si>
  <si>
    <t>寻苏鲜</t>
  </si>
  <si>
    <t>吴小林</t>
  </si>
  <si>
    <t>果酒（含酒精）;葡萄酒;威⼠忌;⽩酒;朗姆酒;⽶酒;⽩兰地;伏特加酒;酒精饮料（啤酒除外）;鸡尾酒</t>
  </si>
  <si>
    <t>和光曌见</t>
  </si>
  <si>
    <t>草木集品（深圳）生活美学传播有限公司</t>
  </si>
  <si>
    <t>⽩酒;果酒（含酒精）;威⼠忌;⻩酒;葡萄酒;⻘稞酒;酒精饮料（啤酒除外）;⽶酒;烧酒;苦味酒</t>
  </si>
  <si>
    <t>碧悦荟</t>
  </si>
  <si>
    <t>哈玛投资（上海）有限公司</t>
  </si>
  <si>
    <t>⽩酒;威⼠忌;果酒（含酒精）;葡萄酒;⻩酒;开胃酒;苹果酒;汽酒;烧酒;苦味酒</t>
  </si>
  <si>
    <t>九龙毅</t>
  </si>
  <si>
    <t>王宝珍</t>
  </si>
  <si>
    <t>⽶酒;烧酒;⽩酒;酒精饮料（啤酒除外）;含酒精的⽓泡⽔;⻩酒;⽩⼲酒（中国⽩酒）;葡萄酒;果酒;汽酒</t>
  </si>
  <si>
    <t>风雅美</t>
  </si>
  <si>
    <t>清酒;果酒（含酒精）;露酒;葡萄酒;烧酒;⽩酒;⾼粱酒;⻩酒;烈酒;⽶酒</t>
  </si>
  <si>
    <t>万李河</t>
  </si>
  <si>
    <t>吴春凤</t>
  </si>
  <si>
    <t>烧酒;鸡尾酒;⽶酒;烈酒（饮料）;酒精饮料（啤酒除外）;果酒（含酒精）;葡萄酒;威⼠忌;⽩酒;⾼粱酒</t>
  </si>
  <si>
    <t>秀酝名门</t>
  </si>
  <si>
    <t>徐海伦</t>
  </si>
  <si>
    <t>开胃酒;葡萄酒;以葡萄酒为主的饮料;蒸馏饮料;⽩酒;含⽔果酒精饮料;⽶酒;朗姆酒;酒精饮料（啤酒除外）;威⼠忌</t>
  </si>
  <si>
    <t>满叶同树</t>
  </si>
  <si>
    <t>东莞满叶同树科技有限公司</t>
  </si>
  <si>
    <t>清酒;鸡尾酒;葡萄酒;威⼠忌;⽩酒;以蒸馏酒为主的开胃酒;烧酒（烈酒）;⻘稞酒;果酒（含酒精）;⽶酒</t>
  </si>
  <si>
    <t>雅勤醇</t>
  </si>
  <si>
    <t>曾美金</t>
  </si>
  <si>
    <t>葡萄酒;威⼠忌;蒸馏饮料;烈酒（饮料）;⽶酒;鸡尾酒;含⽔果酒精饮料;⽩酒;酒精饮料（啤酒除外）;朗姆酒</t>
  </si>
  <si>
    <t>黔佳龙豹香</t>
  </si>
  <si>
    <t>朱家领520221********2775</t>
  </si>
  <si>
    <t>⽶酒;蒸馏⽶酒（泡盛酒）;⽩⼲酒（中国⽩酒）;苦味酒;苦荞酒;果酒（含酒精）;⻘稞酒;⽩酒;⾼粱酒;⾕物制蒸馏酒精饮料</t>
  </si>
  <si>
    <t>三晋如玉</t>
  </si>
  <si>
    <t>灵石县晋美满酒业有限公司</t>
  </si>
  <si>
    <t>果酒（含酒精）;酒精饮料（啤酒除外）;烧酒;鸡尾酒;⽩酒;蒸馏饮料;威⼠忌;⽶酒;烈酒（饮料）;葡萄酒</t>
  </si>
  <si>
    <t>尽黔行</t>
  </si>
  <si>
    <t>贵州中岙酒业有限公司</t>
  </si>
  <si>
    <t>酒精饮料（啤酒除外）;蒸馏⽶酒（泡盛酒）;⽼酒（中国蒸馏烈酒）;⽩⼲酒（中国⽩酒）;果酒（含酒精）;⾼粱酒;⾕物制蒸馏酒精饮料;⽩酒;除啤酒外的酒精饮料;烧酒（烈酒）</t>
  </si>
  <si>
    <t>向云上美</t>
  </si>
  <si>
    <t>红葡萄酒;果酒;⻨芽威⼠忌;⾼粱酒;除啤酒外的酒精饮料;由⾕物蒸馏的⽩酒;酒精饮料原汁;⽩酒;威⼠忌;⽔果汽酒</t>
  </si>
  <si>
    <t>2024/07/15</t>
  </si>
  <si>
    <t>铮铮佳露</t>
  </si>
  <si>
    <t>吴铮</t>
  </si>
  <si>
    <t>⾼粱酒;红葡萄酒;梅酒;果酒（含酒精）;⽔果汽酒;苦荞酒;⽶酒;⽩酒;鸡尾酒;烧酒</t>
  </si>
  <si>
    <t>塞外星藤</t>
  </si>
  <si>
    <t>新疆塞外红酒业有限公司</t>
  </si>
  <si>
    <t>⽩酒;苹果酒;酒精饮料原汁;葡萄酒;威⼠忌;⽩兰地;朗姆酒;鸡尾酒;果酒;⽶酒</t>
  </si>
  <si>
    <t>稼轩龙马</t>
  </si>
  <si>
    <t>孙洪政</t>
  </si>
  <si>
    <t>果酒;蒸馏饮料;⽩兰地;酒精饮料（啤酒除外）;利⼝酒;⾼粱酒;烧酒;⽩酒;葡萄酒;⽶酒</t>
  </si>
  <si>
    <t>亿品隆</t>
  </si>
  <si>
    <t>嘉兴亿品隆食品配送服务有限公司</t>
  </si>
  <si>
    <t>果酒（含酒精）;葡萄酒;酒精饮料（啤酒除外）;含⽔果酒精饮料;薄荷酒;威⼠忌;开胃酒;⻩酒;⽩酒;蒸馏饮料</t>
  </si>
  <si>
    <t>宫廷名将</t>
  </si>
  <si>
    <t>贵州一号大院酒庄股份有限公司</t>
  </si>
  <si>
    <t>烈酒（饮料）;果酒（含酒精）;清酒（⽇本⽶酒）;梅酒;酒精饮料（啤酒除外）;露酒;⾼粱酒;⽼酒（中国蒸馏烈酒）;⽩⼲酒（中国⽩酒）;⻩酒;⽶酒</t>
  </si>
  <si>
    <t>乾太樽</t>
  </si>
  <si>
    <t>黄小青</t>
  </si>
  <si>
    <t>⽩酒;威⼠忌;⻩酒;葡萄酒;果酒（含酒精）;伏特加酒;清酒（⽇本⽶酒）;含⽔果酒精饮料;⽶酒;酒精饮料（啤酒除外）</t>
  </si>
  <si>
    <t>安真贞露</t>
  </si>
  <si>
    <t>秦皇岛嘉佰伦酿酒有限责任公司</t>
  </si>
  <si>
    <t>葡萄酒;苦味酒;蒸煮提取物（利⼝酒和烈酒）;清酒;汽酒;果酒（含酒精）;烧酒;含⽜奶的鸡尾酒;酒精饮料（啤酒除外）;含⽔果酒精饮料</t>
  </si>
  <si>
    <t>元梦幻界</t>
  </si>
  <si>
    <t>四川物通科技有限公司</t>
  </si>
  <si>
    <t>⽼酒（中国蒸馏烈酒）;⽶酒;⽩酒;烈酒;⾷⽤酒精;含酒精⽔果饮料;⾼粱酒;酸酒（低等葡萄酒）;烧酒;蒸煮提取物（利⼝酒和烈酒）</t>
  </si>
  <si>
    <t>东来宴</t>
  </si>
  <si>
    <t>贵州省仁怀市郭太傅酒业有限公司</t>
  </si>
  <si>
    <t>汽酒;鸡尾酒;酒精饮料原汁;酒精饮料（啤酒除外）;葡萄酒;⽩兰地;威⼠忌;利⼝酒;⽩酒;预先混合的酒精饮料（以啤酒为主的除外）</t>
  </si>
  <si>
    <t>缔至樽</t>
  </si>
  <si>
    <t>林倩伶</t>
  </si>
  <si>
    <t>⽩兰地;伏特加酒;⾷⽤酒精;⽩酒;⻩酒;⾕物制蒸馏酒精饮料;果酒（含酒精）;⽶酒;烧酒;葡萄酒</t>
  </si>
  <si>
    <t>粤桥牌</t>
  </si>
  <si>
    <t>中山市桥牌酒业有限公司</t>
  </si>
  <si>
    <t>⽩兰地;⽩酒;烈酒（饮料）;威⼠忌;⽶酒;⻩酒;果酒;甜酒;红葡萄酒;烈酒</t>
  </si>
  <si>
    <t>头号马</t>
  </si>
  <si>
    <t>上海酉米酒业有限公司</t>
  </si>
  <si>
    <t>果酒（含酒精）;⻩酒;威⼠忌;葡萄酒;⽩兰地;伏特加酒;烈酒（饮料）;⽩酒;⾷⽤酒精;朗姆酒</t>
  </si>
  <si>
    <t>UNCOMMON PATH 平凡旅途</t>
  </si>
  <si>
    <t>海南富竣进出口贸易有限公司</t>
  </si>
  <si>
    <t>⻩酒;果酒;⽩酒;葡萄酒;除啤酒外的酒精饮料;开胃酒;甜酒;伏特加酒;⽶酒;⾼粱酒</t>
  </si>
  <si>
    <t>SPAETLESE 辉煌云上晚秋</t>
  </si>
  <si>
    <t>北京辉煌云上葡萄酒庄有限公司</t>
  </si>
  <si>
    <t>⽩兰地;开胃酒;⽩酒;以葡萄酒为主的饮料;酒精饮料原汁;餐后酒（利⼝酒和烈酒）;葡萄酒;果酒（含酒精）;酒精饮料（啤酒除外）;酒精饮料浓缩汁</t>
  </si>
  <si>
    <t>永恒隆</t>
  </si>
  <si>
    <t>⽩兰地;⽩酒;蜂蜜酒;含⽔果酒精饮料;鸡尾酒;果酒（含酒精）;葡萄酒;威⼠忌;⽶酒;蒸馏饮料</t>
  </si>
  <si>
    <t>贵小正</t>
  </si>
  <si>
    <t>范广义</t>
  </si>
  <si>
    <t>酒精饮料（啤酒除外）;烈酒（饮料）;葡萄酒;汽酒;清酒（⽇本⽶酒）;⾷⽤酒精;⻩酒;⽩酒;⽶酒;果酒（含酒精）</t>
  </si>
  <si>
    <t>皇中仙 HAUGNZHONGXIAN</t>
  </si>
  <si>
    <t>果酒（含酒精）;⻩酒;威⼠忌;含⽔果酒精饮料;酒精饮料（啤酒除外）;伏特加酒;清酒（⽇本⽶酒）;⽶酒;⽩酒;葡萄酒</t>
  </si>
  <si>
    <t>营乡醇</t>
  </si>
  <si>
    <t>营口市营乡农业种植专业合作社</t>
  </si>
  <si>
    <t>⽶酒;以葡萄酒为主的饮料;烧酒;⾷⽤酒精;⻩酒;⾕物制蒸馏酒精饮料;⻘稞酒;⽩酒;果酒（含酒精）;含⽔果酒精饮料</t>
  </si>
  <si>
    <t>萧县三上生物科技有限公司</t>
  </si>
  <si>
    <t>酸酒（低等葡萄酒）;⽩酒;⽩葡萄酒;⻩酒;⾷⽤酒精;威⼠忌;红葡萄酒;葡萄潘趣酒;草莓酒;果酒（含酒精）</t>
  </si>
  <si>
    <t>稻香纪</t>
  </si>
  <si>
    <t>宜食坊（唐山）食品科技有限公司</t>
  </si>
  <si>
    <t>⽶酒;⾕物制蒸馏酒精饮料;⽩酒;⻩酒;清酒（⽇本⽶酒）;葡萄酒;含⽔果酒精饮料;开胃酒;鸡尾酒;预先混合的酒精饮料（以啤酒为主的除外）</t>
  </si>
  <si>
    <t>心梦之箭</t>
  </si>
  <si>
    <t>天津格林维德科技发展有限公司</t>
  </si>
  <si>
    <t>⻩酒;⽶酒;威⼠忌;⽩酒;⻘稞酒;烧酒;果酒（含酒精）;鸡尾酒;葡萄酒;⽩兰地</t>
  </si>
  <si>
    <t>东海丹哥</t>
  </si>
  <si>
    <t>射阳县合德镇鼎力酒行</t>
  </si>
  <si>
    <t>含⽔果酒精饮料;含酒精的⽓泡⽔;⻩酒;鸡尾酒;威⼠忌;⽩酒;葡萄酒;烧酒;⽶酒;烈酒（饮料）</t>
  </si>
  <si>
    <t>扛钱山</t>
  </si>
  <si>
    <t>临沧建森投资有限公司</t>
  </si>
  <si>
    <t>⽩酒;⽩⼲酒（中国⽩酒）;⾼粱酒;⾕物制蒸馏酒精饮料;酒精饮料原汁;酒精饮料（啤酒除外）;葡萄酒;露酒;⽼酒（中国蒸馏烈酒）;果酒</t>
  </si>
  <si>
    <t>稼轩人杰</t>
  </si>
  <si>
    <t>烧酒;⾼粱酒;⽩兰地;蒸馏饮料;葡萄酒;利⼝酒;⽩酒;酒精饮料（啤酒除外）;果酒;⽶酒</t>
  </si>
  <si>
    <t>翘贾</t>
  </si>
  <si>
    <t>梁隆玮</t>
  </si>
  <si>
    <t>开胃酒;烧酒;⻩酒;蜂蜜酒;葡萄酒;含酒精的⽔果鸡尾酒饮料;蒸馏饮料;⽩酒;⽶酒;果酒（含酒精）</t>
  </si>
  <si>
    <t>喜鼓</t>
  </si>
  <si>
    <t>海南八方财贸易有限责任公司</t>
  </si>
  <si>
    <t>开胃酒;⻘稞酒;⽩酒;威⼠忌;烧酒;⻩酒;鸡尾酒;⽩兰地;清酒（⽇本⽶酒）;⽶酒</t>
  </si>
  <si>
    <t>鹿小蚌</t>
  </si>
  <si>
    <t>固镇县黑哥养殖场</t>
  </si>
  <si>
    <t>露酒</t>
  </si>
  <si>
    <t>弈春秋</t>
  </si>
  <si>
    <t>弈春秋科技（天津）有限责任公司</t>
  </si>
  <si>
    <t>葡萄酒;⽶酒;烈酒（饮料）;烧酒;鸡尾酒;酒精饮料（啤酒除外）;苹果酒;⽩酒;果酒（含酒精）;⻩酒</t>
  </si>
  <si>
    <t>观到</t>
  </si>
  <si>
    <t>张嘉玲</t>
  </si>
  <si>
    <t>果酒（含酒精）;⽩兰地;含酒精⽔果饮料;葡萄酒;⻩酒;⽩酒;威⼠忌;⽶酒;烧酒;⾕物制蒸馏酒精饮料</t>
  </si>
  <si>
    <t>泱沟</t>
  </si>
  <si>
    <t>孔小霞</t>
  </si>
  <si>
    <t>果酒（含酒精）;葡萄酒;⻩酒;⽩兰地;⽩酒;含⽔果酒精饮料;⽶酒;⾷⽤酒精;鸡尾酒;酒精饮料（啤酒除外）</t>
  </si>
  <si>
    <t>炎滔</t>
  </si>
  <si>
    <t>刘宇栋</t>
  </si>
  <si>
    <t>果酒（含酒精）;⾷⽤酒精;⽶酒;⽩兰地;⻩酒;⽩酒;鸡尾酒;葡萄酒;含⽔果酒精饮料;酒精饮料（啤酒除外）</t>
  </si>
  <si>
    <t>龙小尊</t>
  </si>
  <si>
    <t>⽩酒;清酒（⽇本⽶酒）;烈酒（饮料）;⻩酒;汽酒;⾷⽤酒精;酒精饮料（啤酒除外）;⽶酒;葡萄酒;果酒（含酒精）</t>
  </si>
  <si>
    <t>京王渡</t>
  </si>
  <si>
    <t>威⼠忌;果酒（含酒精）;葡萄酒;清酒（⽇本⽶酒）;含⽔果酒精饮料;酒精饮料（啤酒除外）;伏特加酒;⽶酒;⽩酒;⻩酒</t>
  </si>
  <si>
    <t>醒鸟</t>
  </si>
  <si>
    <t>重庆旺满生物科技有限公司</t>
  </si>
  <si>
    <t>⽶酒;⽩⼲酒（中国⽩酒）;⾕物制蒸馏酒精饮料;⽼酒（中国蒸馏烈酒）;酒精饮料原汁;⾷⽤酒精;蜂蜜酒;⽩酒;果酒（含酒精）;烧酒</t>
  </si>
  <si>
    <t>西农人</t>
  </si>
  <si>
    <t>上海徼妙企业服务有限公司</t>
  </si>
  <si>
    <t>⽶酒;利⼝酒;酒精饮料（啤酒除外）;汽酒;含⽔果酒精饮料;⽩兰地;清酒;葡萄酒;⽩酒;蒸煮提取物（利⼝酒和烈酒）</t>
  </si>
  <si>
    <t>礼遇百家</t>
  </si>
  <si>
    <t>贵州同辉酒业有限公司</t>
  </si>
  <si>
    <t>烈酒（饮料）;葡萄酒;烧酒;⽶酒;⻩酒;果酒（含酒精）;清酒（⽇本⽶酒）;鸡尾酒;酒精饮料（啤酒除外）;⽩酒</t>
  </si>
  <si>
    <t>鸾霸</t>
  </si>
  <si>
    <t>亳州客中行酒业有限公司</t>
  </si>
  <si>
    <t>预先混合的酒精饮料（以啤酒为主的除外）;鸡尾酒;奶油利⼝酒;⽩酒;咖啡利⼝酒;利⼝酒;果酒;露酒;甜酒;酒精饮料（啤酒除外）</t>
  </si>
  <si>
    <t>华本菁</t>
  </si>
  <si>
    <t>林容华</t>
  </si>
  <si>
    <t>杜松⼦酒;开胃酒;葡萄酒;预先混合的酒精饮料（以啤酒为主的除外）;苹果酒;酒精饮料（啤酒除外）;⾕物制蒸馏酒精饮料;含⽔果酒精饮料;果酒;蒸馏饮料</t>
  </si>
  <si>
    <t>九皇年</t>
  </si>
  <si>
    <t>含⽔果酒精饮料;果酒（含酒精）;⻩酒;⽩酒;威⼠忌;⽶酒;酒精饮料（啤酒除外）;葡萄酒;清酒（⽇本⽶酒）;伏特加酒</t>
  </si>
  <si>
    <t>XIAO WEI YI HAO</t>
  </si>
  <si>
    <t>王宏320827********4813</t>
  </si>
  <si>
    <t>⽩酒;利⼝酒;葡萄酒;酒精饮料（啤酒除外）;烈酒（饮料）;含⽔果酒精饮料;⽩兰地;威⼠忌;⻩酒;鸡尾酒</t>
  </si>
  <si>
    <t>后统</t>
  </si>
  <si>
    <t>含酒精⽔果饮料;⽶酒;⾕物制蒸馏酒精饮料;⻩酒;威⼠忌;⽩酒;葡萄酒;烧酒;⽩兰地;果酒（含酒精）</t>
  </si>
  <si>
    <t>卓泉</t>
  </si>
  <si>
    <t>北京水芭蕉商贸有限公司</t>
  </si>
  <si>
    <t>烧酒（烈酒）;⽼酒（中国蒸馏烈酒）;葡萄酒;清酒;⻩酒;烧酒;⽩酒;烈酒;⾼粱酒;⽩⼲酒（中国⽩酒）</t>
  </si>
  <si>
    <t>满千秋</t>
  </si>
  <si>
    <t>陈晓雅</t>
  </si>
  <si>
    <t>果酒（含酒精）;⽶酒;⾷⽤酒精;杨梅酒;⾼粱酒;⽩酒;鸡尾酒;葡萄酒;酒精饮料原汁;⻩酒</t>
  </si>
  <si>
    <t>蒙快客</t>
  </si>
  <si>
    <t>内蒙古众和行网络科技有限公司</t>
  </si>
  <si>
    <t>蒸馏饮料;含⽔果酒精饮料;⽩酒;⾼粱酒;清酒;⽶酒;⽼酒（中国蒸馏烈酒）;葡萄酒;烧酒;果酒</t>
  </si>
  <si>
    <t>谭小瑷</t>
  </si>
  <si>
    <t>⽩酒;果酒（含酒精）;除啤酒外的酒精饮料;由⾕物蒸馏的⽩酒;烈酒（饮料）;蒸馏饮料;葡萄酒;⽩⼲酒（中国⽩酒）;鸡尾酒;⻩酒</t>
  </si>
  <si>
    <t>每紫源</t>
  </si>
  <si>
    <t>郑文杰445122********4750</t>
  </si>
  <si>
    <t>⽩酒;⽶酒;苦味酒;蜂蜜酒;果酒（含酒精）;开胃酒;清酒（⽇本⽶酒）;烧酒;烈酒（饮料）;⻩酒</t>
  </si>
  <si>
    <t>泸品康</t>
  </si>
  <si>
    <t>刘新峰</t>
  </si>
  <si>
    <t>⾷⽤酒精;鸡尾酒;葡萄酒;含⽔果酒精饮料;⻩酒;果酒（含酒精）;酒精饮料（啤酒除外）;⽩酒;⽩兰地;⽶酒</t>
  </si>
  <si>
    <t>宛朔</t>
  </si>
  <si>
    <t>郑州宛朔企业管理咨询有限公司</t>
  </si>
  <si>
    <t>鸡尾酒;果酒;清酒;伏特加酒;⻩酒;⽩酒;含酒精的饮料（啤酒除外）;威⼠忌;⽶酒;果酒（含酒精）</t>
  </si>
  <si>
    <t>漕河沐阳</t>
  </si>
  <si>
    <t>保定市青元农业开发有限公司</t>
  </si>
  <si>
    <t>⽩酒;烧酒;果酒（含酒精）;葡萄酒;含⽔果酒精饮料;鸡尾酒;⽶酒;酒精饮料（啤酒除外）;汽酒;烈酒（饮料）</t>
  </si>
  <si>
    <t>石家庄市饭店烹饪行业协会</t>
  </si>
  <si>
    <t>⽩葡萄酒;⽩⼲酒（中国⽩酒）;酒精饮料（啤酒除外）;⽶酒;鸡尾酒;烧酒;红葡萄酒;⾕物制蒸馏酒精饮料;⽩酒;葡萄酒</t>
  </si>
  <si>
    <t>红葡萄酒;⽩葡萄酒;葡萄酒;⽶酒;酒精饮料（啤酒除外）;⾕物制蒸馏酒精饮料;鸡尾酒;⽩酒;⽩⼲酒（中国⽩酒）;烧酒</t>
  </si>
  <si>
    <t>锦霄</t>
  </si>
  <si>
    <t>⻩酒;⾷⽤酒精;烈酒（饮料）;⽩酒;果酒（含酒精）;清酒（⽇本⽶酒）;酒精饮料（啤酒除外）;⽶酒;汽酒;葡萄酒</t>
  </si>
  <si>
    <t>纤草同元</t>
  </si>
  <si>
    <t>刘银山</t>
  </si>
  <si>
    <t>⽶酒;烧酒;⻩酒;威⼠忌;清酒;果酒;鸡尾酒;葡萄酒;⽩⼲酒（中国⽩酒）;⽩酒</t>
  </si>
  <si>
    <t>再见风云</t>
  </si>
  <si>
    <t>果酒（含酒精）;蒸馏饮料;蜂蜜酒;威⼠忌;含⽔果酒精饮料;⽩兰地;葡萄酒;⽶酒;⽩酒;鸡尾酒</t>
  </si>
  <si>
    <t>逸兜兜</t>
  </si>
  <si>
    <t>刘攀</t>
  </si>
  <si>
    <t>烧酒;⻩酒;果酒;葡萄酒;甜酒;⽩酒;清酒（⽇本⽶酒）;⽶酒;杨梅酒;烈酒（饮料）</t>
  </si>
  <si>
    <t>七月之光</t>
  </si>
  <si>
    <t>刘涛</t>
  </si>
  <si>
    <t>葡萄酒;⽶酒;威⼠忌;酒精饮料（啤酒除外）;果酒;蒸馏饮料;鸡尾酒;烧酒;开胃酒;⽩酒</t>
  </si>
  <si>
    <t>中健天运</t>
  </si>
  <si>
    <t>贵州中健昊天企业管理咨询有限公司</t>
  </si>
  <si>
    <t>⽩酒;开胃酒;梨酒;葡萄酒;⻩酒;⽶酒;⾕物制蒸馏酒精饮料;果酒;烈酒;烧酒</t>
  </si>
  <si>
    <t>真苁</t>
  </si>
  <si>
    <t>内蒙古御膳春酒业有限责任公司</t>
  </si>
  <si>
    <t>伏特加酒;果酒（含酒精）;⾕物制蒸馏酒精饮料;烧酒;⽶酒;葡萄酒;⻘稞酒;⻩酒;朗姆酒;⽩酒</t>
  </si>
  <si>
    <t>初渝</t>
  </si>
  <si>
    <t>重庆禧瑞雾都文化旅游发展有限公司</t>
  </si>
  <si>
    <t>果酒（含酒精）;⻩酒;⽩兰地;⽶酒;开胃酒;鸡尾酒;薄荷酒;烧酒;葡萄酒;⽩酒</t>
  </si>
  <si>
    <t>赤核</t>
  </si>
  <si>
    <t>应义锋</t>
  </si>
  <si>
    <t>清酒（⽇本⽶酒）;蒸馏饮料;鸡尾酒;烈酒（饮料）;⻩酒;果酒;果酒（含酒精）;⽩酒;酒精饮料（啤酒除外）;⽩⼲酒（中国⽩酒）</t>
  </si>
  <si>
    <t>环兴万联</t>
  </si>
  <si>
    <t>湖南环兴万联百货有限公司</t>
  </si>
  <si>
    <t>⽶酒;⽩酒;葡萄酒;烧酒;朗姆酒;⻩酒;清酒（⽇本⽶酒）;果酒（含酒精）;含⽔果酒精饮料;开胃酒</t>
  </si>
  <si>
    <t>真域域良醇</t>
  </si>
  <si>
    <t>吴金山622301********8679</t>
  </si>
  <si>
    <t>酒精饮料（啤酒除外）;烧酒;⽶酒;葡萄酒;⻩酒;蒸煮提取物（利⼝酒和烈酒）;⽩酒;开胃酒;果酒（含酒精）;清酒</t>
  </si>
  <si>
    <t>三馥皖</t>
  </si>
  <si>
    <t>刘福登</t>
  </si>
  <si>
    <t>⽼酒（中国蒸馏烈酒）;⽶酒;烧酒;果酒（含酒精）;清酒;露酒;酒精饮料（啤酒除外）;⽩酒;苦荞酒;葡萄酒</t>
  </si>
  <si>
    <t>陶鹿</t>
  </si>
  <si>
    <t>苏金英</t>
  </si>
  <si>
    <t>酒精饮料（啤酒除外）;⻩酒;鸡尾酒;蝮蛇酒;蒸馏饮料;烈酒（饮料）;黑覆盆⼦酒;烧酒;⽩酒;⽶酒</t>
  </si>
  <si>
    <t>溪岩洞</t>
  </si>
  <si>
    <t>北京京饭皖商贸有限公司</t>
  </si>
  <si>
    <t>烧酒;苦味酒;清酒;葡萄酒;烈酒;甜酒;汽酒;⻩酒;⽩酒;⽶酒</t>
  </si>
  <si>
    <t>卓值天禄</t>
  </si>
  <si>
    <t>程清林</t>
  </si>
  <si>
    <t>威⼠忌;苦荞酒;烈酒（饮料）;鸡尾酒;烧酒;⾕物制蒸馏酒精饮料;⽩酒;果酒（含酒精）;杜松⼦酒;葡萄酒</t>
  </si>
  <si>
    <t>顾家大观</t>
  </si>
  <si>
    <t>重庆梁平大观白酒有限公司</t>
  </si>
  <si>
    <t>果酒;烧酒（烈酒）;⾼粱酒;⾷⽤酒精;红葡萄酒;⽩酒;⽩⼲酒（中国⽩酒）;由⾕物蒸馏的⽩酒;⽼酒（中国蒸馏烈酒）;⽶酒</t>
  </si>
  <si>
    <t>善和长兴岛</t>
  </si>
  <si>
    <t>姜爽</t>
  </si>
  <si>
    <t>清酒;⻩酒;威⼠忌;烈酒（饮料）;⽶酒;⾕物制蒸馏酒精饮料;⽩酒;烧酒;葡萄酒</t>
  </si>
  <si>
    <t>小驴奔跑（北京）供应链管理有限公司</t>
  </si>
  <si>
    <t>⽩酒;⽩⼲酒（中国⽩酒）;由⾕物蒸馏的⽩酒;鸡尾酒;⽶酒;含⽔果酒精饮料;⽼酒（中国蒸馏烈酒）;烧酒;⾼粱酒;酒精饮料（啤酒除外）</t>
  </si>
  <si>
    <t>优耕源山</t>
  </si>
  <si>
    <t>何冲</t>
  </si>
  <si>
    <t>果酒（含酒精）;⽶酒;⽩酒;酒精饮料（啤酒除外）;以葡萄酒为主的饮料</t>
  </si>
  <si>
    <t>缔结</t>
  </si>
  <si>
    <t>果酒（含酒精）;含⽔果酒精饮料;鸡尾酒;⽩兰地;⽶酒;蒸馏饮料;葡萄酒;蜂蜜酒;威⼠忌;⽩酒</t>
  </si>
  <si>
    <t>果酒（含酒精）;烧酒;⻩酒;⽶酒;葡萄酒;鸡尾酒;烈酒（饮料）;⽩酒;酒精饮料（啤酒除外）;清酒（⽇本⽶酒）</t>
  </si>
  <si>
    <t>⽩酒;开胃酒;果酒（含酒精）;⽶酒;含⽔果酒精饮料;朗姆酒;葡萄酒;⻩酒;烧酒;清酒（⽇本⽶酒）</t>
  </si>
  <si>
    <t>天津市正元文化用品有限公司</t>
  </si>
  <si>
    <t>⽶酒;⾷⽤酒精;烈酒（饮料）;葡萄酒;⽩酒;汽酒;果酒（含酒精）;伏特加酒;⻩酒;烧酒</t>
  </si>
  <si>
    <t>汣兄</t>
  </si>
  <si>
    <t>刘俊</t>
  </si>
  <si>
    <t>⽶酒;⻩酒;⾷⽤酒精;鸡尾酒;含⽔果酒精饮料;果酒（含酒精）;⽩兰地;酒精饮料（啤酒除外）;葡萄酒;⽩酒</t>
  </si>
  <si>
    <t>爱力玖</t>
  </si>
  <si>
    <t>张兴克</t>
  </si>
  <si>
    <t>果酒（含酒精）;蜂蜜酒;酒精饮料（啤酒除外）;鸡尾酒;含酒精的⽓泡⽔;葡萄酒;⽩酒;预先混合的酒精饮料（以啤酒为主的除外）;开胃酒;⽶酒</t>
  </si>
  <si>
    <t>金窖鑫</t>
  </si>
  <si>
    <t>贵州省仁怀市四立坊酒业销售有限公司</t>
  </si>
  <si>
    <t>葡萄酒;酒精饮料（啤酒除外）;⽼酒（中国蒸馏烈酒）;⾼粱酒;烈酒;⽩酒;果酒;烧酒;⽶酒;⻩酒</t>
  </si>
  <si>
    <t>秦王羌禹</t>
  </si>
  <si>
    <t>四川北川羌禹酒业有限公司</t>
  </si>
  <si>
    <t>梅酒;露酒;⻩酒;⽩酒;⽶酒;果酒;烧酒;⾼粱酒;烈酒;⻘稞酒</t>
  </si>
  <si>
    <t>利众人</t>
  </si>
  <si>
    <t>⽩酒;⽩兰地;威⼠忌;⽶酒;葡萄酒;果酒（含酒精）;烧酒;⻩酒;含酒精⽔果饮料;⾕物制蒸馏酒精饮料</t>
  </si>
  <si>
    <t>顾记大观</t>
  </si>
  <si>
    <t>果酒;⽩酒;⽩⼲酒（中国⽩酒）;由⾕物蒸馏的⽩酒;⽶酒;⾼粱酒;红葡萄酒;⾷⽤酒精;烧酒（烈酒）;⽼酒（中国蒸馏烈酒）</t>
  </si>
  <si>
    <t>沙滩情</t>
  </si>
  <si>
    <t>贵州省国怀村酒业有限公司</t>
  </si>
  <si>
    <t>葡萄酒;果酒（含酒精）;⾷⽤酒精;鸡尾酒;露酒;⽩酒;⽶酒;威⼠忌;酒精饮料（啤酒除外）;⽩兰地</t>
  </si>
  <si>
    <t>志复</t>
  </si>
  <si>
    <t>烧酒;苹果酒;葡萄酒;烈酒（饮料）;⽶酒;⽩酒;果酒（含酒精）;鸡尾酒;酒精饮料（啤酒除外）;酒精饮料原汁</t>
  </si>
  <si>
    <t>好云上美</t>
  </si>
  <si>
    <t>酒精饮料原汁;⽩酒;由⾕物蒸馏的⽩酒;除啤酒外的酒精饮料;威⼠忌;⽔果汽酒;红葡萄酒;果酒;⻨芽威⼠忌;⾼粱酒</t>
  </si>
  <si>
    <t>UNORC</t>
  </si>
  <si>
    <t>珠海优洛赛车有限公司</t>
  </si>
  <si>
    <t>清酒（⽇本⽶酒）;预先混合的酒精饮料（以啤酒为主的除外）;含酒精的⽓泡⽔;⾷⽤酒精;开胃酒;葡萄酒;⽩酒;威⼠忌;果酒（含酒精）;鸡尾酒</t>
  </si>
  <si>
    <t>冠福门</t>
  </si>
  <si>
    <t>贵州冠福门市场营销策划有限公司</t>
  </si>
  <si>
    <t>鸡尾酒;⽩兰地;⽶酒;果酒（含酒精）;⽩酒;威⼠忌;⻩酒;蒸馏饮料;烧酒;葡萄酒</t>
  </si>
  <si>
    <t>华小志</t>
  </si>
  <si>
    <t>果酒（含酒精）;⾷⽤酒精;⽶酒;⻩酒;葡萄酒;烈酒（饮料）;清酒（⽇本⽶酒）;汽酒;酒精饮料（啤酒除外）;⽩酒</t>
  </si>
  <si>
    <t>华雷龙运</t>
  </si>
  <si>
    <t>华雷股份有限公司</t>
  </si>
  <si>
    <t>烧酒;⽶酒;⽩葡萄酒;⽼酒（中国蒸馏烈酒）;甜果酒;由⾕物蒸馏的⽩酒;⻩酒;含酒精的⽔果鸡尾酒饮料;烈酒（饮料）;含酒精的饮料（啤酒除外）;果酒（含酒精）;葡萄酒;蜂蜜酒;⽩酒;甜酒;果酒;苦味酒;苹果酒;⾷⽤酒精;含酒精的⽓泡⽔</t>
  </si>
  <si>
    <t>2024/07/16</t>
  </si>
  <si>
    <t>戈娅</t>
  </si>
  <si>
    <t>贵州荣和黔樽酒业有限公司</t>
  </si>
  <si>
    <t>烧酒;⾷⽤酒精;开胃酒;⽩酒;酒精饮料（啤酒除外）;酒精饮料原汁;⻩酒;利⼝酒;烈酒（饮料）;⽶酒</t>
  </si>
  <si>
    <t>吉赏</t>
  </si>
  <si>
    <t>刘林浩</t>
  </si>
  <si>
    <t>⽩酒;清酒（⽇本⽶酒）;鸡尾酒;果酒（含酒精）;开胃酒;⻘稞酒;葡萄酒;⽶酒;含酒精的饮料（啤酒除外）;烈酒（饮料）</t>
  </si>
  <si>
    <t>今需来</t>
  </si>
  <si>
    <t>深圳市金盾安居科技有限公司</t>
  </si>
  <si>
    <t>果酒（含酒精）;餐后酒（利⼝酒和烈酒）;烈酒（饮料）;已调味的⻨芽酿制的酒精饮料（啤酒除外）;烧酒;含酒精的⽓泡⽔;蒸馏饮料;葡萄酒;蜂蜜酒;⽶酒</t>
  </si>
  <si>
    <t>赢醉君</t>
  </si>
  <si>
    <t>贵州省赢醉君商贸有限公司</t>
  </si>
  <si>
    <t>酒精饮料原汁;酒精饮料（啤酒除外）;⽩酒;酒精饮料浓缩汁;烧酒;含⽔果酒精饮料;鸡尾酒;烈酒（饮料）;⽶酒;饮⽤烈酒;烈酒;⾷⽤酒精</t>
  </si>
  <si>
    <t>奚久盛</t>
  </si>
  <si>
    <t>奚海龙</t>
  </si>
  <si>
    <t>葡萄酒;烈酒（饮料）;⽩兰地;威⼠忌;⽩酒;清酒（⽇本⽶酒）;伏特加酒;⻩酒;以葡萄酒为主的饮料;含⽔果酒精饮料</t>
  </si>
  <si>
    <t>顺事昌</t>
  </si>
  <si>
    <t>傅伟玲</t>
  </si>
  <si>
    <t>⽩酒;果酒（含酒精）;清酒（⽇本⽶酒）;葡萄酒;酒精饮料（啤酒除外）;蒸馏饮料;威⼠忌;烈酒;⽶酒;汽酒</t>
  </si>
  <si>
    <t>台头河尾</t>
  </si>
  <si>
    <t>江苏灵禹新供应链有限公司</t>
  </si>
  <si>
    <t>⽶酒;鸡尾酒;蒸馏饮料;威⼠忌;⻩酒;以葡萄酒为主的饮料;烧酒;⽩酒;葡萄酒;酒精饮料（啤酒除外）</t>
  </si>
  <si>
    <t>CUCHILLO DE PALO</t>
  </si>
  <si>
    <t>卡萨皮奎股份有限公司</t>
  </si>
  <si>
    <t>酒精饮料（啤酒除外）;葡萄酒;起泡葡萄酒</t>
  </si>
  <si>
    <t>CASA DE HERRERO</t>
  </si>
  <si>
    <t>梯田花开</t>
  </si>
  <si>
    <t>元阳中试城科技有限公司</t>
  </si>
  <si>
    <t>⻘稞酒;⽩酒;开胃酒;⻩酒;⽶酒;酒精饮料（啤酒除外）;果酒（含酒精）;葡萄酒;烈酒（饮料）;烧酒</t>
  </si>
  <si>
    <t>纽养堂</t>
  </si>
  <si>
    <t>宫宁</t>
  </si>
  <si>
    <t>果酒（含酒精）;⽶酒;蒸煮提取物（利⼝酒和烈酒）;酒精饮料（啤酒除外）;⾼粱酒;⾷⽤酒精;烧酒;⽩酒;葡萄酒;酒精饮料浓缩汁</t>
  </si>
  <si>
    <t>六月顺</t>
  </si>
  <si>
    <t>清酒（⽇本⽶酒）;汽酒;烈酒;果酒（含酒精）;葡萄酒;酒精饮料（啤酒除外）;蒸馏饮料;⽩酒;⽶酒;威⼠忌</t>
  </si>
  <si>
    <t>祖茂</t>
  </si>
  <si>
    <t>西咸新区空港新城海特凯百货店</t>
  </si>
  <si>
    <t>烈酒;酒精饮料（啤酒除外）;果酒（含酒精）;清酒（⽇本⽶酒）;⻩酒;鸡尾酒;威⼠忌;开胃酒;葡萄酒;⽩酒</t>
  </si>
  <si>
    <t>枫与翎</t>
  </si>
  <si>
    <t>王才林</t>
  </si>
  <si>
    <t>⾕物制蒸馏酒精饮料;⽩酒;⽼酒（中国蒸馏烈酒）;由⾕物蒸馏的⽩酒;烧酒;以蒸馏酒为主的开胃酒;果酒;⽶酒;蒸馏⽶酒（泡盛酒）;⾼粱酒</t>
  </si>
  <si>
    <t>窖盼</t>
  </si>
  <si>
    <t>海口秀英区舟杉食品经营部（个体工商户）</t>
  </si>
  <si>
    <t>威⼠忌;烈酒;酒精饮料（啤酒除外）;⻩酒;⽩酒;含⽔果酒精饮料;清酒;烧酒;果酒;⻘梅酒</t>
  </si>
  <si>
    <t>ARCANE WARRIOR</t>
  </si>
  <si>
    <t>江苏越野共合文化有限公司</t>
  </si>
  <si>
    <t>⽩酒;烧酒;果酒;⻩酒;威⼠忌;酒精饮料（啤酒除外）;汽酒;鸡尾酒;葡萄酒;⽶酒</t>
  </si>
  <si>
    <t>左澜</t>
  </si>
  <si>
    <t>上海全发实业发展有限公司</t>
  </si>
  <si>
    <t>苦味酒;鸡尾酒;柑⾹酒;烧酒;⻩酒;⽩酒;餐后酒（利⼝酒和烈酒）;开胃酒;汽酒;⻘稞酒</t>
  </si>
  <si>
    <t>论欢</t>
  </si>
  <si>
    <t>酒精饮料（啤酒除外）;烧酒;⽩酒;葡萄酒;果酒;⽶酒;汽酒;含酒精的⽓泡⽔;⻩酒;⽩⼲酒（中国⽩酒）</t>
  </si>
  <si>
    <t>以侠之名</t>
  </si>
  <si>
    <t>⽶酒;甜果酒;果酒（含酒精）;葡萄酒;⽩酒;开胃酒;樱桃酒;⻩酒;汽酒;鸡尾酒</t>
  </si>
  <si>
    <t>窖粮顺</t>
  </si>
  <si>
    <t>许佳欢</t>
  </si>
  <si>
    <t>含⽔果酒精饮料;果酒（含酒精）;薄荷酒;以葡萄酒为主的饮料;⻩酒;⾼粱酒;烈酒（饮料）;⽩酒;⽶酒;除啤酒外的酒精饮料</t>
  </si>
  <si>
    <t>敖隐</t>
  </si>
  <si>
    <t>烧酒;利⼝酒;酒精饮料（啤酒除外）;⻩酒;烈酒（饮料）;酒精饮料原汁;⾷⽤酒精;⽩酒;⽶酒;开胃酒</t>
  </si>
  <si>
    <t>清照福龙</t>
  </si>
  <si>
    <t>苹果酒;⽶酒;⻩酒;果酒（含酒精）;⽩酒;开胃酒;酸酒（低等葡萄酒）;葡萄酒;酒精饮料（啤酒除外）;汽酒</t>
  </si>
  <si>
    <t>卜二不二</t>
  </si>
  <si>
    <t>广东卜二生物科技有限公司</t>
  </si>
  <si>
    <t>葡萄酒;⾷⽤酒精;清酒;鸡尾酒;⽼酒（中国蒸馏烈酒）;⽩酒;⻩酒;开胃酒;烈酒;⽶酒</t>
  </si>
  <si>
    <t>甸龙</t>
  </si>
  <si>
    <t>王奕杰</t>
  </si>
  <si>
    <t>果酒（含酒精）;⽩酒;葡萄酒;酒精饮料原汁;餐后酒（利⼝酒和烈酒）;⻩酒;酒精饮料（啤酒除外）;烧酒;⽶酒;烈酒（饮料）</t>
  </si>
  <si>
    <t>将进言</t>
  </si>
  <si>
    <t>常乘乘</t>
  </si>
  <si>
    <t>伏特加酒;葡萄酒;⽩酒;烧酒;⽶酒;威⼠忌;清酒;果酒;蜂蜜酒;⻩酒</t>
  </si>
  <si>
    <t>绵赏</t>
  </si>
  <si>
    <t>⻘稞酒;清酒（⽇本⽶酒）;含酒精的饮料（啤酒除外）;⽶酒;开胃酒;葡萄酒;鸡尾酒;⽩酒;果酒（含酒精）;烈酒（饮料）</t>
  </si>
  <si>
    <t>颐凤名</t>
  </si>
  <si>
    <t>苹果酒;烈酒（饮料）;酒精饮料（啤酒除外）;⽶酒;鸡尾酒;果酒;⽩酒;⾷⽤酒精;烧酒（烈酒）;饮⽤烈酒</t>
  </si>
  <si>
    <t>山东固丰防水工程有限公司</t>
  </si>
  <si>
    <t>⽩酒;⾼粱酒;汽酒;果酒;烧酒;葡萄酒;⽶酒;威⼠忌;伏特加酒;⻩酒</t>
  </si>
  <si>
    <t>飞奴</t>
  </si>
  <si>
    <t>贵州省仁怀市茅台镇酿酒人酒业有限公司</t>
  </si>
  <si>
    <t>葡萄酒;烧酒;蒸馏⽶酒（泡盛酒）;果酒（含酒精）;⽩酒;开胃酒;⽶酒;⻩酒;威⼠忌;⾼粱酒</t>
  </si>
  <si>
    <t>眼镜韩</t>
  </si>
  <si>
    <t>河南省奔跑吧小龙虾餐饮管理有限公司</t>
  </si>
  <si>
    <t>⽩酒;⽼酒（中国蒸馏烈酒）;葡萄酒;⻩酒;⾼粱酒;果酒（含酒精）;⽶酒;⾕物制蒸馏酒精饮料;含酒精⽔果饮料;烧酒</t>
  </si>
  <si>
    <t>MEROKEETY</t>
  </si>
  <si>
    <t>深圳市伟跃电子商务有限公司</t>
  </si>
  <si>
    <t>葡萄酒;⻩酒;烈酒;汽酒;鸡尾酒;⽩酒;果酒（含酒精）;⽶酒;酒精饮料（啤酒除外）;酒精饮料原汁</t>
  </si>
  <si>
    <t>古龙溪</t>
  </si>
  <si>
    <t>张咪513824********0022</t>
  </si>
  <si>
    <t>清酒（⽇本⽶酒）;⾷⽤酒精;由⾕物蒸馏的⽩酒;朗姆酒;⽩酒;鸡尾酒;葡萄酒;酒精饮料（啤酒除外）;梅酒;蒸馏饮料</t>
  </si>
  <si>
    <t>昆翅堂</t>
  </si>
  <si>
    <t>深圳市零号信息技术有限公司</t>
  </si>
  <si>
    <t>⽩兰地;⻩酒;⽩酒;梅酒;⽶酒;威⼠忌;甜酒;果酒;除啤酒外的酒精饮料;葡萄酒</t>
  </si>
  <si>
    <t>粒粮台</t>
  </si>
  <si>
    <t>葡萄酒;⽶酒;果酒;烧酒;含酒精⽔果饮料;加烈葡萄酒;⽩酒;饮⽤烈酒;烈酒;含酒精的⽔果鸡尾酒饮料</t>
  </si>
  <si>
    <t>黄溪吴府</t>
  </si>
  <si>
    <t>南充黄溪酒业有限公司</t>
  </si>
  <si>
    <t>⾕物制蒸馏酒精饮料;葡萄酒;⽶酒;预先混合的酒精饮料（以啤酒为主的除外）;⻘稞酒;烧酒;⽩酒;果酒（含酒精）;⾷⽤酒精;⻩酒</t>
  </si>
  <si>
    <t>DEWIJN 嶝峰爵</t>
  </si>
  <si>
    <t>上海伊享元商贸有限公司</t>
  </si>
  <si>
    <t>果酒（含酒精）;烈酒（饮料）;利⼝酒;鸡尾酒;⾷⽤酒精;威⼠忌;朗姆酒;伏特加酒;葡萄酒;⽩兰地</t>
  </si>
  <si>
    <t>蜀赏</t>
  </si>
  <si>
    <t>鸡尾酒;⽩酒;烈酒（饮料）;葡萄酒;⻘稞酒;⽶酒;果酒（含酒精）;含酒精的饮料（啤酒除外）;开胃酒;清酒（⽇本⽶酒）</t>
  </si>
  <si>
    <t>蜀之赏</t>
  </si>
  <si>
    <t>含酒精的饮料（啤酒除外）;⽶酒;鸡尾酒;⽩酒;清酒（⽇本⽶酒）;⻘稞酒;果酒（含酒精）;烈酒（饮料）;葡萄酒;开胃酒</t>
  </si>
  <si>
    <t>九罡</t>
  </si>
  <si>
    <t>果酒（含酒精）;酒精饮料（啤酒除外）;⽶酒;⽩酒;鸡尾酒;葡萄酒;威⼠忌;烧酒;清酒;刺五加酒</t>
  </si>
  <si>
    <t>艾蒂利娅</t>
  </si>
  <si>
    <t>上海玖隆荟国际贸易有限公司</t>
  </si>
  <si>
    <t>鸡尾酒;清酒（⽇本⽶酒）;酒精饮料（啤酒除外）;⽩兰地;⽶酒;果酒（含酒精）;开胃酒;葡萄酒;威⼠忌;⽩酒</t>
  </si>
  <si>
    <t>TOSIP</t>
  </si>
  <si>
    <t>应其均</t>
  </si>
  <si>
    <t>烈酒（饮料）;⾷⽤酒精;葡萄酒;⻩酒;⽩酒;⽩兰地;威⼠忌;酒精饮料（啤酒除外）;伏特加酒;果酒（含酒精）</t>
  </si>
  <si>
    <t>桑启</t>
  </si>
  <si>
    <t>酒精饮料原汁;烧酒;⽩酒;⻩酒;⾷⽤酒精;⽶酒;酒精饮料（啤酒除外）;利⼝酒;开胃酒;烈酒（饮料）</t>
  </si>
  <si>
    <t>固丰正泰</t>
  </si>
  <si>
    <t>⽶酒;⻩酒;汽酒;果酒;威⼠忌;⽩酒;葡萄酒;烧酒;⾼粱酒;伏特加酒</t>
  </si>
  <si>
    <t>澈养堂</t>
  </si>
  <si>
    <t>李应辉</t>
  </si>
  <si>
    <t>果酒（含酒精）;酒精饮料（啤酒除外）;餐后酒（利⼝酒和烈酒）;葡萄酒;⽩酒;烧酒;⻩酒;酒精饮料原汁;⽶酒;烈酒（饮料）</t>
  </si>
  <si>
    <t>左雁</t>
  </si>
  <si>
    <t>开胃酒;烧酒;⽩酒;苦味酒;⻩酒;柑⾹酒;⻘稞酒;餐后酒（利⼝酒和烈酒）;汽酒;鸡尾酒</t>
  </si>
  <si>
    <t>与亨</t>
  </si>
  <si>
    <t>广州与亨文化传播有限公司</t>
  </si>
  <si>
    <t>果酒（含酒精）;葡萄酒;⽶酒;⻘稞酒;烈酒（饮料）;清酒（⽇本⽶酒）;烧酒;⽩酒;含⽔果酒精饮料;⻩酒</t>
  </si>
  <si>
    <t>JJ20 AND BEYOND</t>
  </si>
  <si>
    <t>就是俊杰音乐股份有限公司</t>
  </si>
  <si>
    <t>佐餐酒;烧酒;果酒;⽩酒;蒸馏饮料;酒精饮料原汁;含⽔果酒精饮料;⽶酒;酒精饮料浓缩汁;酒精饮料（啤酒除外）</t>
  </si>
  <si>
    <t>玺大富</t>
  </si>
  <si>
    <t>威⼠忌;果酒（含酒精）;⻩酒;含⽔果酒精饮料;葡萄酒;蒸馏饮料;酒精饮料（啤酒除外）;⽩酒;开胃酒;薄荷酒</t>
  </si>
  <si>
    <t>花琅冠</t>
  </si>
  <si>
    <t>⾷⽤酒精;梅酒;蒸馏饮料;威⼠忌;⽩酒;葡萄酒;清酒（⽇本⽶酒）;酒精饮料（啤酒除外）;朗姆酒;鸡尾酒</t>
  </si>
  <si>
    <t>财北星君</t>
  </si>
  <si>
    <t>贵州柴台酒业有限公司</t>
  </si>
  <si>
    <t>LIANGMONLI</t>
  </si>
  <si>
    <t>傅琪琪</t>
  </si>
  <si>
    <t>含⽔果酒精饮料;烧酒;⽩兰地;威⼠忌;鸡尾酒;⽩酒;⽶酒;葡萄酒;果酒（含酒精）;⻩酒</t>
  </si>
  <si>
    <t>众邻优嘉</t>
  </si>
  <si>
    <t>四川众邻食品有限公司</t>
  </si>
  <si>
    <t>蒸馏饮料;威⼠忌;伏特加酒;鸡尾酒;⽩酒;⻩酒;果酒（含酒精）;⽶酒;烧酒;利⼝酒</t>
  </si>
  <si>
    <t>湖小样</t>
  </si>
  <si>
    <t>张力宏</t>
  </si>
  <si>
    <t>⽩酒;甜果酒;威⼠忌;伏特加酒;酒精饮料（啤酒除外）;清酒（⽇本⽶酒）;⽶酒;梅酒;⻩酒;果酒（含酒精）</t>
  </si>
  <si>
    <t>宣壮胤</t>
  </si>
  <si>
    <t>⽩兰地;酒精饮料原汁;含⽔果酒精饮料;果酒（含酒精）;葡萄酒;蒸馏饮料;⽩酒;⾷⽤酒精;烧酒;烈酒（饮料）</t>
  </si>
  <si>
    <t>探融</t>
  </si>
  <si>
    <t>李明伦522130********5219</t>
  </si>
  <si>
    <t>⽩酒;酒精饮料（啤酒除外）;烧酒;葡萄酒;⽢蔗制烈酒;果酒（含酒精）;⻩酒;鸡尾酒;烈酒（饮料）;⽶酒</t>
  </si>
  <si>
    <t>姜西施</t>
  </si>
  <si>
    <t>佛山市禾田生态农业发展有限公司</t>
  </si>
  <si>
    <t>葡萄酒;威⼠忌;⾕物制蒸馏酒精饮料;烈酒（饮料）;⽩酒;已调味的⻨芽酿制的酒精饮料（啤酒除外）;苦荞酒;含⽔果酒精饮料;鸡尾酒;果酒（含酒精）</t>
  </si>
  <si>
    <t>麦得伦</t>
  </si>
  <si>
    <t>三河市苏氏商贸有限公司</t>
  </si>
  <si>
    <t>葡萄酒;利⼝酒;蒸馏饮料;鸡尾酒;⽩酒;果酒（含酒精）;开胃酒;⽩兰地;威⼠忌;⾷⽤酒精</t>
  </si>
  <si>
    <t>邛泸观海</t>
  </si>
  <si>
    <t>张海洋</t>
  </si>
  <si>
    <t>⾼粱酒;果酒（含酒精）;葡萄酒;酒精饮料（啤酒除外）;⽶酒;⻩酒;威⼠忌;⽩酒;梅酒;清酒</t>
  </si>
  <si>
    <t>半阙词</t>
  </si>
  <si>
    <t>北京军地融合信息技术服务中心（有限合伙）</t>
  </si>
  <si>
    <t>果酒（含酒精）;鸡尾酒;葡萄酒;⽩兰地;⻩酒;威⼠忌;烧酒;蒸馏饮料;⽶酒;⽩酒</t>
  </si>
  <si>
    <t>蜂语纳</t>
  </si>
  <si>
    <t>湖州天宝珍生物科技有限公司</t>
  </si>
  <si>
    <t>酒精饮料（啤酒除外）;烈酒;⽼酒（中国蒸馏烈酒）;蜂蜜酒;果酒（含酒精）;⾷⽤酒精;葡萄酒;⽶酒;⽩酒;⻩酒</t>
  </si>
  <si>
    <t>YOU YOU MING</t>
  </si>
  <si>
    <t>吉林呦呦鸣文化传播有限公司</t>
  </si>
  <si>
    <t>烈酒（饮料）;⻩酒;亚⼒酒;蒸馏饮料;开胃酒;鸡尾酒;⽩酒;薄荷酒;含酒精的⽓泡⽔;果酒（含酒精）</t>
  </si>
  <si>
    <t>轻营</t>
  </si>
  <si>
    <t>王建侠</t>
  </si>
  <si>
    <t>汽酒;葡萄酒;⻩酒;清酒;⾷⽤酒精;开胃酒;果酒;⽩酒;⽶酒;甜酒</t>
  </si>
  <si>
    <t>寰宇众辉</t>
  </si>
  <si>
    <t>贵州知本寰宇酒业有限公司</t>
  </si>
  <si>
    <t>果酒（含酒精）;葡萄酒;⽶酒;⻩酒;红葡萄酒;⾼粱酒;烈酒;以葡萄酒为主的饮料;⽩酒;烧酒</t>
  </si>
  <si>
    <t>RIBERA DEL CUARZO</t>
  </si>
  <si>
    <t>起泡葡萄酒;葡萄酒;酒精饮料（啤酒除外）</t>
  </si>
  <si>
    <t>熊猫娃</t>
  </si>
  <si>
    <t>四川锦官城文化旅游有限公司</t>
  </si>
  <si>
    <t>含⽔果酒精饮料;⻩酒;烧酒;⽩酒;鸡尾酒;葡萄酒;酒精饮料（啤酒除外）;⽶酒;果酒（含酒精）;蜂蜜酒</t>
  </si>
  <si>
    <t>纳些年</t>
  </si>
  <si>
    <t>山东纳些年文化产业有限公司</t>
  </si>
  <si>
    <t>葡萄酒;⽩兰地;烧酒;鸡尾酒;⽩酒;⻩酒;果酒（含酒精）;清酒（⽇本⽶酒）;酒精饮料（啤酒除外）;⽶酒</t>
  </si>
  <si>
    <t>楚优君颂</t>
  </si>
  <si>
    <t>湖北君颂商贸有限公司</t>
  </si>
  <si>
    <t>酒精饮料浓缩汁;鸡尾酒;葡萄酒;含⽔果酒精饮料;果酒（含酒精）;⽶酒;⻘稞酒;⽩酒;蜂蜜酒;樱桃酒</t>
  </si>
  <si>
    <t>咘哩呀的</t>
  </si>
  <si>
    <t>呼伦贝尔市大匠旅行社有限责任公司</t>
  </si>
  <si>
    <t>烧酒（烈酒）;⻩酒;以葡萄酒为主的开胃酒;鸡尾酒;甜酒;⽩酒;果酒;含酒精蛋奶酒;⽶酒;⻘稞酒</t>
  </si>
  <si>
    <t>粮满乐</t>
  </si>
  <si>
    <t>吴少华</t>
  </si>
  <si>
    <t>⻩酒;鸡尾酒;汽酒;蒸煮提取物（利⼝酒和烈酒）;⽶酒;烧酒;⾷⽤酒精;葡萄酒;⻘稞酒;⽩酒</t>
  </si>
  <si>
    <t>胡子星君</t>
  </si>
  <si>
    <t>京台谭</t>
  </si>
  <si>
    <t>葡萄酒;⻩酒;除啤酒外的酒精饮料;果酒（含酒精）;烈酒（饮料）;⽩⼲酒（中国⽩酒）;⽩酒;蒸馏饮料;鸡尾酒;由⾕物蒸馏的⽩酒</t>
  </si>
  <si>
    <t>蛮小喃</t>
  </si>
  <si>
    <t>云南长源餐饮管理有限公司</t>
  </si>
  <si>
    <t>烧酒;⽩酒;葡萄酒;⻩酒;鸡尾酒;⽩兰地;⽶酒;果酒;威⼠忌;樱桃酒</t>
  </si>
  <si>
    <t>柴台王子</t>
  </si>
  <si>
    <t>元流之子</t>
  </si>
  <si>
    <t>烧酒;利⼝酒;酒精饮料（啤酒除外）;⻩酒;⾷⽤酒精;烈酒（饮料）;⽩酒;⽶酒;酒精饮料原汁;开胃酒</t>
  </si>
  <si>
    <t>素减</t>
  </si>
  <si>
    <t>佛山市名彪家居有限公司</t>
  </si>
  <si>
    <t>⽩酒;果酒（含酒精）;开胃酒;⻩酒;利⼝酒;葡萄酒;⽶酒;汽酒;果酒;清酒</t>
  </si>
  <si>
    <t>OJO DE BUEN CUBERO</t>
  </si>
  <si>
    <t>酒精饮料（啤酒除外）;起泡葡萄酒;葡萄酒</t>
  </si>
  <si>
    <t>百里玄策</t>
  </si>
  <si>
    <t>烈酒（饮料）;酒精饮料（啤酒除外）;⾷⽤酒精;利⼝酒;⽩酒;烧酒;酒精饮料原汁;⻩酒;⽶酒;开胃酒</t>
  </si>
  <si>
    <t>云知声</t>
  </si>
  <si>
    <t>云知声智能科技股份有限公司</t>
  </si>
  <si>
    <t>含⽔果酒精饮料;⽩酒;烧酒;果酒（含酒精）;酒精饮料（啤酒除外）;⽶酒;⾷⽤酒精;鸡尾酒;葡萄酒;清酒（⽇本⽶酒）</t>
  </si>
  <si>
    <t>富达乐</t>
  </si>
  <si>
    <t>上海篅祺国际贸易有限公司</t>
  </si>
  <si>
    <t>威⼠忌;果酒（含酒精）;含⽔果酒精饮料;葡萄酒;⽩兰地;鸡尾酒;⽩酒;蜂蜜酒;烈酒（饮料）;烧酒</t>
  </si>
  <si>
    <t>汗儿她</t>
  </si>
  <si>
    <t>冯国亮</t>
  </si>
  <si>
    <t>酒精饮料（啤酒除外）;开胃酒;⽩酒;酒精饮料原汁;餐后酒（利⼝酒和烈酒）;⻩酒;⾕物制蒸馏酒精饮料;⽶酒;清酒（⽇本⽶酒）;烧酒</t>
  </si>
  <si>
    <t>真鸣剑</t>
  </si>
  <si>
    <t>曾城梅</t>
  </si>
  <si>
    <t>⽩酒;⾷⽤酒精;含⽔果酒精饮料;果酒（含酒精）;威⼠忌;⽶酒;⻩酒;烧酒;⻘稞酒;烈酒（饮料）</t>
  </si>
  <si>
    <t>槟气</t>
  </si>
  <si>
    <t>海南槟气实业有限公司</t>
  </si>
  <si>
    <t>⽶酒;果酒;清酒;威⼠忌;烧酒;葡萄酒;以葡萄酒为主的饮料;⽩兰地;朗姆酒;含⽔果酒精饮料</t>
  </si>
  <si>
    <t>疆畔月</t>
  </si>
  <si>
    <t>孙延莉</t>
  </si>
  <si>
    <t>葡萄酒;⽩酒;烈酒;清酒（⽇本⽶酒）;鸡尾酒;酒精饮料（啤酒除外）;⻩酒;果酒（含酒精）;开胃酒;威⼠忌</t>
  </si>
  <si>
    <t>梯田味归</t>
  </si>
  <si>
    <t>烈酒（饮料）;开胃酒;⻩酒;酒精饮料（啤酒除外）;葡萄酒;⻘稞酒;⽩酒;⽶酒;果酒（含酒精）;烧酒</t>
  </si>
  <si>
    <t>朵莉亚</t>
  </si>
  <si>
    <t>烧酒;⾷⽤酒精;酒精饮料（啤酒除外）;利⼝酒;⻩酒;⽶酒;烈酒（饮料）;⽩酒;酒精饮料原汁;开胃酒</t>
  </si>
  <si>
    <t>爱玛士城堡</t>
  </si>
  <si>
    <t>中贸汇名酒仓（北京）国际酒业有限公司</t>
  </si>
  <si>
    <t>甜酒;樱桃⽩兰地;混合威⼠忌酒;酒精饮料原汁;威⼠忌;甜果酒;开胃酒;⽩兰地;⽩葡萄酒;天然汽酒</t>
  </si>
  <si>
    <t>财白星</t>
  </si>
  <si>
    <t>华夏雷运</t>
  </si>
  <si>
    <t>蜂蜜酒;⾷⽤酒精;果酒;含酒精的⽔果鸡尾酒饮料;苦味酒;苹果酒;果酒（含酒精）;葡萄酒;烈酒（饮料）;⻩酒;⽩葡萄酒;由⾕物蒸馏的⽩酒;⽶酒;烧酒;含酒精的⽓泡⽔;含酒精的饮料（啤酒除外）;⽼酒（中国蒸馏烈酒）;甜酒;甜果酒;⽩酒</t>
  </si>
  <si>
    <t>大晟葵</t>
  </si>
  <si>
    <t>三亚大晟葵贸易有限公司</t>
  </si>
  <si>
    <t>酒精饮料（啤酒除外）;⽩酒;露酒;烧酒;果酒（含酒精）;清酒;⾼粱酒;葡萄酒;⽶酒;⻩酒</t>
  </si>
  <si>
    <t>香之赏</t>
  </si>
  <si>
    <t>果酒（含酒精）;烈酒（饮料）;葡萄酒;⻘稞酒;含酒精的饮料（啤酒除外）;清酒（⽇本⽶酒）;⽶酒;鸡尾酒;⽩酒;开胃酒</t>
  </si>
  <si>
    <t>寿蔬春</t>
  </si>
  <si>
    <t>山东齐民思白酒有限公司</t>
  </si>
  <si>
    <t>果酒（含酒精）;⽶酒;酒精饮料（啤酒除外）;苹果酒;⻩酒;葡萄酒;鸡尾酒;⽩酒;烧酒;烈酒（饮料）</t>
  </si>
  <si>
    <t>直线绽放</t>
  </si>
  <si>
    <t>西安直线绽放科技有限公司</t>
  </si>
  <si>
    <t>⽶酒;清酒;果酒;烧酒;烈酒（饮料）;酒精饮料（啤酒除外）;含⽔果酒精饮料;鸡尾酒;⽩酒;⻩酒</t>
  </si>
  <si>
    <t>2024/07/17</t>
  </si>
  <si>
    <t>一品高彭</t>
  </si>
  <si>
    <t>河南白河桥酒业股份有限公司</t>
  </si>
  <si>
    <t>⽩酒;清酒;烈酒;甜酒;葡萄酒;⽶酒;汽酒;⻩酒;烧酒;果酒</t>
  </si>
  <si>
    <t>雍代</t>
  </si>
  <si>
    <t>刘宁</t>
  </si>
  <si>
    <t>清酒（⽇本⽶酒）;⽩酒;⻩酒;鸡尾酒;威⼠忌;果酒;烈酒（饮料）;葡萄酒;酒精饮料（啤酒除外）;开胃酒</t>
  </si>
  <si>
    <t>RETRUEGEN</t>
  </si>
  <si>
    <t>如初然(香港)有限公司</t>
  </si>
  <si>
    <t>⽩兰地;威⼠忌;⽶酒;⻩酒;葡萄酒;鸡尾酒;果酒（含酒精）;蒸馏饮料;烧酒;⽩酒</t>
  </si>
  <si>
    <t>千脉天门</t>
  </si>
  <si>
    <t>洛阳市玖宸商贸有限公司</t>
  </si>
  <si>
    <t>葡萄酒;酒精饮料（啤酒除外）;⽩酒;烧酒;利⼝酒;清酒（⽇本⽶酒）;果酒（含酒精）;烈酒（饮料）;开胃酒;⾷⽤酒精</t>
  </si>
  <si>
    <t>云南纯粮酒业有限公司</t>
  </si>
  <si>
    <t>烈酒;⽩酒;葡萄酒;⻘稞酒;烧酒;松叶酒;⽶酒;⻩酒;清酒;果酒</t>
  </si>
  <si>
    <t>蒙三爷</t>
  </si>
  <si>
    <t>鸡尾酒;⽩兰地;烧酒;葡萄酒;⽩酒;⻩酒;⽶酒;威⼠忌;⻘稞酒;烈酒</t>
  </si>
  <si>
    <t>儋客</t>
  </si>
  <si>
    <t>夏欢欢</t>
  </si>
  <si>
    <t>⻩酒;葡萄酒;烧酒;⾷⽤酒精;酒精饮料（啤酒除外）;开胃酒;⽩酒;⽶酒;果酒（含酒精）;⽢蔗制酒精饮料</t>
  </si>
  <si>
    <t>清溪麒麟 QI XI QI LIN</t>
  </si>
  <si>
    <t>广东富厚堂食品有限公司</t>
  </si>
  <si>
    <t>威⼠忌;烈酒（饮料）;⽶酒;葡萄酒;果酒（含酒精）;⻩酒;清酒（⽇本⽶酒）;⽩酒;开胃酒;鸡尾酒</t>
  </si>
  <si>
    <t>九星湖</t>
  </si>
  <si>
    <t>广东新肥猫食品有限公司</t>
  </si>
  <si>
    <t>葡萄酒;含⽔果酒精饮料;开胃酒;⽩酒;汽酒;酒精饮料（啤酒除外）;威⼠忌;⽩兰地;餐后酒（利⼝酒和烈酒）;果酒（含酒精）</t>
  </si>
  <si>
    <t>尾钩 TALHOOK CLUB</t>
  </si>
  <si>
    <t>杜修竹</t>
  </si>
  <si>
    <t>⽶酒;酒精饮料（啤酒除外）;酒精饮料原汁;威⼠忌;鸡尾酒;⽩酒;伏特加酒;烧酒（烈酒）;葡萄酒;苦味酒</t>
  </si>
  <si>
    <t>醉斛清</t>
  </si>
  <si>
    <t>武凯</t>
  </si>
  <si>
    <t>露酒;⽩酒;⾼粱酒;果酒（含酒精）;葡萄酒;⽶酒;汽酒;⻩酒;烧酒;酒精饮料（啤酒除外）</t>
  </si>
  <si>
    <t>鹿栗春</t>
  </si>
  <si>
    <t>南和县众德润商贸有限公司</t>
  </si>
  <si>
    <t>葡萄酒;烈酒;甜酒;⽶酒;含酒精的饮料（啤酒除外）;⾼粱酒;⻩酒;⽩酒;⽼酒（中国蒸馏烈酒）;烧酒</t>
  </si>
  <si>
    <t>中堃（海南）投资控股有限公司</t>
  </si>
  <si>
    <t>含酒精⽔果饮料;佐餐酒;⽇本梅⼦酒;果酒（含酒精）;⽶酒;⽇式甜⽶酒;蜂蜜酒;清酒（⽇本⽶酒）;含⽔果酒精饮料;⽇本松针酒;烧酒（烈酒）;预调甜酒;黑覆盆⼦酒;含酒精的⽔果鸡尾酒饮料;⽇本波布蛇酒</t>
  </si>
  <si>
    <t>稻我往来</t>
  </si>
  <si>
    <t>广东广师大资产经营有限公司</t>
  </si>
  <si>
    <t>⽶酒;果酒（含酒精）;葡萄酒;由⾕物蒸馏的⽩酒;⾕物制蒸馏酒精饮料;含酒精的⽓泡⽔;鸡尾酒;含⽔果酒精饮料;酒精饮料（啤酒除外）;梅酒</t>
  </si>
  <si>
    <t>季酉</t>
  </si>
  <si>
    <t>袁金兰</t>
  </si>
  <si>
    <t>果酒（含酒精）;鸡尾酒;⽶酒;⽼酒（中国蒸馏烈酒）;烈酒;⽩酒;烈酒（饮料）;烧酒;红葡萄酒;威⼠忌</t>
  </si>
  <si>
    <t>尖工</t>
  </si>
  <si>
    <t>四川粮投粮油集团有限公司</t>
  </si>
  <si>
    <t>酒精饮料（啤酒除外）;⻩酒;蒸馏饮料;葡萄酒;威⼠忌;烈酒（饮料）;果酒（含酒精）;⽶酒;⽩兰地;⽩酒</t>
  </si>
  <si>
    <t>琼小叔</t>
  </si>
  <si>
    <t>王金龙</t>
  </si>
  <si>
    <t>⾕物制蒸馏酒精饮料;含⽔果酒精饮料;烧酒;以葡萄酒为主的饮料;预先混合的酒精饮料（以啤酒为主的除外）;威⼠忌;酒精饮料（啤酒除外）;⽩酒;果酒（含酒精）;蜂蜜酒</t>
  </si>
  <si>
    <t>清照龙福</t>
  </si>
  <si>
    <t>⻩酒;⽩酒;开胃酒;葡萄酒;酒精饮料（啤酒除外）;果酒（含酒精）;苹果酒;酸酒（低等葡萄酒）;⽶酒;汽酒</t>
  </si>
  <si>
    <t>诗逸</t>
  </si>
  <si>
    <t>浙江脉速服饰有限公司</t>
  </si>
  <si>
    <t>甜酒;酒精饮料（啤酒除外）;⽶酒;果酒（含酒精）;鸡尾酒;红葡萄酒;威⼠忌;⽩酒;⻩酒;烧酒</t>
  </si>
  <si>
    <t>八苍知</t>
  </si>
  <si>
    <t>大家健康管理（成都）有限公司</t>
  </si>
  <si>
    <t>葡萄酒;酒精饮料（啤酒除外）;⽶酒;含⽔果酒精饮料;⻩酒</t>
  </si>
  <si>
    <t>毕挂山</t>
  </si>
  <si>
    <t>胡志明</t>
  </si>
  <si>
    <t>⻩酒;威⼠忌;葡萄酒;⽩兰地;鸡尾酒;朗姆酒;⽩酒;薄荷酒;果酒（含酒精）;苹果酒</t>
  </si>
  <si>
    <t>喻医生</t>
  </si>
  <si>
    <t>江西百芝堂中医药集团有限公司</t>
  </si>
  <si>
    <t>葡萄酒;清酒（⽇本⽶酒）;⽩酒;利⼝酒;⻩酒;⽶酒;烧酒;烈酒（饮料）;果酒（含酒精）;⾕物制蒸馏酒精饮料</t>
  </si>
  <si>
    <t>级明七</t>
  </si>
  <si>
    <t>吕荣幸</t>
  </si>
  <si>
    <t>⽩酒;⽩⼲酒（中国⽩酒）;酒精饮料（啤酒除外）;烧酒（烈酒）;露酒;⾷⽤酒精;烧酒;⽩葡萄酒;利⼝酒;蝮蛇酒</t>
  </si>
  <si>
    <t>樊匠</t>
  </si>
  <si>
    <t>葡萄酒;烈酒;威⼠忌;⽶酒;⻩酒;烧酒;鸡尾酒;⻘稞酒;⽩酒;⽩兰地</t>
  </si>
  <si>
    <t>高彭</t>
  </si>
  <si>
    <t>⻩酒;⽶酒;甜酒;汽酒;烧酒;清酒;烈酒;果酒;葡萄酒;⽩酒</t>
  </si>
  <si>
    <t>羊城西</t>
  </si>
  <si>
    <t>贵阳兆明羊城西饼食品有限公司</t>
  </si>
  <si>
    <t>利⼝酒;⾷⽤酒精;烧酒;果酒（含酒精）;⽩酒;⻩酒;葡萄酒;⽶酒;汽酒;烈酒（饮料）</t>
  </si>
  <si>
    <t>胶肆柒</t>
  </si>
  <si>
    <t>台州市榴小汐科技有限公司</t>
  </si>
  <si>
    <t>薄荷酒;果酒（含酒精）;⻩酒;茴⾹酒（利⼝酒）;⽶酒;酒精饮料（啤酒除外）;烧酒;蜂蜜酒;葡萄酒;清酒（⽇本⽶酒）</t>
  </si>
  <si>
    <t>梅花禧</t>
  </si>
  <si>
    <t>孙荟荟</t>
  </si>
  <si>
    <t>开胃酒;烈酒;鸡尾酒;⽩酒;威⼠忌;果酒（含酒精）;⻩酒;清酒（⽇本⽶酒）;酒精饮料（啤酒除外）;葡萄酒</t>
  </si>
  <si>
    <t>欣奋</t>
  </si>
  <si>
    <t>绵阳市磨磨香电子商务有限公司</t>
  </si>
  <si>
    <t>⻩酒;鸡尾酒;甜果酒;葡萄酒;酒精饮料（啤酒除外）;⽩酒;酸酒（低等葡萄酒）;含酒精的鸡尾酒混合饮品;含⽔果酒精饮料;果酒（含酒精）</t>
  </si>
  <si>
    <t>醉翌乾</t>
  </si>
  <si>
    <t>张聪</t>
  </si>
  <si>
    <t>果酒（含酒精）;酒精饮料（啤酒除外）;葡萄酒;⾷⽤酒精;烧酒;开胃酒;⽩酒;威⼠忌;⻩酒;⽶酒</t>
  </si>
  <si>
    <t>呼白和福</t>
  </si>
  <si>
    <t>开胃酒;烧酒;烈酒（饮料）;酒精饮料（啤酒除外）;⽶酒;⽩酒;⻩酒;⻘稞酒;蒸馏饮料;果酒（含酒精）</t>
  </si>
  <si>
    <t>炽熊猫</t>
  </si>
  <si>
    <t>北京佳德和仓储服务有限公司</t>
  </si>
  <si>
    <t>果酒（含酒精）;葡萄酒;烧酒;⾷⽤酒精;⽩酒;汽酒;清酒;酒精饮料（啤酒除外）;威⼠忌;烈酒（饮料）</t>
  </si>
  <si>
    <t>呼白粮王</t>
  </si>
  <si>
    <t>开胃酒;果酒（含酒精）;烈酒（饮料）;⻩酒;⻘稞酒;⽶酒;烧酒;蒸馏饮料;酒精饮料（啤酒除外）;⽩酒</t>
  </si>
  <si>
    <t>帝王杰</t>
  </si>
  <si>
    <t>刘功好</t>
  </si>
  <si>
    <t>果酒（含酒精）;葡萄酒;⽩兰地;清酒（⽇本⽶酒）;⻩酒;伏特加酒;汽酒;除啤酒外的酒精饮料;烈酒;⽩酒</t>
  </si>
  <si>
    <t>润濏</t>
  </si>
  <si>
    <t>河北东之润商贸有限公司</t>
  </si>
  <si>
    <t>果酒（含酒精）;预先混合的酒精饮料（以啤酒为主的除外）;已调味的⻨芽酿制的酒精饮料（啤酒除外）;餐后酒（利⼝酒和烈酒）;⻩酒;⻘稞酒;⽩酒;⾷⽤酒精;⾕物制蒸馏酒精饮料;酒精饮料原汁</t>
  </si>
  <si>
    <t>呼白和马</t>
  </si>
  <si>
    <t>开胃酒;烧酒;酒精饮料（啤酒除外）;⽩酒;⻘稞酒;烈酒（饮料）;蒸馏饮料;⻩酒;⽶酒;果酒（含酒精）</t>
  </si>
  <si>
    <t>客迷糊</t>
  </si>
  <si>
    <t>周骁勇</t>
  </si>
  <si>
    <t>葡萄酒;烈酒（饮料）;酒精饮料（啤酒除外）;⻩酒;果酒;威⼠忌;⽩酒;开胃酒;清酒（⽇本⽶酒）;鸡尾酒</t>
  </si>
  <si>
    <t>樽命</t>
  </si>
  <si>
    <t>谢可恩</t>
  </si>
  <si>
    <t>威⼠忌;鸡尾酒;果酒（含酒精）;⽶酒;葡萄酒;烧酒;⽩酒;⻩酒;⽩兰地;⾷⽤酒精</t>
  </si>
  <si>
    <t>解亚</t>
  </si>
  <si>
    <t>得荣雪域匠心供应链管理有限责任公司</t>
  </si>
  <si>
    <t>⻩酒;果酒;烧酒（烈酒）;⽶酒;⻘稞酒;⽼酒（中国蒸馏烈酒）;葡萄酒;⾷⽤酒精;⽩酒;蒸馏饮料</t>
  </si>
  <si>
    <t>干夫金雪</t>
  </si>
  <si>
    <t>上海美天教育科技有限公司</t>
  </si>
  <si>
    <t>威⼠忌;酒精饮料（啤酒除外）;烈酒（饮料）;清酒（⽇本⽶酒）;果酒（含酒精）;⻘梅酒;露酒;⽶酒;烧酒;烧酒（烈酒）</t>
  </si>
  <si>
    <t>呼白和发</t>
  </si>
  <si>
    <t>⻩酒;⽩酒;烈酒（饮料）;烧酒;开胃酒;⻘稞酒;蒸馏饮料;⽶酒;果酒（含酒精）;酒精饮料（啤酒除外）</t>
  </si>
  <si>
    <t>级明十</t>
  </si>
  <si>
    <t>烧酒;⽩酒;蝮蛇酒;⾷⽤酒精;烧酒（烈酒）;⽩葡萄酒;⽩⼲酒（中国⽩酒）;利⼝酒;酒精饮料（啤酒除外）;露酒</t>
  </si>
  <si>
    <t>尾钩</t>
  </si>
  <si>
    <t>威⼠忌;酒精饮料（啤酒除外）;酒精饮料原汁;⽩酒;烧酒（烈酒）;葡萄酒;鸡尾酒;伏特加酒;苦味酒;⽶酒</t>
  </si>
  <si>
    <t>桒媛</t>
  </si>
  <si>
    <t>李春林</t>
  </si>
  <si>
    <t>⻩酒;蒸馏饮料;酒精饮料浓缩汁;⽶酒;烧酒;开胃酒;⽩酒;酒精饮料（啤酒除外）;果酒（含酒精）;⾷⽤酒精</t>
  </si>
  <si>
    <t>物自</t>
  </si>
  <si>
    <t>⻩酒;⽩兰地;果酒（含酒精）;⾷⽤酒精;鸡尾酒;葡萄酒;烧酒;⽩酒;⽶酒;威⼠忌</t>
  </si>
  <si>
    <t>省甲第</t>
  </si>
  <si>
    <t>⽩⼲酒（中国⽩酒）;⾼粱酒;果酒（含酒精）;⽼酒（中国蒸馏烈酒）;酒精饮料（啤酒除外）;除啤酒外的酒精饮料;⽩酒;⾕物制蒸馏酒精饮料;烧酒（烈酒）;蒸馏⽶酒（泡盛酒）</t>
  </si>
  <si>
    <t>千跃山脉</t>
  </si>
  <si>
    <t>烈酒（饮料）;利⼝酒;⽩酒;烧酒;清酒（⽇本⽶酒）;酒精饮料（啤酒除外）;葡萄酒;果酒（含酒精）;⾷⽤酒精;开胃酒</t>
  </si>
  <si>
    <t>两汉情</t>
  </si>
  <si>
    <t>徐州元夕酒业有限公司</t>
  </si>
  <si>
    <t>葡萄酒;烈酒（饮料）;清酒;烧酒（烈酒）;⻩酒;酒精饮料（啤酒除外）;⽼酒（中国蒸馏烈酒）;⽶酒;汽酒;⽩酒</t>
  </si>
  <si>
    <t>呼白龙脉</t>
  </si>
  <si>
    <t>烈酒（饮料）;果酒（含酒精）;烧酒;⻘稞酒;蒸馏饮料;开胃酒;⻩酒;酒精饮料（啤酒除外）;⽶酒;⽩酒</t>
  </si>
  <si>
    <t>东悦(吉林)生物科技有限公司</t>
  </si>
  <si>
    <t>蜂蜜酒;⻩酒;烧酒;葡萄酒;⽩酒;预先混合的酒精饮料（以啤酒为主的除外）;烈酒;利⼝酒;⽶酒;⾼粱酒</t>
  </si>
  <si>
    <t>故香承</t>
  </si>
  <si>
    <t>⽩酒;威⼠忌;葡萄酒;鸡尾酒;清酒（⽇本⽶酒）;酒精饮料（啤酒除外）;开胃酒;果酒（含酒精）;烈酒;⻩酒</t>
  </si>
  <si>
    <t>清照合悦</t>
  </si>
  <si>
    <t>开胃酒;葡萄酒;酸酒（低等葡萄酒）;酒精饮料（啤酒除外）;⽶酒;⽩酒;苹果酒;汽酒;⻩酒;果酒（含酒精）</t>
  </si>
  <si>
    <t>张开乐</t>
  </si>
  <si>
    <t>云南麒鼎农业发展有限公司</t>
  </si>
  <si>
    <t>⾼粱酒;清酒;杜松⼦酒;杨梅酒;烧酒;开胃酒;果酒;⽶酒;苹果酒;烈酒</t>
  </si>
  <si>
    <t>嘉医扁鹊</t>
  </si>
  <si>
    <t>谢如意</t>
  </si>
  <si>
    <t>⽩兰地;汽酒;果酒（含酒精）;酒精饮料（啤酒除外）;⽩酒;开胃酒;葡萄酒;清酒（⽇本⽶酒）;⾷⽤酒精;烧酒</t>
  </si>
  <si>
    <t>海太子</t>
  </si>
  <si>
    <t>买丹丹</t>
  </si>
  <si>
    <t>果酒（含酒精）;⽩兰地;威⼠忌;⽶酒;烧酒;葡萄酒;鸡尾酒;⻩酒;蒸馏饮料;⽩酒</t>
  </si>
  <si>
    <t>神州牧源</t>
  </si>
  <si>
    <t>神州天骏(北京)科技有限公司</t>
  </si>
  <si>
    <t>⻩酒;⽩酒;烧酒;⻘稞酒;烈酒（饮料）;⽩兰地;酒精饮料（啤酒除外）;⽶酒;葡萄酒;果酒（含酒精）</t>
  </si>
  <si>
    <t>2024/07/18</t>
  </si>
  <si>
    <t>GERALD GENTA</t>
  </si>
  <si>
    <t>利⼝酒;梨酒;⽩兰地;葡萄酒;酒精饮料浓缩汁;鸡尾酒;酒精饮料（啤酒除外）;苹果酒;酒精饮料原汁;烈酒</t>
  </si>
  <si>
    <t>秦粱歌</t>
  </si>
  <si>
    <t>周成敏</t>
  </si>
  <si>
    <t>烧酒（烈酒）;蒸煮提取物（利⼝酒和烈酒）;⽶酒;烧酒;果酒（含酒精）;⽩酒;⾷⽤酒精;酒精饮料浓缩汁;葡萄酒;酒精饮料（啤酒除外）</t>
  </si>
  <si>
    <t>京昇阁牪二</t>
  </si>
  <si>
    <t>保定京昇阁酒业有限公司</t>
  </si>
  <si>
    <t>果酒（含酒精）;烈酒（饮料）;⽩酒;蒸煮提取物（利⼝酒和烈酒）;酒精饮料（啤酒除外）;烧酒;葡萄酒;苦味酒;鸡尾酒;⽶酒</t>
  </si>
  <si>
    <t>TIO PEPE</t>
  </si>
  <si>
    <t>冈萨雷斯•百斯公司</t>
  </si>
  <si>
    <t>上海草余蔓发餐饮管理有限公司</t>
  </si>
  <si>
    <t>⽩酒;⽶酒;葡萄酒;威⼠忌;鸡尾酒;⻩酒;果酒（含酒精）;烧酒;⾕物制蒸馏酒精饮料;⻘稞酒</t>
  </si>
  <si>
    <t>深圳市猫员外餐饮管理有限公司</t>
  </si>
  <si>
    <t>蒸煮提取物（利⼝酒和烈酒）;葡萄酒;⽶酒;朗姆酒;⽩酒;威⼠忌;伏特加酒;烈酒;⽩兰地;清酒（⽇本⽶酒）</t>
  </si>
  <si>
    <t>武悟舞</t>
  </si>
  <si>
    <t>北京为家信息咨询有限公司</t>
  </si>
  <si>
    <t>⽩酒;⾼粱酒;果酒;含酒精的饮料（啤酒除外）;⽩⼲酒（中国⽩酒）;酒精饮料原汁;含⽔果酒精饮料;⾷⽤酒精;⽶酒;葡萄酒</t>
  </si>
  <si>
    <t>小兰生</t>
  </si>
  <si>
    <t>贵州习酒投资控股集团有限责任公司</t>
  </si>
  <si>
    <t>朗姆酒;蒸馏饮料;果酒（含酒精）;利⼝酒;酒精饮料（啤酒除外）;亚⼒酒;露酒;含酒精的⽓泡⽔;薄荷酒;梅酒</t>
  </si>
  <si>
    <t>贺贡春</t>
  </si>
  <si>
    <t>烧酒（烈酒）;蒸煮提取物（利⼝酒和烈酒）;烧酒;果酒（含酒精）;⽶酒;酒精饮料（啤酒除外）;⾷⽤酒精;⽩酒;葡萄酒;酒精饮料浓缩汁</t>
  </si>
  <si>
    <t>元气E夏</t>
  </si>
  <si>
    <t>裴瑞敏</t>
  </si>
  <si>
    <t>果酒;开胃酒;汽酒;清酒;⻩酒;葡萄酒;⾷⽤酒精;⽩酒;⽶酒;甜酒</t>
  </si>
  <si>
    <t>今吟馐食</t>
  </si>
  <si>
    <t>南通欧申豪餐饮管理有限公司</t>
  </si>
  <si>
    <t>蒸馏饮料;烧酒;果酒;利⼝酒;烈酒;葡萄酒;⻩酒;清酒（⽇本⽶酒）;⽇本梅⼦酒;⽶酒</t>
  </si>
  <si>
    <t>凯与萝</t>
  </si>
  <si>
    <t>史瓦仕贸易（上海）有限公司</t>
  </si>
  <si>
    <t>预先混合的酒精饮料（以啤酒为主的除外）;果酒（含酒精）;含⽔果酒精饮料;葡萄酒;开胃酒;酒精饮料（啤酒除外）;⽩酒;烈酒（饮料）;杜松⼦酒;鸡尾酒</t>
  </si>
  <si>
    <t>锦作</t>
  </si>
  <si>
    <t>⽩酒;清酒（⽇本⽶酒）;汽酒;⻩酒;酒精饮料（啤酒除外）;⽶酒;葡萄酒;果酒（含酒精）;⾷⽤酒精;烈酒（饮料）</t>
  </si>
  <si>
    <t>叶桃三</t>
  </si>
  <si>
    <t>含⽔果酒精饮料;汽酒;由⾕物蒸馏的⽩酒;蒸馏⽶酒（泡盛酒）;除啤酒外的酒精饮料;⽩酒;⽼酒（中国蒸馏烈酒）;清酒;红葡萄酒;烈酒</t>
  </si>
  <si>
    <t>㞮孞</t>
  </si>
  <si>
    <t>烧酒;酒精饮料（啤酒除外）;酒精饮料原汁;烈酒（饮料）;⽩酒;蒸馏饮料;⽶酒;葡萄酒;利⼝酒;果酒</t>
  </si>
  <si>
    <t>格菲登 GOFITENG</t>
  </si>
  <si>
    <t>牛世德</t>
  </si>
  <si>
    <t>果酒（含酒精）;⻩酒;含⽔果酒精饮料;鸡尾酒;酒精饮料（啤酒除外）;⽶酒;葡萄酒;⽩酒;开胃酒;威⼠忌</t>
  </si>
  <si>
    <t>德兰格</t>
  </si>
  <si>
    <t>孙守芳</t>
  </si>
  <si>
    <t>⽩兰地;清酒（⽇本⽶酒）;朗姆酒;葡萄酒;⽩酒;⽶酒;烧酒;伏特加酒;⻩酒;烈酒（饮料）</t>
  </si>
  <si>
    <t>匠焕</t>
  </si>
  <si>
    <t>葡萄酒;伏特加酒;⽩酒;⽶酒;⽩兰地;烧酒;清酒（⽇本⽶酒）;⻩酒;烈酒（饮料）;朗姆酒</t>
  </si>
  <si>
    <t>福门泰斗</t>
  </si>
  <si>
    <t>谢航</t>
  </si>
  <si>
    <t>烈酒（饮料）;⽩酒;果酒（含酒精）;葡萄酒;露酒;⽶酒;苹果酒;⾕物制蒸馏酒精饮料;蒸馏饮料;餐后酒（利⼝酒和烈酒）</t>
  </si>
  <si>
    <t>山期</t>
  </si>
  <si>
    <t>⽶酒;葡萄酒;⻩酒;清酒（⽇本⽶酒）;酒精饮料（啤酒除外）;⾷⽤酒精;汽酒;果酒（含酒精）;⽩酒;烈酒（饮料）</t>
  </si>
  <si>
    <t>船夫哥</t>
  </si>
  <si>
    <t>天酿文化传播（苏州）有限公司</t>
  </si>
  <si>
    <t>果酒（含酒精）;⻘稞酒;⾕物制蒸馏酒精饮料;酒精饮料原汁;⽩酒;烧酒;含⽔果酒精饮料;以葡萄酒为主的饮料;⽶酒;⾷⽤酒精</t>
  </si>
  <si>
    <t>今吟馐实</t>
  </si>
  <si>
    <t>葡萄酒;利⼝酒;果酒;⽇本梅⼦酒;清酒（⽇本⽶酒）;⻩酒;烈酒;蒸馏饮料;烧酒;⽶酒</t>
  </si>
  <si>
    <t>刘备美</t>
  </si>
  <si>
    <t>张会根</t>
  </si>
  <si>
    <t>果酒（含酒精）;⽩酒;⻩酒;开胃酒;利⼝酒;⽶酒;烧酒;⾷⽤酒精;蜂蜜酒;葡萄酒</t>
  </si>
  <si>
    <t>匠心喜事</t>
  </si>
  <si>
    <t>⽩酒;⽶酒;蒸馏饮料;⾕物制蒸馏酒精饮料;餐后酒（利⼝酒和烈酒）;露酒;果酒（含酒精）;烈酒（饮料）;葡萄酒;苹果酒</t>
  </si>
  <si>
    <t>澍青</t>
  </si>
  <si>
    <t>南京怡家甄选网络科技有限公司</t>
  </si>
  <si>
    <t>⽩酒;威⼠忌;葡萄酒;开胃酒;酒精饮料浓缩汁;果酒（含酒精）;⽩兰地;烧酒（烈酒）;鸡尾酒;清酒</t>
  </si>
  <si>
    <t>三日映湖</t>
  </si>
  <si>
    <t>孟凡玲</t>
  </si>
  <si>
    <t>⻩酒;含酒精的充⽓饮料（啤酒除外）;红葡萄酒;⽶酒;含酒精⽔果饮料;⾼粱酒;烧酒;饮⽤烈酒;蒸馏⽶酒（泡盛酒）;⽩酒</t>
  </si>
  <si>
    <t>马伍旺</t>
  </si>
  <si>
    <t>南京乐洁辉餐饮发展合伙企业（有限合伙）</t>
  </si>
  <si>
    <t>果酒（含酒精）;葡萄酒;含⽔果酒精饮料;⽶酒;⽩酒;烧酒;⻘稞酒;鸡尾酒;汽酒;⻩酒</t>
  </si>
  <si>
    <t>每每极尊</t>
  </si>
  <si>
    <t>北京每每极尊科技有限公司</t>
  </si>
  <si>
    <t>清酒（⽇本⽶酒）;⻩酒;⽩酒;烧酒;甜酒;葡萄酒;烈酒（饮料）;酒精饮料（啤酒除外）;⽶酒;果酒（含酒精）</t>
  </si>
  <si>
    <t>嘉礼竺韵</t>
  </si>
  <si>
    <t>海宁筱芃商贸有限责任公司</t>
  </si>
  <si>
    <t>酒精饮料（啤酒除外）;果酒（含酒精）;⾷⽤酒精;葡萄酒;⽶酒;鸡尾酒;烧酒;⽩酒;开胃酒;烈酒（饮料）</t>
  </si>
  <si>
    <t>鉴湖一曲</t>
  </si>
  <si>
    <t>烈酒（饮料）;烧酒;甜酒;蒸煮提取物（利⼝酒和烈酒）;⽩酒;果酒（含酒精）;⻩酒;清酒（⽇本⽶酒）;葡萄酒;⽶酒</t>
  </si>
  <si>
    <t>每分子</t>
  </si>
  <si>
    <t>裴美玲</t>
  </si>
  <si>
    <t>⽩酒;开胃酒;果酒;汽酒;清酒;⻩酒;甜酒;⽶酒;葡萄酒;⾷⽤酒精</t>
  </si>
  <si>
    <t>欢伯与果</t>
  </si>
  <si>
    <t>朗姆酒;薄荷酒;利⼝酒;露酒;蒸馏饮料;梅酒;含酒精的⽓泡⽔;亚⼒酒;酒精饮料（啤酒除外）;果酒（含酒精）</t>
  </si>
  <si>
    <t>美兰生</t>
  </si>
  <si>
    <t>果酒（含酒精）;露酒;酒精饮料（啤酒除外）;蒸馏饮料;利⼝酒;含酒精的⽓泡⽔;薄荷酒;朗姆酒;亚⼒酒;梅酒</t>
  </si>
  <si>
    <t>茶悦未来</t>
  </si>
  <si>
    <t>北京道同汇文化发展中心</t>
  </si>
  <si>
    <t>果酒（含酒精）;蒸馏饮料;⽩酒;葡萄酒;⻩酒;鸡尾酒;酒精饮料（啤酒除外）;含酒精的⽓泡⽔;⻘稞酒;⽶酒</t>
  </si>
  <si>
    <t>JAKANGE 佳康捷</t>
  </si>
  <si>
    <t>深圳市佳康捷科技有限公司</t>
  </si>
  <si>
    <t>威⼠忌;⽩兰地;薄荷酒;樱桃酒;苹果酒;苦味酒;酒精饮料（啤酒除外）;蜂蜜酒;⽶酒;果酒（含酒精）</t>
  </si>
  <si>
    <t>华盛森源</t>
  </si>
  <si>
    <t>北京华盛森源技术有限公司</t>
  </si>
  <si>
    <t>烧酒;含酒精⽔果饮料;刺五加酒;伏特加酒;果酒;甜酒;⽩酒;⽼酒（中国蒸馏烈酒）;威⼠忌;葡萄酒</t>
  </si>
  <si>
    <t>怡颗葡</t>
  </si>
  <si>
    <t>石翠芳</t>
  </si>
  <si>
    <t>果酒;汽酒;⾷⽤酒精;⻩酒;⽩酒;清酒;葡萄酒;⽶酒;甜酒;开胃酒</t>
  </si>
  <si>
    <t>醉玄灵</t>
  </si>
  <si>
    <t>南京金宁众康酒业有限公司</t>
  </si>
  <si>
    <t>刺五加酒;⽶酒;⻩酒;果酒（含酒精）;由⾕物蒸馏的⽩酒;葡萄酒;杨梅酒;苦荞酒;⽩酒;露酒</t>
  </si>
  <si>
    <t>悦赫</t>
  </si>
  <si>
    <t>酒精饮料（啤酒除外）;⽶酒;⽩酒;⾼粱酒;烈酒（饮料）;伏特加酒;⻩酒;鸡尾酒;果酒（含酒精）;葡萄酒</t>
  </si>
  <si>
    <t>艾加星</t>
  </si>
  <si>
    <t>湖北荟海医药技术研究院有限公司</t>
  </si>
  <si>
    <t>⻩酒;樱桃酒;薄荷酒;酒精饮料浓缩汁;蜂蜜酒;梨酒;烧酒;果酒（含酒精）;酒精饮料原汁;⽩酒</t>
  </si>
  <si>
    <t>乐耕（青岛）有机食品有限公司</t>
  </si>
  <si>
    <t>鸡尾酒;烈酒（饮料）;酒精饮料（啤酒除外）;含⽔果酒精饮料;果酒（含酒精）;⽩酒;已调味的⻨芽酿制的酒精饮料（啤酒除外）;蒸馏饮料;以葡萄酒为主的饮料;⻩酒</t>
  </si>
  <si>
    <t>京台酒追汇</t>
  </si>
  <si>
    <t>果酒（含酒精）;⽩⼲酒（中国⽩酒）;⽩酒;⻩酒;除啤酒外的酒精饮料;鸡尾酒;烈酒（饮料）;葡萄酒;由⾕物蒸馏的⽩酒;蒸馏饮料</t>
  </si>
  <si>
    <t>天一众和 FU YOU AND I 莒国妈妈</t>
  </si>
  <si>
    <t>袁瑞建</t>
  </si>
  <si>
    <t>葡萄酒;蜂蜜酒;⽩酒;开胃酒;⾕物制蒸馏酒精饮料;⻩酒;含⽔果酒精饮料;果酒;⽶酒;苹果酒</t>
  </si>
  <si>
    <t>今樽师</t>
  </si>
  <si>
    <t>葛小款</t>
  </si>
  <si>
    <t>果酒;开胃酒;葡萄酒;⽶酒;⽩酒;甜酒;汽酒;清酒;⻩酒;⾷⽤酒精</t>
  </si>
  <si>
    <t>秦巴周壹口</t>
  </si>
  <si>
    <t>周明亮</t>
  </si>
  <si>
    <t>含酒精的饮料（啤酒除外）;⽼酒（中国蒸馏烈酒）;果酒（含酒精）;利⼝酒;⻘稞酒;⽩酒;⾕物制蒸馏酒精饮料;⻩酒;⾼粱酒;⾷⽤酒精</t>
  </si>
  <si>
    <t>匠王秘</t>
  </si>
  <si>
    <t>羌朵初品</t>
  </si>
  <si>
    <t>西藏星诚企业管理咨询(集团)有限公司</t>
  </si>
  <si>
    <t>⻩酒;果酒;⾕物制蒸馏酒精饮料;⽩⼲酒（中国⽩酒）;⾼粱酒;烧酒;蒸馏⽶酒（泡盛酒）;⽼酒（中国蒸馏烈酒）;葡萄酒;⽩酒</t>
  </si>
  <si>
    <t>蜜致</t>
  </si>
  <si>
    <t>王晓霞</t>
  </si>
  <si>
    <t>⽩酒;⻩酒;葡萄酒;果酒（含酒精）;⽶酒;伏特加酒;烈酒（饮料）;鸡尾酒;⾼粱酒;酒精饮料（啤酒除外）</t>
  </si>
  <si>
    <t>TFR 太菲瑞</t>
  </si>
  <si>
    <t>南京八号地物流有限公司</t>
  </si>
  <si>
    <t>葡萄酒;朗姆酒;鸡尾酒;⽩兰地;伏特加酒;⽩酒;果酒（含酒精）;烈酒（饮料）;威⼠忌;含⽔果酒精饮料</t>
  </si>
  <si>
    <t>寒风里</t>
  </si>
  <si>
    <t>吴东</t>
  </si>
  <si>
    <t>苦味酒;果酒;⽩酒;烧酒;鸡尾酒;开胃酒;威⼠忌;⽩兰地;酒精饮料（啤酒除外）;⽶酒</t>
  </si>
  <si>
    <t>ANYEE BAZAAR</t>
  </si>
  <si>
    <t>安逸酒店集团有限责任公司</t>
  </si>
  <si>
    <t>⽩酒;果酒（含酒精）;烈酒（饮料）;葡萄酒;预先混合的酒精饮料（以啤酒为主的除外）;含⽔果酒精饮料;蒸煮提取物（利⼝酒和烈酒）;烧酒;酒精饮料（啤酒除外）;鸡尾酒</t>
  </si>
  <si>
    <t>宗酌台</t>
  </si>
  <si>
    <t>张国峰</t>
  </si>
  <si>
    <t>果酒（含酒精）;葡萄酒;⽩兰地;⽶酒;⽩酒;鸡尾酒;蜂蜜酒;烈酒（饮料）;烧酒;甜酒</t>
  </si>
  <si>
    <t>天津粤唯鲜文化产业投资有限公司</t>
  </si>
  <si>
    <t>⽩酒;蒸馏饮料;果酒（含酒精）;烈酒（饮料）;鸡尾酒;开胃酒;含⽔果酒精饮料;汽酒;葡萄酒;清酒（⽇本⽶酒）</t>
  </si>
  <si>
    <t>SXFJ</t>
  </si>
  <si>
    <t>汾阳市纯粮白酒批发零售有限公司</t>
  </si>
  <si>
    <t>⾷⽤酒精;开胃酒;⻘稞酒;⻩酒;汽酒;烧酒;⽩酒;⾼粱酒;苹果酒;清酒</t>
  </si>
  <si>
    <t>华盛贵</t>
  </si>
  <si>
    <t>贵州省仁怀市茅台镇酒源酒厂</t>
  </si>
  <si>
    <t>⾕物制蒸馏酒精饮料;露酒;餐后酒（利⼝酒和烈酒）;烈酒（饮料）;⽶酒;苹果酒;葡萄酒;蒸馏饮料;果酒（含酒精）;⽩酒</t>
  </si>
  <si>
    <t>铂多士</t>
  </si>
  <si>
    <t>广州泰翼通讯科技有限公司</t>
  </si>
  <si>
    <t>葡萄酒;蒸煮提取物（利⼝酒和烈酒）;利⼝酒;果酒（含酒精）;酒精饮料原汁;开胃酒;酸酒（低等葡萄酒）;⽩酒;酒精饮料（啤酒除外）;⻩酒</t>
  </si>
  <si>
    <t>京品熊</t>
  </si>
  <si>
    <t>杨胜</t>
  </si>
  <si>
    <t>果酒（含酒精）;汽酒;葡萄酒;⽩兰地;⽩酒;伏特加酒;⻩酒;烈酒（饮料）;清酒（⽇本⽶酒）;酒精饮料（啤酒除外）</t>
  </si>
  <si>
    <t>韵香远</t>
  </si>
  <si>
    <t>李培雄</t>
  </si>
  <si>
    <t>鸡尾酒;伏特加酒;果酒（含酒精）;葡萄酒;⽩酒;⻩酒;⽶酒;清酒;威⼠忌;烧酒</t>
  </si>
  <si>
    <t>森浩宸</t>
  </si>
  <si>
    <t>山西浩森宸屹商贸有限公司</t>
  </si>
  <si>
    <t>烧酒;⽶酒;葡萄酒;开胃酒;⽩兰地;⻩酒;鸡尾酒;果酒（含酒精）;梨酒;⽩酒</t>
  </si>
  <si>
    <t>乾青晟</t>
  </si>
  <si>
    <t>贵州乾青晟电子商务有限责任公司</t>
  </si>
  <si>
    <t>鸡尾酒;含酒精⽔果饮料;烈性⼲酒;⽶酒;⾷⽤酒精;红葡萄酒;果酒;甜酒;⽇式甜⽶酒;⽩酒</t>
  </si>
  <si>
    <t>贡蜀</t>
  </si>
  <si>
    <t>蜂蜜酒;⽩酒;葡萄酒;利⼝酒;⾷⽤酒精;烧酒;果酒（含酒精）;开胃酒;⻩酒;⽶酒</t>
  </si>
  <si>
    <t>鹏城里</t>
  </si>
  <si>
    <t>贵州省仁怀市文坛酒业有限公司</t>
  </si>
  <si>
    <t>果酒;红葡萄酒;苹果酒;甜酒;烧酒;⽼酒（中国蒸馏烈酒）;⾼粱酒;⻩酒;烈酒;⽶酒</t>
  </si>
  <si>
    <t>酌兰生</t>
  </si>
  <si>
    <t>露酒;酒精饮料（啤酒除外）;亚⼒酒;薄荷酒;朗姆酒;蒸馏饮料;梅酒;含酒精的⽓泡⽔;果酒（含酒精）;利⼝酒</t>
  </si>
  <si>
    <t>智酉坛</t>
  </si>
  <si>
    <t>贵州国坛老窖和佳酒业股份有限公司</t>
  </si>
  <si>
    <t>蒸馏饮料;鸡尾酒;葡萄酒;露酒;清酒;果酒（含酒精）;酒精饮料（啤酒除外）;⽩酒;⽶酒;⻩酒</t>
  </si>
  <si>
    <t>清酒（⽇本⽶酒）;果酒（含酒精）;开胃酒;⽩酒;烈酒（饮料）;蒸馏饮料;汽酒;鸡尾酒;葡萄酒;含⽔果酒精饮料</t>
  </si>
  <si>
    <t>小钉严选</t>
  </si>
  <si>
    <t>黑龙江省小钉网络科技有限责任公司</t>
  </si>
  <si>
    <t>葡萄酒;含⽔果酒精饮料;⽩酒;果酒（含酒精）;烧酒;清酒（⽇本⽶酒）;⻩酒;含酒精的⽓泡⽔;⽶酒;蒸馏饮料</t>
  </si>
  <si>
    <t>2024/07/19</t>
  </si>
  <si>
    <t>祈潭</t>
  </si>
  <si>
    <t>河南飨品酒业有限公司</t>
  </si>
  <si>
    <t>蜂蜜酒;葡萄酒;预先混合的酒精饮料（以啤酒为主的除外）;威⼠忌;开胃酒;⽩酒;⻩酒;⽶酒;烧酒;鸡尾酒</t>
  </si>
  <si>
    <t>膳小双</t>
  </si>
  <si>
    <t>陈晓双</t>
  </si>
  <si>
    <t>清酒;葡萄酒;果酒;烈酒（饮料）;⽩酒;果酒（含酒精）;⻩酒;烧酒;酒精饮料（啤酒除外）;⽶酒</t>
  </si>
  <si>
    <t>留世玫羽</t>
  </si>
  <si>
    <t>宁夏留世葡萄酒庄有限公司</t>
  </si>
  <si>
    <t>蒸馏饮料;果酒（含酒精）;葡萄酒;酒精饮料原汁;⽩酒;⽩兰地;鸡尾酒;威⼠忌;酒精饮料（啤酒除外）;烈酒（饮料）</t>
  </si>
  <si>
    <t>岚澳</t>
  </si>
  <si>
    <t>黄川</t>
  </si>
  <si>
    <t>⽶酒;⻩酒;葡萄酒;⻘稞酒;果酒（含酒精）;威⼠忌;烧酒;⽩酒;含⽔果酒精饮料;⾷⽤酒精</t>
  </si>
  <si>
    <t>曾雀堂</t>
  </si>
  <si>
    <t>曾惠丽</t>
  </si>
  <si>
    <t>开胃酒;⽶酒;⽩酒;伏特加酒;葡萄酒;朗姆酒;烧酒;⾷⽤酒精;威⼠忌;利⼝酒</t>
  </si>
  <si>
    <t>恭众</t>
  </si>
  <si>
    <t>杭州良甫酿造有限公司</t>
  </si>
  <si>
    <t>利⼝酒;⽩酒;蒸馏饮料;酒精饮料（啤酒除外）;⻩酒;甜果酒;开胃酒;清酒（⽇本⽶酒）;朗姆酒;⽶酒</t>
  </si>
  <si>
    <t>德乐隆</t>
  </si>
  <si>
    <t>四川丰良登科技有限责任公司</t>
  </si>
  <si>
    <t>露酒;⻘稞酒;⻩酒;梨酒;葡萄酒;⽩兰地;果酒（含酒精）;⽶酒;酒精饮料原汁;⽩酒</t>
  </si>
  <si>
    <t>四川弘羌贸易有限公司</t>
  </si>
  <si>
    <t>清酒;烧酒;烧酒(烈酒);⽶酒;甜酒;果酒;由⾕物蒸馏的⽩酒;⽩酒;⽼酒(中国蒸馏烈酒);⻩酒</t>
  </si>
  <si>
    <t>汉葆元</t>
  </si>
  <si>
    <t>黄家雷</t>
  </si>
  <si>
    <t>威⼠忌;酒精饮料（啤酒除外）;⻩酒;果酒（含酒精）;葡萄酒;⽩酒;蒸馏饮料;含⽔果酒精饮料;薄荷酒;开胃酒</t>
  </si>
  <si>
    <t>章海君</t>
  </si>
  <si>
    <t>上海胜御参茸有限公司</t>
  </si>
  <si>
    <t>⽩酒;烈酒（饮料）;⽩兰地;⽶酒;鸡尾酒;⻩酒;果酒（含酒精）;以葡萄酒为主的饮料;威⼠忌;汽酒</t>
  </si>
  <si>
    <t>易家九</t>
  </si>
  <si>
    <t>北京爱芙文化传播有限公司</t>
  </si>
  <si>
    <t>⽩酒;酒精饮料浓缩汁;酒精饮料（啤酒除外）;含⽔果酒精饮料;⾕物制蒸馏酒精饮料;⻘稞酒;⻩酒;酒精饮料原汁;⽶酒;清酒</t>
  </si>
  <si>
    <t>柒庄</t>
  </si>
  <si>
    <t>黎祖德</t>
  </si>
  <si>
    <t>⻘稞酒;⻩酒;⽩酒;⾷⽤酒精;葡萄酒;烧酒;鸡尾酒;酒精饮料（啤酒除外）;朗姆酒;果酒（含酒精）</t>
  </si>
  <si>
    <t>BUSHFIRE</t>
  </si>
  <si>
    <t>沃族（蓬莱）葡萄酒庄有限公司</t>
  </si>
  <si>
    <t>果酒（含酒精）;⽩兰地;酒精饮料（啤酒除外）;伏特加酒;朗姆酒;葡萄酒;威⼠忌;利⼝酒;烈酒（饮料）;鸡尾酒</t>
  </si>
  <si>
    <t>闻签</t>
  </si>
  <si>
    <t>山东黄津湾酒水有限公司</t>
  </si>
  <si>
    <t>开胃酒;⻩酒;⽩酒;烈酒（饮料）;烧酒;⻘稞酒;鸡尾酒;葡萄酒;⽩兰地;⽶酒</t>
  </si>
  <si>
    <t>伏特加酒;烈酒（饮料）;利⼝酒;果酒（含酒精）;威⼠忌;葡萄酒;⽩兰地;朗姆酒;酒精饮料（啤酒除外）;鸡尾酒</t>
  </si>
  <si>
    <t>蛇王江涛</t>
  </si>
  <si>
    <t>江涛</t>
  </si>
  <si>
    <t>⽩酒;酒精饮料（啤酒除外）;⾷⽤酒精;果酒（含酒精）;⽶酒;烈酒（饮料）;苦味酒;葡萄酒;餐后酒（利⼝酒和烈酒）;蜂蜜酒</t>
  </si>
  <si>
    <t>留世赤羽</t>
  </si>
  <si>
    <t>⽩兰地;果酒（含酒精）;酒精饮料（啤酒除外）;蒸馏饮料;⽩酒;烈酒（饮料）;鸡尾酒;葡萄酒;酒精饮料原汁;威⼠忌</t>
  </si>
  <si>
    <t>虎师将旅</t>
  </si>
  <si>
    <t>林伟铭</t>
  </si>
  <si>
    <t>葡萄酒;⽩兰地;含⽔果酒精饮料;果酒（含酒精）;鸡尾酒;⽩酒;烧酒;⽶酒;朗姆酒;预先混合的酒精饮料（以啤酒为主的除外）</t>
  </si>
  <si>
    <t>亓姐</t>
  </si>
  <si>
    <t>北京豫商青年创赢联和文化发展有限公司</t>
  </si>
  <si>
    <t>酒精饮料（啤酒除外）;⽩酒;果酒（含酒精）;鸡尾酒;葡萄酒;蒸馏饮料;蒸煮提取物（利⼝酒和烈酒）;酒精饮料原汁;⾷⽤酒精;含⽔果酒精饮料</t>
  </si>
  <si>
    <t>山夕间</t>
  </si>
  <si>
    <t>承德山夕间住宿有限公司</t>
  </si>
  <si>
    <t>烧酒;开胃酒;葡萄酒;汽酒;鸡尾酒;果酒;果酒（含酒精）;酒精饮料（啤酒除外）;⻩酒;⽩酒</t>
  </si>
  <si>
    <t>葡萄酒;烧酒;烈酒（饮料）;酒精饮料（啤酒除外）;鸡尾酒;⾼粱酒;⽶酒;⽩酒;果酒（含酒精）;威⼠忌</t>
  </si>
  <si>
    <t>纯熙宸品</t>
  </si>
  <si>
    <t>宜宾纯熙农业发展有限公司</t>
  </si>
  <si>
    <t>蒸馏饮料;酒精饮料浓缩汁;含⽔果酒精饮料;⾕物制蒸馏酒精饮料;⽩酒;⾷⽤酒精;果酒（含酒精）;酒精饮料原汁;⽶酒;烧酒</t>
  </si>
  <si>
    <t>吉林鹿港鹿业（集团）有限公司</t>
  </si>
  <si>
    <t>预调甜酒;⿅尾浸制的⽩酒;⿅茸⾎浸制的⽩酒;⿅茸浸制的⽩酒;⿅⾻浸制的⽩酒;含酒精的饮料（啤酒除外）;预先混合的酒精饮料（以啤酒为主的除外）;⿅鞭浸制的⽩酒</t>
  </si>
  <si>
    <t>清照雅玖红</t>
  </si>
  <si>
    <t>汽酒;⽩酒;果酒（含酒精）;苹果酒;⽶酒;酒精饮料（啤酒除外）;⻩酒;开胃酒;酸酒（低等葡萄酒）;葡萄酒</t>
  </si>
  <si>
    <t>清照词道</t>
  </si>
  <si>
    <t>开胃酒;葡萄酒;⽶酒;汽酒;酒精饮料（啤酒除外）;果酒（含酒精）;苹果酒;⽩酒;酸酒（低等葡萄酒）;⻩酒</t>
  </si>
  <si>
    <t>高地控股集团股份有限公司</t>
  </si>
  <si>
    <t>预先混合的酒精饮料（以啤酒为主的除外）;鸡尾酒;梅酒;果酒（含酒精）;烈酒;葡萄酒;⽶酒;⻩酒;⽩酒;开胃酒</t>
  </si>
  <si>
    <t>SUNSET RIDGE</t>
  </si>
  <si>
    <t>果酒（含酒精）;烈酒（饮料）;利⼝酒;鸡尾酒;朗姆酒;酒精饮料（啤酒除外）;葡萄酒;⽩兰地;威⼠忌;伏特加酒</t>
  </si>
  <si>
    <t>雅玖红</t>
  </si>
  <si>
    <t>葡萄酒;酸酒（低等葡萄酒）;汽酒;苹果酒;⽶酒;开胃酒;⽩酒;果酒（含酒精）;酒精饮料（啤酒除外）;⻩酒</t>
  </si>
  <si>
    <t>口镇二妮子</t>
  </si>
  <si>
    <t>黄书明</t>
  </si>
  <si>
    <t>果酒（含酒精）;酸酒（低等葡萄酒）;⽩酒;红葡萄酒;鸡尾酒;烈酒（饮料）;烧酒;⻘稞酒;⻩酒;利⼝酒</t>
  </si>
  <si>
    <t>⽩酒;酒精饮料（啤酒除外）;果酒（含酒精）;烈酒（饮料）;⾷⽤酒精;苦味酒;餐后酒（利⼝酒和烈酒）;蜂蜜酒;葡萄酒;⽶酒</t>
  </si>
  <si>
    <t>正澜堂</t>
  </si>
  <si>
    <t>黄伟华</t>
  </si>
  <si>
    <t>⽶酒;葡萄酒;开胃酒;蒸馏饮料;烈酒;烧酒;鸡尾酒;⽩酒;果酒（含酒精）;⾼粱酒</t>
  </si>
  <si>
    <t>留世龙吻</t>
  </si>
  <si>
    <t>果酒（含酒精）;葡萄酒;酒精饮料（啤酒除外）;烈酒（饮料）;⽩兰地;酒精饮料原汁;⽩酒;蒸馏饮料;鸡尾酒;威⼠忌</t>
  </si>
  <si>
    <t>奥兰黑天鹅</t>
  </si>
  <si>
    <t>南京佛勒都娜贸易有限公司</t>
  </si>
  <si>
    <t>葡萄酒;⽩兰地;⽩酒;酒精饮料（啤酒除外）;⻩酒;伏特加酒;薄荷酒;含⽔果酒精饮料;烧酒;⽶酒</t>
  </si>
  <si>
    <t>拉图库里南</t>
  </si>
  <si>
    <t>青岛柒星有品文化传媒有限公司</t>
  </si>
  <si>
    <t>葡萄酒;⽶酒;⽩兰地;⻘稞酒;⽩酒;果酒（含酒精）;清酒（⽇本⽶酒）;酒精饮料（啤酒除外）;⻩酒;烧酒</t>
  </si>
  <si>
    <t>喀瓦日</t>
  </si>
  <si>
    <t>青海喀瓦日食品销售有限公司</t>
  </si>
  <si>
    <t>鸡尾酒;葡萄酒;威⼠忌;伏特加酒;⽩酒;清酒;烈酒（饮料）;⽶酒;烧酒;果酒（含酒精）</t>
  </si>
  <si>
    <t>留世兰羽</t>
  </si>
  <si>
    <t>蒸馏饮料;威⼠忌;葡萄酒;酒精饮料原汁;⽩兰地;酒精饮料（啤酒除外）;果酒（含酒精）;⽩酒;烈酒（饮料）;鸡尾酒</t>
  </si>
  <si>
    <t>颐宠颐家</t>
  </si>
  <si>
    <t>陈秀钗</t>
  </si>
  <si>
    <t>清酒（⽇本⽶酒）;鸡尾酒;⽶酒;⽩酒;餐后酒（利⼝酒和烈酒）;酒精饮料（啤酒除外）;苹果酒;果酒（含酒精）;⾷⽤酒精;以葡萄酒为主的饮料</t>
  </si>
  <si>
    <t>驼小池</t>
  </si>
  <si>
    <t>白特木其胡</t>
  </si>
  <si>
    <t>烧酒;威⼠忌;汽酒;⾷⽤酒精;⾼粱酒;鸡尾酒;葡萄酒;甜果酒;预先混合的酒精饮料（以啤酒为主的除外）;⽩酒</t>
  </si>
  <si>
    <t>2024/07/20</t>
  </si>
  <si>
    <t>KOALACOVE</t>
  </si>
  <si>
    <t>威⼠忌;朗姆酒;酒精饮料（啤酒除外）;利⼝酒;葡萄酒;烈酒（饮料）;⽩兰地;伏特加酒;鸡尾酒;果酒（含酒精）</t>
  </si>
  <si>
    <t>雅馡氏</t>
  </si>
  <si>
    <t>吴文伟</t>
  </si>
  <si>
    <t>葡萄酒;⻩酒;⽩酒;⽶酒;⻘稞酒;⽩兰地;含⽔果酒精饮料;威⼠忌;开胃酒;烧酒</t>
  </si>
  <si>
    <t>鹿子福</t>
  </si>
  <si>
    <t>尹云伟</t>
  </si>
  <si>
    <t>葡萄酒;酒精饮料（啤酒除外）;伏特加酒;威⼠忌;鸡尾酒;⽩酒;烈酒（饮料）;⽩兰地;⽶酒;果酒（含酒精）</t>
  </si>
  <si>
    <t>胜香旺</t>
  </si>
  <si>
    <t>黄权谟</t>
  </si>
  <si>
    <t>利⼝酒;威⼠忌;烈酒（饮料）;烧酒;含⽔果酒精饮料;⻩酒;⽶酒;鸡尾酒;⽩酒;葡萄酒</t>
  </si>
  <si>
    <t>文信友</t>
  </si>
  <si>
    <t>北京紫微玄都品牌管理有限公司</t>
  </si>
  <si>
    <t>⽶酒;⽩酒;烧酒;⻩酒;⽼酒（中国蒸馏烈酒）;⻘稞酒;⾼粱酒;⾷⽤酒精;威⼠忌;葡萄酒</t>
  </si>
  <si>
    <t>丹凤来仪</t>
  </si>
  <si>
    <t>陈元军</t>
  </si>
  <si>
    <t>烧酒;汽酒;⽩酒;清酒（⽇本⽶酒）;⽩兰地;威⼠忌;葡萄酒;⻩酒;鸡尾酒;果酒（含酒精）</t>
  </si>
  <si>
    <t>清仙逸</t>
  </si>
  <si>
    <t>山西古传酿造有限公司</t>
  </si>
  <si>
    <t>烈酒（饮料）;清酒（⽇本⽶酒）;⽶酒;果酒（含酒精）;烧酒;⽩酒;酒精饮料（啤酒除外）;葡萄酒;⻩酒;鸡尾酒</t>
  </si>
  <si>
    <t>思恋明朝</t>
  </si>
  <si>
    <t>邵美专</t>
  </si>
  <si>
    <t>酒精饮料（啤酒除外）;烧酒;葡萄酒;⾼粱酒;⽶酒;威⼠忌;⻩酒;果酒;⽩酒;⽩兰地</t>
  </si>
  <si>
    <t>肥苏</t>
  </si>
  <si>
    <t>吴振烽</t>
  </si>
  <si>
    <t>鸡尾酒;含⽔果酒精饮料;⾷⽤酒精;红葡萄酒;蒸馏饮料;烈酒;果酒;含酒精的饮料（啤酒除外）;⽶酒;⽩酒</t>
  </si>
  <si>
    <t>禾日缘</t>
  </si>
  <si>
    <t>黄国宴</t>
  </si>
  <si>
    <t>鸡尾酒;⽩兰地;烧酒;以葡萄酒为主的饮料;⽩酒;苹果酒;葡萄酒;薄荷酒;含⽔果酒精饮料;果酒（含酒精）</t>
  </si>
  <si>
    <t>襄宛</t>
  </si>
  <si>
    <t>邓州市襄豫商贸有限公司</t>
  </si>
  <si>
    <t>⽩酒;⽶酒;含⽔果酒精饮料;汽酒;⻩酒;果酒（含酒精）;酒精饮料（啤酒除外）;以葡萄酒为主的饮料;已调味的⻨芽酿制的酒精饮料（啤酒除外）;⾷⽤酒精</t>
  </si>
  <si>
    <t>东极雨</t>
  </si>
  <si>
    <t>义乌市鲲鹏在天日用百货有限公司</t>
  </si>
  <si>
    <t>鸡尾酒;烈酒（饮料）;朗姆酒;⽩酒;预先混合的酒精饮料（以啤酒为主的除外）;⽶酒;伏特加酒;清酒（⽇本⽶酒）;威⼠忌;果酒（含酒精）</t>
  </si>
  <si>
    <t>笑满蹊</t>
  </si>
  <si>
    <t>江苏丰临门酒业有限公司</t>
  </si>
  <si>
    <t>果酒;葡萄酒;威⼠忌;⽶酒;⻩酒;⽩酒;酒精饮料原汁;薄荷酒;蜂蜜酒;⾷⽤酒精</t>
  </si>
  <si>
    <t>亨满蹊</t>
  </si>
  <si>
    <t>威⼠忌;果酒;⽶酒;蜂蜜酒;⽩酒;葡萄酒;薄荷酒;酒精饮料原汁;⻩酒;⾷⽤酒精</t>
  </si>
  <si>
    <t>肇小五</t>
  </si>
  <si>
    <t>齐金哲</t>
  </si>
  <si>
    <t>果酒（含酒精）;⽶酒;鸡尾酒;⽩酒;蒸馏饮料;⻩酒;⾷⽤酒精;酒精饮料（啤酒除外）;烈酒（饮料）;伏特加酒</t>
  </si>
  <si>
    <t>乐知趣</t>
  </si>
  <si>
    <t>姜应新</t>
  </si>
  <si>
    <t>葡萄酒;⽩兰地;酒精饮料（啤酒除外）;汽酒;⽩酒;预先混合的酒精饮料（以啤酒为主的除外）;伏特加酒;鸡尾酒;威⼠忌;酒精饮料原汁</t>
  </si>
  <si>
    <t>卡穆茗仕</t>
  </si>
  <si>
    <t>亿晟烈酒联合集团（香港）有限公司</t>
  </si>
  <si>
    <t>威⼠忌;朗姆酒;利⼝酒;鸡尾酒;亚⼒酒;餐后酒（利⼝酒和烈酒）;⽩酒;⽩兰地;葡萄酒;果酒（含酒精）</t>
  </si>
  <si>
    <t>换金山</t>
  </si>
  <si>
    <t>北京广业志远商贸有限公司</t>
  </si>
  <si>
    <t>含⽔果酒精饮料;烧酒;果酒;⽶酒;烈酒;⾼粱酒;烧酒（烈酒）;甜果酒;⽩酒;⽩兰地</t>
  </si>
  <si>
    <t>西遇黔缘</t>
  </si>
  <si>
    <t>成都味百年食品科技有限公司</t>
  </si>
  <si>
    <t>⾼粱酒;烈酒;⽩酒;⽼酒（中国蒸馏烈酒）;⾷⽤酒精;烈性⼲酒;⻘稞酒;烧酒;烧酒（烈酒）;⽩⼲酒（中国⽩酒）</t>
  </si>
  <si>
    <t>三个大爷</t>
  </si>
  <si>
    <t>金阳县金红农业开发有限公司</t>
  </si>
  <si>
    <t>薄荷酒;烧酒;鸡尾酒;朗姆酒;⻩酒;开胃酒;苦味酒;苹果酒;威⼠忌;⽩酒;葡萄酒;酒精饮料（啤酒除外）;果酒（含酒精）;烈酒（饮料）;⽶酒;伏特加酒;含酒精的⽓泡⽔;⻘稞酒;⽢蔗制酒精饮料;⾷⽤酒精</t>
  </si>
  <si>
    <t>立绅</t>
  </si>
  <si>
    <t>天津市立绅餐饮有限公司</t>
  </si>
  <si>
    <t>⻩酒;烧酒;鸡尾酒;清酒（⽇本⽶酒）;果酒（含酒精）;葡萄酒;含酒精⽔果饮料;⽩酒;蒸煮提取物（利⼝酒和烈酒）;开胃酒</t>
  </si>
  <si>
    <t>亨利亚当斯</t>
  </si>
  <si>
    <t>利⼝酒;鸡尾酒;⽩酒;葡萄酒;⽩兰地;果酒（含酒精）;亚⼒酒;餐后酒（利⼝酒和烈酒）;朗姆酒;威⼠忌</t>
  </si>
  <si>
    <t>瓷琨</t>
  </si>
  <si>
    <t>山西清枫电子商务有限公司</t>
  </si>
  <si>
    <t>清酒;汽酒;苦荞酒;⻩酒;⾷⽤酒精;酒精饮料（啤酒除外）;茴⾹酒（利⼝酒）;葡萄酒;果酒;⽩酒</t>
  </si>
  <si>
    <t>诺忠坊</t>
  </si>
  <si>
    <t>中诺（山东）酒业有限公司</t>
  </si>
  <si>
    <t>⽩⼲酒（中国⽩酒）;由⾕物蒸馏的⽩酒;⽩酒;烧酒;朗姆酒（酒精饮料）;露酒;烧酒（烈酒）;蒸馏⽶酒（泡盛酒）;果酒（含酒精）;⽶酒</t>
  </si>
  <si>
    <t>严启慧</t>
  </si>
  <si>
    <t>烈酒（饮料）;果酒（含酒精）;苹果酒;⽩酒;清酒;蒸煮提取物（利⼝酒和烈酒）;烧酒（烈酒）;葡萄酒;酒精饮料（啤酒除外）;⽼酒（中国蒸馏烈酒）</t>
  </si>
  <si>
    <t>绿食指</t>
  </si>
  <si>
    <t>广州尚鼎网络科技有限公司</t>
  </si>
  <si>
    <t>葡萄酒;⽩酒;威⼠忌;汽酒;⻘稞酒;⽶酒;伏特加酒;⻩酒;果酒（含酒精）;蜂蜜酒</t>
  </si>
  <si>
    <t>2024/07/21</t>
  </si>
  <si>
    <t>妙太溪</t>
  </si>
  <si>
    <t>浙江竹云静居旅游开发有限公司</t>
  </si>
  <si>
    <t>含⽔果酒精饮料;果酒（含酒精）;樱桃酒;⾕物制蒸馏酒精饮料;烧酒;⽩酒;⽶酒;⻩酒;葡萄酒;蒸馏饮料</t>
  </si>
  <si>
    <t>洛枫亭</t>
  </si>
  <si>
    <t>林奕辰</t>
  </si>
  <si>
    <t>酒精饮料（啤酒除外）;⽩酒;葡萄酒;蒸馏饮料;⽶酒;⻩酒;果酒（含酒精）;含⽔果酒精饮料;⽢蔗制酒精饮料;⾕物制蒸馏酒精饮料</t>
  </si>
  <si>
    <t>道喜福</t>
  </si>
  <si>
    <t>吴道军</t>
  </si>
  <si>
    <t>果酒（含酒精）;酒精饮料浓缩汁;⽩兰地;含⽔果酒精饮料;⻘稞酒;烧酒;伏特加酒;葡萄酒;鸡尾酒;⽩酒</t>
  </si>
  <si>
    <t>春秋皇渠</t>
  </si>
  <si>
    <t>吴婷510322********5246</t>
  </si>
  <si>
    <t>酒精饮料（啤酒除外）;⻘稞酒;亚⼒酒;烧酒;⽩酒;⽶酒;果酒（含酒精）;⻩酒;甜酒;酒精饮料原汁</t>
  </si>
  <si>
    <t>延景丹</t>
  </si>
  <si>
    <t>⽩酒;含⽔果酒精饮料;⻩酒;伏特加酒;蒸馏饮料;清酒（⽇本⽶酒）;葡萄酒;酒精饮料（啤酒除外）;⽶酒;烧酒</t>
  </si>
  <si>
    <t>2024/07/22</t>
  </si>
  <si>
    <t>韬济堂</t>
  </si>
  <si>
    <t>天津韬禾管理有限公司</t>
  </si>
  <si>
    <t>果酒（含酒精）;苦味酒;酒精饮料（啤酒除外）;含⽔果酒精饮料;⽩酒;葡萄酒;⻩酒;清酒（⽇本⽶酒）;⽢蔗制酒精饮料;烈酒（饮料）</t>
  </si>
  <si>
    <t>皇宫津门酒</t>
  </si>
  <si>
    <t>⽩酒;清酒;⽶酒;利⼝酒;烧酒;葡萄酒;⻩酒;汽酒;果酒;⽩兰地</t>
  </si>
  <si>
    <t>鲲鹏福地</t>
  </si>
  <si>
    <t>国奥商业运营管理（玉林）有限公司</t>
  </si>
  <si>
    <t>开胃酒;葡萄酒;果酒（含酒精）;⾷⽤酒精;酒精饮料（啤酒除外）;蒸煮提取物（利⼝酒和烈酒）;⽶酒;烈酒（饮料）;⽩酒;烧酒</t>
  </si>
  <si>
    <t>石棚渡</t>
  </si>
  <si>
    <t>泸州市江阳区方山镇云峰村集体资产经营管理有限公司</t>
  </si>
  <si>
    <t>苹果酒;⽩酒;樱桃酒;果酒（含酒精）;葡萄酒;含酒精的⽓泡⽔;梨酒;含⽔果酒精饮料;果酒;甜果酒</t>
  </si>
  <si>
    <t>邺知</t>
  </si>
  <si>
    <t>河北醉悟贸易有限公司</t>
  </si>
  <si>
    <t>鸡尾酒;⽩⼲酒（中国⽩酒）;⽩酒;烧酒;果酒;葡萄酒;蒸煮提取物（利⼝酒和烈酒）;酒精饮料（啤酒除外）;烈酒（饮料）;⻩酒</t>
  </si>
  <si>
    <t>水润欣悦</t>
  </si>
  <si>
    <t>郭小娟</t>
  </si>
  <si>
    <t>含⽔果酒精饮料;⽶酒;葡萄酒;朝鲜族⽶酒;⻩酒;果酒（含酒精）;清酒（⽇本⽶酒）;蜂蜜酒;含酒精的⽓泡⽔;⽩酒</t>
  </si>
  <si>
    <t>富贵犬</t>
  </si>
  <si>
    <t>利⼝酒;⽩兰地;蒸馏饮料;酒精饮料（啤酒除外）;苹果酒;酒精饮料原汁;果酒（含酒精）;烧酒;含⽔果酒精饮料;葡萄酒</t>
  </si>
  <si>
    <t>喜莓荟</t>
  </si>
  <si>
    <t>杨凯程</t>
  </si>
  <si>
    <t>烈酒（饮料）;果酒（含酒精）;蒸馏饮料;餐后酒（利⼝酒和烈酒）;朗姆酒;酒精饮料原汁;含⽔果酒精饮料;⽶酒;⽩兰地</t>
  </si>
  <si>
    <t>石空山</t>
  </si>
  <si>
    <t>吴团委</t>
  </si>
  <si>
    <t>葡萄酒;酒精饮料（啤酒除外）;蜂蜜酒;⽶酒;烧酒;苹果酒;⻩酒;果酒（含酒精）;烈酒（饮料）;⽩酒</t>
  </si>
  <si>
    <t>掼必胜</t>
  </si>
  <si>
    <t>烈酒（饮料）;餐后酒（利⼝酒和烈酒）;⽩兰地;酒精饮料原汁;⽶酒;蒸馏饮料;朗姆酒;果酒（含酒精）;含⽔果酒精饮料</t>
  </si>
  <si>
    <t>MR TIGERNVT</t>
  </si>
  <si>
    <t>图木舒克农业科技有限公司</t>
  </si>
  <si>
    <t>果酒（含酒精）;⽩兰地;⽩酒;葡萄酒;⻩酒;⽶酒;烧酒;蒸馏饮料;鸡尾酒;威⼠忌</t>
  </si>
  <si>
    <t>翁琴河</t>
  </si>
  <si>
    <t>王杰</t>
  </si>
  <si>
    <t>薄荷酒;鸡尾酒;果酒（含酒精）;⽩酒;⾕物制蒸馏酒精饮料;⽶酒;烧酒;⻩酒;葡萄酒;烈酒（饮料）</t>
  </si>
  <si>
    <t>青羽司晨</t>
  </si>
  <si>
    <t>徐仕培511129********0615</t>
  </si>
  <si>
    <t>果酒;蜂蜜酒;五加⽪酒（中国混合烈酒）;⻩酒;⽼酒（中国蒸馏烈酒）;⽶酒;葡萄酒;含酒精的饮料（啤酒除外）;甜酒;⽩酒</t>
  </si>
  <si>
    <t>打丘垭</t>
  </si>
  <si>
    <t>母锋藿弋</t>
  </si>
  <si>
    <t>烧酒;⽩酒;鸡尾酒;清酒（⽇本⽶酒）;烈酒（饮料）;⽶酒;果酒（含酒精）;⻩酒;葡萄酒;酒精饮料（啤酒除外）</t>
  </si>
  <si>
    <t>HEIRESS</t>
  </si>
  <si>
    <t>北京许范健康科技有限公司</t>
  </si>
  <si>
    <t>烧酒;⻩酒;⽩酒;烈酒（饮料）;⾷⽤酒精;⽶酒;开胃酒;鸡尾酒;⽩兰地;威⼠忌</t>
  </si>
  <si>
    <t>粮天仙</t>
  </si>
  <si>
    <t>杜发上</t>
  </si>
  <si>
    <t>酒精饮料（啤酒除外）;果酒;清酒;⾼粱酒;甜酒;葡萄酒;鸡尾酒;⽩酒;⻩酒;⽶酒</t>
  </si>
  <si>
    <t>东师说</t>
  </si>
  <si>
    <t>陕西德有精舍品牌管理有限公司</t>
  </si>
  <si>
    <t>清酒（⽇本⽶酒）;柑⾹酒;葡萄酒;利⼝酒;烈酒（饮料）;亚⼒酒;杜松⼦酒;薄荷酒;开胃酒;苦味酒</t>
  </si>
  <si>
    <t>鸿运梦</t>
  </si>
  <si>
    <t>郭新会</t>
  </si>
  <si>
    <t>⽩酒;葡萄酒;开胃酒;威⼠忌;果酒;利⼝酒;⽩兰地;伏特加酒;⻩酒;朗姆酒</t>
  </si>
  <si>
    <t>红缘定</t>
  </si>
  <si>
    <t>王振成</t>
  </si>
  <si>
    <t>鸡尾酒;⽶酒;蜂蜜酒;清酒（⽇本⽶酒）;含⽔果酒精饮料;烧酒;⽩酒;果酒（含酒精）;葡萄酒;酒精饮料（啤酒除外）</t>
  </si>
  <si>
    <t>2024/07/23</t>
  </si>
  <si>
    <t>黑凤玲</t>
  </si>
  <si>
    <t>昆明顺赛农业科技有限公司</t>
  </si>
  <si>
    <t>露酒;⻘梅酒;鸡尾酒;甜果酒;葡萄酒;开胃酒;果酒（含酒精）;苹果酒;苦荞酒;⽶酒</t>
  </si>
  <si>
    <t>客糯鲜</t>
  </si>
  <si>
    <t>黄文彦</t>
  </si>
  <si>
    <t>露酒;开胃酒;⽶酒;烈酒;⽩酒;烧酒;葡萄酒;⻩酒;含⽔果酒精饮料;果酒（含酒精）</t>
  </si>
  <si>
    <t>SKULACHEV-ION</t>
  </si>
  <si>
    <t>长沙玄尊商业发展有限公司</t>
  </si>
  <si>
    <t>⽩兰地;烧酒;葡萄酒;酒精饮料（啤酒除外）;鸡尾酒;汽酒;⽩酒;薄荷酒;果酒（含酒精）;烈酒（饮料）</t>
  </si>
  <si>
    <t>仙翻天</t>
  </si>
  <si>
    <t>果酒（含酒精）;清酒（⽇本⽶酒）;蜂蜜酒;⽩酒;含⽔果酒精饮料;葡萄酒;⽶酒;烧酒;酒精饮料（啤酒除外）;鸡尾酒</t>
  </si>
  <si>
    <t>水光潋滟</t>
  </si>
  <si>
    <t>泸州酒博士电子商务有限公司</t>
  </si>
  <si>
    <t>餐后酒（利⼝酒和烈酒）;露酒;⽩酒;⾕物制蒸馏酒精饮料;⽶酒;葡萄酒;苹果酒;烈酒（饮料）;蒸馏饮料;果酒（含酒精）</t>
  </si>
  <si>
    <t>盛滋记</t>
  </si>
  <si>
    <t>陈尔澄</t>
  </si>
  <si>
    <t>烧酒;⻩酒;葡萄酒;清酒（⽇本⽶酒）;⽩酒;蜂蜜酒;⽶酒;烈酒（饮料）;酒精饮料（啤酒除外）;果酒（含酒精）</t>
  </si>
  <si>
    <t>儇樽</t>
  </si>
  <si>
    <t>陆和洋</t>
  </si>
  <si>
    <t>烈酒（饮料）;⽶酒;⾕物制蒸馏酒精饮料;烧酒;⽼酒（中国蒸馏烈酒）;酒精饮料（啤酒除外）;五加⽪酒（中国混合烈酒）;⻘稞酒;⽩⼲酒（中国⽩酒）;⻩酒</t>
  </si>
  <si>
    <t>谈炎记</t>
  </si>
  <si>
    <t>武汉七壹资本管理有限公司</t>
  </si>
  <si>
    <t>鸡尾酒;含⽔果酒精饮料;⽶酒;⻩酒;⻘梅酒;果酒（含酒精）;葡萄酒;烈酒（饮料）;⽩酒;清酒</t>
  </si>
  <si>
    <t>上海汉庭酒店管理集团有限公司</t>
  </si>
  <si>
    <t>果酒（含酒精）;⻘稞酒;酒精饮料（啤酒除外）;威⼠忌;含⽔果酒精饮料;烈酒（饮料）;⻩酒;⽩酒;⽩兰地;鸡尾酒</t>
  </si>
  <si>
    <t>瑄王赋</t>
  </si>
  <si>
    <t>烧酒;⻩酒;烈酒（饮料）;⾕物制蒸馏酒精饮料;⻘稞酒;⽶酒;五加⽪酒（中国混合烈酒）;⽼酒（中国蒸馏烈酒）;⽩⼲酒（中国⽩酒）;酒精饮料（啤酒除外）</t>
  </si>
  <si>
    <t>穿林打叶</t>
  </si>
  <si>
    <t>苹果酒;露酒;葡萄酒;烈酒（饮料）;⾕物制蒸馏酒精饮料;⽩酒;餐后酒（利⼝酒和烈酒）;果酒（含酒精）;⽶酒;蒸馏饮料</t>
  </si>
  <si>
    <t>儇爷</t>
  </si>
  <si>
    <t>五加⽪酒（中国混合烈酒）;⽶酒;⻘稞酒;⾕物制蒸馏酒精饮料;⻩酒;烧酒;烈酒（饮料）;⽼酒（中国蒸馏烈酒）;酒精饮料（啤酒除外）;⽩⼲酒（中国⽩酒）</t>
  </si>
  <si>
    <t>姜长乐</t>
  </si>
  <si>
    <t>云南冉昕农业科技有限公司</t>
  </si>
  <si>
    <t>含酒精的充⽓饮料（啤酒除外）;餐后酒（利⼝酒和烈酒）;姜汁酒;预先混合的酒精饮料（以啤酒为主的除外）;酒精饮料浓缩汁;汽酒;开胃酒;⻩酒;烧酒;⽩酒</t>
  </si>
  <si>
    <t>窑自在</t>
  </si>
  <si>
    <t>⻩酒;酒精饮料（啤酒除外）;⽩⼲酒（中国⽩酒）;⻘稞酒;五加⽪酒（中国混合烈酒）;烧酒;烈酒（饮料）;⽶酒;⾕物制蒸馏酒精饮料;⽼酒（中国蒸馏烈酒）</t>
  </si>
  <si>
    <t>向阳花</t>
  </si>
  <si>
    <t>济南中糖文化传媒有限公司</t>
  </si>
  <si>
    <t>果酒（含酒精）;⽩酒;烈酒（饮料）;烧酒（烈酒）;⾼粱酒;葡萄酒;露酒;⽶酒;⻩酒;果酒</t>
  </si>
  <si>
    <t>儇凰</t>
  </si>
  <si>
    <t>酒精饮料（啤酒除外）;⽶酒;⾕物制蒸馏酒精饮料;⻩酒;⻘稞酒;⽩⼲酒（中国⽩酒）;烧酒;烈酒（饮料）;⽼酒（中国蒸馏烈酒）;五加⽪酒（中国混合烈酒）</t>
  </si>
  <si>
    <t>向阳花开</t>
  </si>
  <si>
    <t>⽶酒;⻩酒;⽩酒;烧酒（烈酒）;果酒;露酒;⾼粱酒;葡萄酒;烈酒（饮料）;果酒（含酒精）</t>
  </si>
  <si>
    <t>喜共欢</t>
  </si>
  <si>
    <t>烧酒;⽶酒;五加⽪酒（中国混合烈酒）;⻘稞酒;⽩⼲酒（中国⽩酒）;酒精饮料（啤酒除外）;⻩酒;⽼酒（中国蒸馏烈酒）;⾕物制蒸馏酒精饮料;烈酒（饮料）</t>
  </si>
  <si>
    <t>纹成祥瑞</t>
  </si>
  <si>
    <t>内蒙古舜普科技有限公司</t>
  </si>
  <si>
    <t>葡萄酒;酒精饮料原汁;果酒（含酒精）;⾷⽤酒精;烧酒;开胃酒;鸡尾酒;⻘稞酒;⽩酒;清酒（⽇本⽶酒）</t>
  </si>
  <si>
    <t>邓建帅</t>
  </si>
  <si>
    <t>清酒;⽩酒;⻩酒;鸡尾酒;葡萄酒;烧酒;烈酒（饮料）;果酒（含酒精）;⽶酒;酒精饮料（啤酒除外）</t>
  </si>
  <si>
    <t>秘养康</t>
  </si>
  <si>
    <t>池坐国</t>
  </si>
  <si>
    <t>⽩酒;清酒（⽇本⽶酒）;⾷⽤酒精;⻘稞酒;⻩酒;果酒（含酒精）;鸡尾酒;葡萄酒;⽶酒;烧酒</t>
  </si>
  <si>
    <t>虔粤恋</t>
  </si>
  <si>
    <t>江西东鼎生态农业发展有限公司</t>
  </si>
  <si>
    <t>⽩兰地;酒精饮料（啤酒除外）;⽩酒;蒸馏饮料;⻩酒;⽶酒;烧酒;果酒（含酒精）;朗姆酒;葡萄酒</t>
  </si>
  <si>
    <t>宝豫神州</t>
  </si>
  <si>
    <t>蜂蜜酒;清酒（⽇本⽶酒）;⽶酒;果酒（含酒精）;⽩酒;鸡尾酒;烧酒;葡萄酒;含⽔果酒精饮料;酒精饮料（啤酒除外）</t>
  </si>
  <si>
    <t>慈湖澄</t>
  </si>
  <si>
    <t>烈酒（饮料）;⽶酒;烧酒;⽩酒;蜂蜜酒;葡萄酒;清酒（⽇本⽶酒）;酒精饮料（啤酒除外）;⻩酒;果酒（含酒精）</t>
  </si>
  <si>
    <t>江波浩渺</t>
  </si>
  <si>
    <t>露酒;⾕物制蒸馏酒精饮料;葡萄酒;果酒（含酒精）;⽩酒;蒸馏饮料;⽶酒;餐后酒（利⼝酒和烈酒）;苹果酒;烈酒（饮料）</t>
  </si>
  <si>
    <t>江波霁月</t>
  </si>
  <si>
    <t>⽶酒;露酒;餐后酒（利⼝酒和烈酒）;蒸馏饮料;烈酒（饮料）;⾕物制蒸馏酒精饮料;果酒（含酒精）;苹果酒;葡萄酒;⽩酒</t>
  </si>
  <si>
    <t>窑釜</t>
  </si>
  <si>
    <t>⽼酒（中国蒸馏烈酒）;酒精饮料（啤酒除外）;五加⽪酒（中国混合烈酒）;⻘稞酒;烈酒（饮料）;⻩酒;⽶酒;⾕物制蒸馏酒精饮料;⽩⼲酒（中国⽩酒）;烧酒</t>
  </si>
  <si>
    <t>以儒大师</t>
  </si>
  <si>
    <t>鸡尾酒;酒精饮料（啤酒除外）;葡萄酒;果酒（含酒精）;⽩酒;⽶酒;烧酒;清酒（⽇本⽶酒）;含⽔果酒精饮料;蜂蜜酒</t>
  </si>
  <si>
    <t>陕西未来村文化传媒科技有限公司</t>
  </si>
  <si>
    <t>酒精饮料（啤酒除外）;⽶酒;⽩兰地;樱桃酒;含⽔果酒精饮料;⽩酒;酒精饮料浓缩汁;葡萄酒;预先混合的酒精饮料（以啤酒为主的除外）;果酒（含酒精）</t>
  </si>
  <si>
    <t>馋老仙</t>
  </si>
  <si>
    <t>清酒（⽇本⽶酒）;葡萄酒;果酒（含酒精）;酒精饮料（啤酒除外）;鸡尾酒;含⽔果酒精饮料;⽶酒;烧酒;⽩酒;蜂蜜酒</t>
  </si>
  <si>
    <t>寻杜</t>
  </si>
  <si>
    <t>威⼠忌;含⽔果酒精饮料;葡萄酒;酒精饮料（啤酒除外）;⽶酒;果酒（含酒精）;⽩酒;清酒（⽇本⽶酒）;⻩酒;伏特加酒</t>
  </si>
  <si>
    <t>九萤</t>
  </si>
  <si>
    <t>洛阳伯晟商贸有限公司</t>
  </si>
  <si>
    <t>葡萄酒;⽩兰地;⽶酒;⽩酒;⻩酒;烧酒;蒸馏饮料;鸡尾酒;威⼠忌;果酒（含酒精）</t>
  </si>
  <si>
    <t>龙船保罗</t>
  </si>
  <si>
    <t>王小敏</t>
  </si>
  <si>
    <t>⽩酒;清酒;葡萄酒;烧酒;烈酒;露酒;⽶酒;⻘稞酒;⾷⽤酒精;⻩酒</t>
  </si>
  <si>
    <t>鲁知宁</t>
  </si>
  <si>
    <t>江西鲁国宫酒业有限公司</t>
  </si>
  <si>
    <t>⽩兰地;⾕物制蒸馏酒精饮料;⽶酒;果酒（含酒精）;餐后酒（利⼝酒和烈酒）;⻩酒;烧酒;⽩酒;烈酒（饮料）;葡萄酒</t>
  </si>
  <si>
    <t>柔悠乡</t>
  </si>
  <si>
    <t>刘高宏</t>
  </si>
  <si>
    <t>烈酒（饮料）;葡萄酒;酒精饮料（啤酒除外）;⻩酒;鸡尾酒;威⼠忌;果酒（含酒精）;烧酒;⽶酒;⽩酒</t>
  </si>
  <si>
    <t>听文</t>
  </si>
  <si>
    <t>⽶酒;⻩酒;⾷⽤酒精;⽩酒;露酒;清酒;烧酒;⻘稞酒;烈酒;葡萄酒</t>
  </si>
  <si>
    <t>岳福蕴</t>
  </si>
  <si>
    <t>⻩酒;⽼酒（中国蒸馏烈酒）;酒精饮料（啤酒除外）;⾕物制蒸馏酒精饮料;烈酒（饮料）;⻘稞酒;烧酒;⽶酒;⽩⼲酒（中国⽩酒）;五加⽪酒（中国混合烈酒）</t>
  </si>
  <si>
    <t>沈墨臣</t>
  </si>
  <si>
    <t>朱鹤汀（绍兴）黄酒文化发展有限公司</t>
  </si>
  <si>
    <t>鸡尾酒;烧酒;⽩酒;酒精饮料（啤酒除外）;⻩酒;⽢蔗制烈酒;果酒（含酒精）;葡萄酒;烈酒（饮料）;⽶酒</t>
  </si>
  <si>
    <t>琼焱</t>
  </si>
  <si>
    <t>烈酒（饮料）;酒精饮料（啤酒除外）;五加⽪酒（中国混合烈酒）;⽩⼲酒（中国⽩酒）;⻘稞酒;烧酒;⽶酒;⾕物制蒸馏酒精饮料;⻩酒;⽼酒（中国蒸馏烈酒）</t>
  </si>
  <si>
    <t>坛小胖</t>
  </si>
  <si>
    <t>⻩酒;烈酒（饮料）;⽼酒（中国蒸馏烈酒）;⽩⼲酒（中国⽩酒）;⻘稞酒;酒精饮料（啤酒除外）;⽶酒;⾕物制蒸馏酒精饮料;五加⽪酒（中国混合烈酒）;烧酒</t>
  </si>
  <si>
    <t>成功河</t>
  </si>
  <si>
    <t>高锋</t>
  </si>
  <si>
    <t>果酒（含酒精）;清酒（⽇本⽶酒）;⻘稞酒;⾷⽤酒精;葡萄酒;酒精饮料（啤酒除外）;⻩酒;烧酒;鸡尾酒;⽩酒</t>
  </si>
  <si>
    <t>窑壶年</t>
  </si>
  <si>
    <t>烈酒（饮料）;⾕物制蒸馏酒精饮料;⽩⼲酒（中国⽩酒）;⽼酒（中国蒸馏烈酒）;⻘稞酒;五加⽪酒（中国混合烈酒）;烧酒;⻩酒;⽶酒;酒精饮料（啤酒除外）</t>
  </si>
  <si>
    <t>君腾翔</t>
  </si>
  <si>
    <t>北京中辉飞腾科技有限公司</t>
  </si>
  <si>
    <t>⾷⽤酒精;烧酒;蒸馏饮料;⽩酒;⻩酒;酒精饮料（啤酒除外）;⾕物制蒸馏酒精饮料;⽶酒;果酒（含酒精）;以葡萄酒为主的饮料</t>
  </si>
  <si>
    <t>SKQ</t>
  </si>
  <si>
    <t>鸡尾酒;⽩兰地;⽩酒;烈酒（饮料）;烧酒;葡萄酒;薄荷酒;果酒（含酒精）;汽酒;酒精饮料（啤酒除外）</t>
  </si>
  <si>
    <t>羴毳酒</t>
  </si>
  <si>
    <t>陈秀园341225********1223</t>
  </si>
  <si>
    <t>⽩兰地;⽼酒（中国蒸馏烈酒）;烧酒（烈酒）;由⾕物蒸馏的⽩酒;⽇式甜⽶酒;⻩酒;甜果酒;蒸馏⽶酒（泡盛酒）;⽩酒;果酒</t>
  </si>
  <si>
    <t>观夏云</t>
  </si>
  <si>
    <t>陈坤良</t>
  </si>
  <si>
    <t>⽩兰地;鸡尾酒;⽩酒;薄荷酒;威⼠忌;⻩酒;⽶酒;果酒（含酒精）;酒精饮料（啤酒除外）;预先混合的酒精饮料（以啤酒为主的除外）</t>
  </si>
  <si>
    <t>匠品鸿进</t>
  </si>
  <si>
    <t>蜂蜜酒;酒精饮料（啤酒除外）;含⽔果酒精饮料;烧酒;⽩酒;鸡尾酒;葡萄酒;清酒（⽇本⽶酒）;⽶酒;果酒（含酒精）</t>
  </si>
  <si>
    <t>沈酉山</t>
  </si>
  <si>
    <t>烈酒（饮料）;⽢蔗制烈酒;果酒（含酒精）;⻩酒;葡萄酒;⽶酒;⽩酒;酒精饮料（啤酒除外）;鸡尾酒;烧酒</t>
  </si>
  <si>
    <t>红袍得意</t>
  </si>
  <si>
    <t>清酒（⽇本⽶酒）;⽩酒;⽩兰地;威⼠忌;酒精饮料（啤酒除外）;鸡尾酒;烧酒;果酒（含酒精）;葡萄酒;⻩酒</t>
  </si>
  <si>
    <t>衍健元</t>
  </si>
  <si>
    <t>陈文武</t>
  </si>
  <si>
    <t>烧酒;⽩酒;⾷⽤酒精;果酒（含酒精）;⻩酒;葡萄酒;清酒（⽇本⽶酒）;鸡尾酒;⽶酒;⻘稞酒</t>
  </si>
  <si>
    <t>罗兰森</t>
  </si>
  <si>
    <t>柴保中</t>
  </si>
  <si>
    <t>果酒（含酒精）;烧酒;⻩酒;烈酒（饮料）;鸡尾酒;蜂蜜酒;⽩酒;⽩兰地;伏特加酒;⽶酒</t>
  </si>
  <si>
    <t>宴姬</t>
  </si>
  <si>
    <t>⾕物制蒸馏酒精饮料;⽩⼲酒（中国⽩酒）;⻘稞酒;⻩酒;酒精饮料（啤酒除外）;五加⽪酒（中国混合烈酒）;烧酒;烈酒（饮料）;⽼酒（中国蒸馏烈酒）;⽶酒</t>
  </si>
  <si>
    <t>绿波凤</t>
  </si>
  <si>
    <t>湖北稻禾盛贸易有限公司</t>
  </si>
  <si>
    <t>⽩酒;⽶酒;烧酒;⻩酒;果酒（含酒精）;酒精饮料（啤酒除外）;含⽔果酒精饮料;清酒;⻘稞酒;苦荞酒</t>
  </si>
  <si>
    <t>虔城之恋</t>
  </si>
  <si>
    <t>⽩兰地;⽶酒;烧酒;蒸馏饮料;朗姆酒;酒精饮料（啤酒除外）;⻩酒;⽩酒;果酒（含酒精）;葡萄酒</t>
  </si>
  <si>
    <t>盛酩山</t>
  </si>
  <si>
    <t>⻩酒;烈酒（饮料）;⾕物制蒸馏酒精饮料;⻘稞酒;⽩⼲酒（中国⽩酒）;⽶酒;烧酒;酒精饮料（啤酒除外）;五加⽪酒（中国混合烈酒）;⽼酒（中国蒸馏烈酒）</t>
  </si>
  <si>
    <t>沈良衡</t>
  </si>
  <si>
    <t>烧酒;酒精饮料（啤酒除外）;葡萄酒;烈酒（饮料）;⽶酒;⽩酒;果酒（含酒精）;⽢蔗制烈酒;鸡尾酒;⻩酒</t>
  </si>
  <si>
    <t>互古</t>
  </si>
  <si>
    <t>果酒（含酒精）;鸡尾酒;蜂蜜酒;清酒（⽇本⽶酒）;烧酒;葡萄酒;酒精饮料（啤酒除外）;含⽔果酒精饮料;⽶酒;⽩酒</t>
  </si>
  <si>
    <t>双亩</t>
  </si>
  <si>
    <t>葡萄酒;酒精饮料（啤酒除外）;⽶酒;果酒（含酒精）;⽩酒;清酒（⽇本⽶酒）;含⽔果酒精饮料;烧酒;蜂蜜酒;鸡尾酒</t>
  </si>
  <si>
    <t>佑仁神味</t>
  </si>
  <si>
    <t>果酒（含酒精）;酒精饮料（啤酒除外）;鸡尾酒;含⽔果酒精饮料;清酒（⽇本⽶酒）;蜂蜜酒;⽶酒;⽩酒;葡萄酒;烧酒</t>
  </si>
  <si>
    <t>秦川佬</t>
  </si>
  <si>
    <t>陕西精诚曼力谷企业管理有限公司</t>
  </si>
  <si>
    <t>汽酒;果酒;⻩酒;甜酒;烧酒;葡萄酒;烈酒;⽶酒;蜂蜜酒;⽩酒</t>
  </si>
  <si>
    <t>SKULACHEV</t>
  </si>
  <si>
    <t>鸡尾酒;葡萄酒;酒精饮料（啤酒除外）;烧酒;⽩兰地;薄荷酒;汽酒;⽩酒;烈酒（饮料）;果酒（含酒精）</t>
  </si>
  <si>
    <t>小普</t>
  </si>
  <si>
    <t>万江氢能源科技（江苏）有限公司</t>
  </si>
  <si>
    <t>果酒;⽩酒;烧酒;烈酒;鸡尾酒;含酒精的饮料（啤酒除外）;酒精饮料浓缩汁;葡萄酒;酒精饮料原汁;蒸馏饮料</t>
  </si>
  <si>
    <t>2024/07/24</t>
  </si>
  <si>
    <t>和天地</t>
  </si>
  <si>
    <t>上海未石文化科技有限公司</t>
  </si>
  <si>
    <t>酒精饮料（啤酒除外）;⽶酒;⽩酒;葡萄酒;烈酒（饮料）;蜂蜜酒;果酒（含酒精）;⻩酒;⻘稞酒;鸡尾酒</t>
  </si>
  <si>
    <t>祖古卡</t>
  </si>
  <si>
    <t>香格里拉市羽石文化发展有限公司</t>
  </si>
  <si>
    <t>烧酒;甜酒;清酒（⽇本⽶酒）;餐后酒（利⼝酒和烈酒）;⽩酒;威⼠忌;⻘稞酒;葡萄酒;⻩酒;⽶酒</t>
  </si>
  <si>
    <t>奢雪雅</t>
  </si>
  <si>
    <t>滕利伟</t>
  </si>
  <si>
    <t>威⼠忌;烧酒;清酒;⽩酒;含⽔果酒精饮料;鸡尾酒;烈酒（饮料）;酒精饮料原汁;蒸馏饮料;果酒（含酒精）</t>
  </si>
  <si>
    <t>琼穆岗嘎</t>
  </si>
  <si>
    <t>上海东财印章有限公司</t>
  </si>
  <si>
    <t>烧酒;饮⽤烈酒;⽶酒;⽩酒;⽩⼲酒（中国⽩酒）;蒸馏⽶酒（泡盛酒）;伏特加酒;⻩酒;烈酒;⾼粱酒</t>
  </si>
  <si>
    <t>囊伦谦宝</t>
  </si>
  <si>
    <t>重庆巴渝酱道酒业有限公司</t>
  </si>
  <si>
    <t>果酒（含酒精）;开胃酒;⽶酒;⾷⽤酒精;烧酒;⽩酒;烈酒（饮料）;⽩⼲酒（中国⽩酒）;酒精饮料（啤酒除外）;葡萄酒</t>
  </si>
  <si>
    <t>神泰喜丽</t>
  </si>
  <si>
    <t>上海神泰美特商贸有限公司</t>
  </si>
  <si>
    <t>鸡尾酒;烈酒（饮料）;⾕物制蒸馏酒精饮料;蒸馏饮料;⽶酒;果酒（含酒精）;预先混合的酒精饮料（以啤酒为主的除外）;酒精饮料（啤酒除外）;葡萄酒;含⽔果酒精饮料</t>
  </si>
  <si>
    <t>凡阳起航</t>
  </si>
  <si>
    <t>刘文亮</t>
  </si>
  <si>
    <t>⽩酒;蜂蜜酒;蒸煮提取物（利⼝酒和烈酒）;烧酒;⽩⼲酒（中国⽩酒）;烧酒（烈酒）;蒸馏饮料;果酒（含酒精）;开胃酒;⽶酒</t>
  </si>
  <si>
    <t>爵驰</t>
  </si>
  <si>
    <t>康鲜红</t>
  </si>
  <si>
    <t>开胃酒;果酒;汽酒;甜酒;清酒;⽩酒;⽶酒;⻩酒;葡萄酒;⾷⽤酒精</t>
  </si>
  <si>
    <t>圣山百草源</t>
  </si>
  <si>
    <t>长白山保护开发区百草园生物科技有限公司</t>
  </si>
  <si>
    <t>清酒（⽇本⽶酒）;威⼠忌;酒精饮料原汁;葡萄酒;⽩酒;酒精饮料（啤酒除外）;果酒;烈酒（饮料）;含⽔果酒精饮料;⽩兰地</t>
  </si>
  <si>
    <t>古槐陈</t>
  </si>
  <si>
    <t>陈大陆</t>
  </si>
  <si>
    <t>葡萄酒;烈酒（饮料）;⽩酒;杨梅酒;⾼粱酒;⽼酒（中国蒸馏烈酒）;由⾕物蒸馏的⽩酒;⽩⼲酒（中国⽩酒）;果酒;酒精饮料（啤酒除外）</t>
  </si>
  <si>
    <t>润飘乐</t>
  </si>
  <si>
    <t>陶玲</t>
  </si>
  <si>
    <t>⽩酒;烈酒（饮料）;威⼠忌;烧酒;含⽔果酒精饮料;果酒（含酒精）;酒精饮料原汁;清酒;蒸馏饮料;鸡尾酒</t>
  </si>
  <si>
    <t>莱蔓仕</t>
  </si>
  <si>
    <t>烟台市长盛葡萄酒业有限公司</t>
  </si>
  <si>
    <t>威⼠忌;酒精饮料（啤酒除外）;葡萄酒;含⽔果酒精饮料;⽩兰地;果酒（含酒精）;⽶酒;⽩酒;朗姆酒;鸡尾酒</t>
  </si>
  <si>
    <t>耘格格</t>
  </si>
  <si>
    <t>戴姣丽</t>
  </si>
  <si>
    <t>薄荷酒;⽶酒;葡萄酒;鸡尾酒;开胃酒;⽩兰地;⻩酒;⽩酒;烧酒;果酒（含酒精）</t>
  </si>
  <si>
    <t>牧鹤人</t>
  </si>
  <si>
    <t>黑龙江省大荒优品生态农业科技有限公司</t>
  </si>
  <si>
    <t>烧酒;⻩酒;葡萄酒;⽶酒;酒精饮料（啤酒除外）;果酒（含酒精）;含⽔果酒精饮料;汽酒;苹果酒;⽩酒</t>
  </si>
  <si>
    <t>润舒泉</t>
  </si>
  <si>
    <t>陶敏</t>
  </si>
  <si>
    <t>⽩酒;含⽔果酒精饮料;清酒;果酒（含酒精）;酒精饮料原汁;烧酒;鸡尾酒;烈酒（饮料）;威⼠忌;蒸馏饮料</t>
  </si>
  <si>
    <t>LAIMANSHI</t>
  </si>
  <si>
    <t>鸡尾酒;葡萄酒;朗姆酒;酒精饮料（啤酒除外）;含⽔果酒精饮料;威⼠忌;果酒（含酒精）;⽶酒;⽩酒;⽩兰地</t>
  </si>
  <si>
    <t>芒荷优品</t>
  </si>
  <si>
    <t>北京爱康德科技咨询有限责任公司</t>
  </si>
  <si>
    <t>开胃酒;烈酒（饮料）;清酒（⽇本⽶酒）;酒精饮料（啤酒除外）;烧酒;葡萄酒;果酒（含酒精）;⻩酒;鸡尾酒;⽩酒</t>
  </si>
  <si>
    <t>科妍熙</t>
  </si>
  <si>
    <t>北京丹丹姐商贸有限公司</t>
  </si>
  <si>
    <t>烧酒;果酒（含酒精）;⻩酒;⽶酒;烈酒（饮料）;⽩酒;鸡尾酒;酒精饮料（啤酒除外）;梅酒;利⼝酒</t>
  </si>
  <si>
    <t>耘丽生鲜</t>
  </si>
  <si>
    <t>⽩酒;薄荷酒;果酒（含酒精）;鸡尾酒;开胃酒;⽶酒;葡萄酒;⻩酒;烧酒;⽩兰地</t>
  </si>
  <si>
    <t>蜜洛夫 MNPOB</t>
  </si>
  <si>
    <t>海润优达（北京）国际进出口有限公司</t>
  </si>
  <si>
    <t>鸡尾酒;⻘稞酒;酒精饮料（啤酒除外）;果酒;甜酒;⽩酒;伏特加酒;烈酒;烧酒;苦荞酒</t>
  </si>
  <si>
    <t>迪丽珠</t>
  </si>
  <si>
    <t>含⽔果酒精饮料;⽩酒;葡萄酒;鸡尾酒;酒精饮料（啤酒除外）;威⼠忌;⽶酒;⽩兰地;果酒（含酒精）;朗姆酒</t>
  </si>
  <si>
    <t>江悦赐</t>
  </si>
  <si>
    <t>隋文超</t>
  </si>
  <si>
    <t>威⼠忌;⽩酒;鸡尾酒;含⽔果酒精饮料;烧酒;烈酒（饮料）;蒸馏饮料;酒精饮料原汁;清酒;果酒（含酒精）</t>
  </si>
  <si>
    <t>老邹诚</t>
  </si>
  <si>
    <t>冯福亮</t>
  </si>
  <si>
    <t>酒精饮料（啤酒除外）;⽩酒;⽩葡萄酒;⽶酒;烧酒;葡萄酒;威⼠忌;⾕物制蒸馏酒精饮料;调制好的葡萄酒鸡尾酒;果酒（含酒精）</t>
  </si>
  <si>
    <t>2024/07/25</t>
  </si>
  <si>
    <t>福裕良草</t>
  </si>
  <si>
    <t>河北良草食品有限公司</t>
  </si>
  <si>
    <t>酒精饮料原汁;鸡尾酒;烧酒;含⽔果酒精饮料;⾷⽤酒精;⽩酒;烈酒（饮料）;葡萄酒;开胃酒;果酒（含酒精）</t>
  </si>
  <si>
    <t>云礼尚</t>
  </si>
  <si>
    <t>上海金不换实业集团有限公司</t>
  </si>
  <si>
    <t>果酒（含酒精）;威⼠忌;烧酒;朗姆酒（酒精饮料）;梅酒;葡萄酒;⽶酒;⾼粱酒</t>
  </si>
  <si>
    <t>爱梅忆甜</t>
  </si>
  <si>
    <t>广州鸿毅投资有限公司</t>
  </si>
  <si>
    <t>酒精饮料原汁;酒精饮料浓缩汁;⽇本梅⼦酒;果酒;⽩酒;果酒（含酒精）;酒精饮料（啤酒除外）;含⽔果酒精饮料;预先混合的酒精饮料（以啤酒为主的除外）;⽶酒</t>
  </si>
  <si>
    <t>杏德成</t>
  </si>
  <si>
    <t>陷鸿旺</t>
  </si>
  <si>
    <t>杜松⼦酒;烧酒;蒸煮提取物（利⼝酒和烈酒）;开胃酒;⾷⽤酒精;⽩酒;烈酒（饮料）;⻘稞酒;⻩酒;利⼝酒</t>
  </si>
  <si>
    <t>XIAO FENG XIANG</t>
  </si>
  <si>
    <t>郭爱民</t>
  </si>
  <si>
    <t>汽酒;⽶酒;葡萄酒;⻩酒;酒精饮料原汁;含酒精的饮料（啤酒除外）;威⼠忌;⽩兰地;果酒;⽩酒</t>
  </si>
  <si>
    <t>一盏小方</t>
  </si>
  <si>
    <t>北京有方大健康科技有限公司</t>
  </si>
  <si>
    <t>开胃酒;蒸馏饮料;酒精饮料（啤酒除外）;由⾕物蒸馏的⽩酒;果酒（含酒精）;果酒;鸡尾酒;酒精饮料浓缩汁;朗姆酒;含⽔果酒精饮料;⽶酒;伏特加酒;⾕物制蒸馏酒精饮料;威⼠忌;酒精饮料原汁;⻩酒;⽩酒</t>
  </si>
  <si>
    <t>冀林</t>
  </si>
  <si>
    <t>郭金红</t>
  </si>
  <si>
    <t>⽩酒;⽶酒;鸡尾酒;烧酒;果酒;汽酒;⽩兰地;酒精饮料（啤酒除外）;葡萄酒;⻩酒</t>
  </si>
  <si>
    <t>阿代容</t>
  </si>
  <si>
    <t>颜霖</t>
  </si>
  <si>
    <t>果酒（含酒精）;葡萄酒;烧酒;⻩酒;鸡尾酒;威⼠忌;⽶酒;⽩酒;奶油利⼝酒;⻘梅酒</t>
  </si>
  <si>
    <t>GANDHAHILL</t>
  </si>
  <si>
    <t>鲁成东</t>
  </si>
  <si>
    <t>含⽔果酒精饮料;⽩酒</t>
  </si>
  <si>
    <t>芙慕</t>
  </si>
  <si>
    <t>金随元</t>
  </si>
  <si>
    <t>伏特加酒;⽩酒;果酒（含酒精）;⻩酒;⽶酒;葡萄酒;烈酒（饮料）;⾼粱酒;酒精饮料（啤酒除外）;鸡尾酒</t>
  </si>
  <si>
    <t>沽畔春</t>
  </si>
  <si>
    <t>青岛晴天酒业有限公司</t>
  </si>
  <si>
    <t>葡萄酒;⻩酒;⽼酒（中国蒸馏烈酒）;⾼粱酒;甜酒;⽶酒;果酒;⽩酒;以葡萄酒为主的饮料;烧酒</t>
  </si>
  <si>
    <t>中诚纵横工程管理有限公司</t>
  </si>
  <si>
    <t>⾕物制蒸馏酒精饮料;露酒;⻩酒;酒精饮料（啤酒除外）;⾼粱酒;以葡萄酒为主的饮料;⽩酒;葡萄酒;果酒;果酒（含酒精）</t>
  </si>
  <si>
    <t>酌两小方</t>
  </si>
  <si>
    <t>威⼠忌;⾕物制蒸馏酒精饮料;含⽔果酒精饮料;开胃酒;果酒;酒精饮料浓缩汁;伏特加酒;蒸馏饮料;朗姆酒;酒精饮料（啤酒除外）;酒精饮料原汁;鸡尾酒;⻩酒;⽩酒;⽶酒;由⾕物蒸馏的⽩酒;果酒（含酒精）</t>
  </si>
  <si>
    <t>达布希拉图</t>
  </si>
  <si>
    <t>鄂托克旗达布希拉图农牧民专业合作社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</si>
</sst>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4" fillId="0" borderId="1" xfId="1" applyFill="1" applyBorder="1" applyAlignment="1"/>
    <xf numFmtId="0" fontId="3" fillId="0" borderId="1" xfId="2" applyFont="1" applyFill="1" applyBorder="1" applyAlignment="1">
      <alignment horizontal="right"/>
    </xf>
    <xf numFmtId="0" fontId="3" fillId="0" borderId="1" xfId="2" applyFont="1" applyFill="1" applyBorder="1" applyAlignment="1"/>
  </cellXfs>
  <cellStyles count="3">
    <cellStyle name="ハイパーリンク" xfId="1" builtinId="8"/>
    <cellStyle name="標準" xfId="0" builtinId="0"/>
    <cellStyle name="標準_1906th" xfId="2" xr:uid="{25A6BF52-08EF-44CE-B510-70AD9459F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464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0">
        <v>1</v>
      </c>
      <c r="B2" s="11" t="s">
        <v>9</v>
      </c>
      <c r="C2" s="11" t="s">
        <v>152</v>
      </c>
      <c r="D2" s="11" t="s">
        <v>153</v>
      </c>
      <c r="E2" s="9" t="str">
        <f>+HYPERLINK("http://trademark.i-assist.jp/data/china/image_1906th/49789562.pdf", "49789562")</f>
        <v>49789562</v>
      </c>
      <c r="F2" s="11" t="s">
        <v>154</v>
      </c>
      <c r="G2" s="11" t="s">
        <v>155</v>
      </c>
      <c r="H2" s="11" t="s">
        <v>156</v>
      </c>
      <c r="I2" s="11" t="s">
        <v>157</v>
      </c>
    </row>
    <row r="3" spans="1:9" x14ac:dyDescent="0.15">
      <c r="A3" s="10">
        <v>2</v>
      </c>
      <c r="B3" s="11" t="s">
        <v>9</v>
      </c>
      <c r="C3" s="11" t="s">
        <v>152</v>
      </c>
      <c r="D3" s="11" t="s">
        <v>153</v>
      </c>
      <c r="E3" s="9" t="str">
        <f>+HYPERLINK("http://trademark.i-assist.jp/data/china/image_1906th/50436631.pdf", "50436631")</f>
        <v>50436631</v>
      </c>
      <c r="F3" s="11" t="s">
        <v>158</v>
      </c>
      <c r="G3" s="11" t="s">
        <v>31</v>
      </c>
      <c r="H3" s="11" t="s">
        <v>159</v>
      </c>
      <c r="I3" s="11" t="s">
        <v>160</v>
      </c>
    </row>
    <row r="4" spans="1:9" x14ac:dyDescent="0.15">
      <c r="A4" s="10">
        <v>3</v>
      </c>
      <c r="B4" s="11" t="s">
        <v>9</v>
      </c>
      <c r="C4" s="11" t="s">
        <v>152</v>
      </c>
      <c r="D4" s="11" t="s">
        <v>153</v>
      </c>
      <c r="E4" s="9" t="str">
        <f>+HYPERLINK("http://trademark.i-assist.jp/data/china/image_1906th/54795752.pdf", "54795752")</f>
        <v>54795752</v>
      </c>
      <c r="F4" s="11" t="s">
        <v>161</v>
      </c>
      <c r="G4" s="11" t="s">
        <v>162</v>
      </c>
      <c r="H4" s="11" t="s">
        <v>163</v>
      </c>
      <c r="I4" s="11" t="s">
        <v>164</v>
      </c>
    </row>
    <row r="5" spans="1:9" x14ac:dyDescent="0.15">
      <c r="A5" s="10">
        <v>4</v>
      </c>
      <c r="B5" s="11" t="s">
        <v>9</v>
      </c>
      <c r="C5" s="11" t="s">
        <v>152</v>
      </c>
      <c r="D5" s="11" t="s">
        <v>153</v>
      </c>
      <c r="E5" s="9" t="str">
        <f>+HYPERLINK("http://trademark.i-assist.jp/data/china/image_1906th/61245237.pdf", "61245237")</f>
        <v>61245237</v>
      </c>
      <c r="F5" s="11" t="s">
        <v>165</v>
      </c>
      <c r="G5" s="11" t="s">
        <v>166</v>
      </c>
      <c r="H5" s="11" t="s">
        <v>167</v>
      </c>
      <c r="I5" s="11" t="s">
        <v>168</v>
      </c>
    </row>
    <row r="6" spans="1:9" x14ac:dyDescent="0.15">
      <c r="A6" s="10">
        <v>5</v>
      </c>
      <c r="B6" s="11" t="s">
        <v>9</v>
      </c>
      <c r="C6" s="11" t="s">
        <v>152</v>
      </c>
      <c r="D6" s="11" t="s">
        <v>153</v>
      </c>
      <c r="E6" s="9" t="str">
        <f>+HYPERLINK("http://trademark.i-assist.jp/data/china/image_1906th/62164020.pdf", "62164020")</f>
        <v>62164020</v>
      </c>
      <c r="F6" s="11" t="s">
        <v>169</v>
      </c>
      <c r="G6" s="11" t="s">
        <v>170</v>
      </c>
      <c r="H6" s="11" t="s">
        <v>15</v>
      </c>
      <c r="I6" s="11" t="s">
        <v>171</v>
      </c>
    </row>
    <row r="7" spans="1:9" x14ac:dyDescent="0.15">
      <c r="A7" s="10">
        <v>6</v>
      </c>
      <c r="B7" s="11" t="s">
        <v>9</v>
      </c>
      <c r="C7" s="11" t="s">
        <v>152</v>
      </c>
      <c r="D7" s="11" t="s">
        <v>153</v>
      </c>
      <c r="E7" s="9" t="str">
        <f>+HYPERLINK("http://trademark.i-assist.jp/data/china/image_1906th/62784194.pdf", "62784194")</f>
        <v>62784194</v>
      </c>
      <c r="F7" s="11" t="s">
        <v>172</v>
      </c>
      <c r="G7" s="11" t="s">
        <v>173</v>
      </c>
      <c r="H7" s="11" t="s">
        <v>174</v>
      </c>
      <c r="I7" s="11" t="s">
        <v>175</v>
      </c>
    </row>
    <row r="8" spans="1:9" x14ac:dyDescent="0.15">
      <c r="A8" s="10">
        <v>7</v>
      </c>
      <c r="B8" s="11" t="s">
        <v>9</v>
      </c>
      <c r="C8" s="11" t="s">
        <v>152</v>
      </c>
      <c r="D8" s="11" t="s">
        <v>153</v>
      </c>
      <c r="E8" s="9" t="str">
        <f>+HYPERLINK("http://trademark.i-assist.jp/data/china/image_1906th/64538669.pdf", "64538669")</f>
        <v>64538669</v>
      </c>
      <c r="F8" s="11" t="s">
        <v>176</v>
      </c>
      <c r="G8" s="11" t="s">
        <v>177</v>
      </c>
      <c r="H8" s="11" t="s">
        <v>178</v>
      </c>
      <c r="I8" s="11" t="s">
        <v>179</v>
      </c>
    </row>
    <row r="9" spans="1:9" x14ac:dyDescent="0.15">
      <c r="A9" s="10">
        <v>8</v>
      </c>
      <c r="B9" s="11" t="s">
        <v>9</v>
      </c>
      <c r="C9" s="11" t="s">
        <v>152</v>
      </c>
      <c r="D9" s="11" t="s">
        <v>153</v>
      </c>
      <c r="E9" s="9" t="str">
        <f>+HYPERLINK("http://trademark.i-assist.jp/data/china/image_1906th/65350190.pdf", "65350190")</f>
        <v>65350190</v>
      </c>
      <c r="F9" s="11" t="s">
        <v>180</v>
      </c>
      <c r="G9" s="11" t="s">
        <v>181</v>
      </c>
      <c r="H9" s="11" t="s">
        <v>11</v>
      </c>
      <c r="I9" s="11" t="s">
        <v>182</v>
      </c>
    </row>
    <row r="10" spans="1:9" x14ac:dyDescent="0.15">
      <c r="A10" s="10">
        <v>9</v>
      </c>
      <c r="B10" s="11" t="s">
        <v>9</v>
      </c>
      <c r="C10" s="11" t="s">
        <v>152</v>
      </c>
      <c r="D10" s="11" t="s">
        <v>153</v>
      </c>
      <c r="E10" s="9" t="str">
        <f>+HYPERLINK("http://trademark.i-assist.jp/data/china/image_1906th/65728879.pdf", "65728879")</f>
        <v>65728879</v>
      </c>
      <c r="F10" s="11" t="s">
        <v>183</v>
      </c>
      <c r="G10" s="11" t="s">
        <v>184</v>
      </c>
      <c r="H10" s="11" t="s">
        <v>185</v>
      </c>
      <c r="I10" s="11" t="s">
        <v>186</v>
      </c>
    </row>
    <row r="11" spans="1:9" x14ac:dyDescent="0.15">
      <c r="A11" s="10">
        <v>10</v>
      </c>
      <c r="B11" s="11" t="s">
        <v>9</v>
      </c>
      <c r="C11" s="11" t="s">
        <v>152</v>
      </c>
      <c r="D11" s="11" t="s">
        <v>153</v>
      </c>
      <c r="E11" s="9" t="str">
        <f>+HYPERLINK("http://trademark.i-assist.jp/data/china/image_1906th/65765231.pdf", "65765231")</f>
        <v>65765231</v>
      </c>
      <c r="F11" s="11" t="s">
        <v>187</v>
      </c>
      <c r="G11" s="11" t="s">
        <v>181</v>
      </c>
      <c r="H11" s="11" t="s">
        <v>188</v>
      </c>
      <c r="I11" s="11" t="s">
        <v>189</v>
      </c>
    </row>
    <row r="12" spans="1:9" x14ac:dyDescent="0.15">
      <c r="A12" s="10">
        <v>11</v>
      </c>
      <c r="B12" s="11" t="s">
        <v>9</v>
      </c>
      <c r="C12" s="11" t="s">
        <v>152</v>
      </c>
      <c r="D12" s="11" t="s">
        <v>153</v>
      </c>
      <c r="E12" s="9" t="str">
        <f>+HYPERLINK("http://trademark.i-assist.jp/data/china/image_1906th/65771246.pdf", "65771246")</f>
        <v>65771246</v>
      </c>
      <c r="F12" s="11" t="s">
        <v>190</v>
      </c>
      <c r="G12" s="11" t="s">
        <v>191</v>
      </c>
      <c r="H12" s="11" t="s">
        <v>192</v>
      </c>
      <c r="I12" s="11" t="s">
        <v>193</v>
      </c>
    </row>
    <row r="13" spans="1:9" x14ac:dyDescent="0.15">
      <c r="A13" s="10">
        <v>12</v>
      </c>
      <c r="B13" s="11" t="s">
        <v>9</v>
      </c>
      <c r="C13" s="11" t="s">
        <v>152</v>
      </c>
      <c r="D13" s="11" t="s">
        <v>153</v>
      </c>
      <c r="E13" s="9" t="str">
        <f>+HYPERLINK("http://trademark.i-assist.jp/data/china/image_1906th/65789876.pdf", "65789876")</f>
        <v>65789876</v>
      </c>
      <c r="F13" s="11" t="s">
        <v>194</v>
      </c>
      <c r="G13" s="11" t="s">
        <v>195</v>
      </c>
      <c r="H13" s="11" t="s">
        <v>196</v>
      </c>
      <c r="I13" s="11" t="s">
        <v>193</v>
      </c>
    </row>
    <row r="14" spans="1:9" x14ac:dyDescent="0.15">
      <c r="A14" s="10">
        <v>13</v>
      </c>
      <c r="B14" s="11" t="s">
        <v>9</v>
      </c>
      <c r="C14" s="11" t="s">
        <v>152</v>
      </c>
      <c r="D14" s="11" t="s">
        <v>153</v>
      </c>
      <c r="E14" s="9" t="str">
        <f>+HYPERLINK("http://trademark.i-assist.jp/data/china/image_1906th/66948356.pdf", "66948356")</f>
        <v>66948356</v>
      </c>
      <c r="F14" s="11" t="s">
        <v>197</v>
      </c>
      <c r="G14" s="11" t="s">
        <v>198</v>
      </c>
      <c r="H14" s="11" t="s">
        <v>199</v>
      </c>
      <c r="I14" s="11" t="s">
        <v>200</v>
      </c>
    </row>
    <row r="15" spans="1:9" x14ac:dyDescent="0.15">
      <c r="A15" s="10">
        <v>14</v>
      </c>
      <c r="B15" s="11" t="s">
        <v>9</v>
      </c>
      <c r="C15" s="11" t="s">
        <v>152</v>
      </c>
      <c r="D15" s="11" t="s">
        <v>153</v>
      </c>
      <c r="E15" s="9" t="str">
        <f>+HYPERLINK("http://trademark.i-assist.jp/data/china/image_1906th/66981282.pdf", "66981282")</f>
        <v>66981282</v>
      </c>
      <c r="F15" s="11" t="s">
        <v>201</v>
      </c>
      <c r="G15" s="11" t="s">
        <v>202</v>
      </c>
      <c r="H15" s="11" t="s">
        <v>203</v>
      </c>
      <c r="I15" s="11" t="s">
        <v>204</v>
      </c>
    </row>
    <row r="16" spans="1:9" x14ac:dyDescent="0.15">
      <c r="A16" s="10">
        <v>15</v>
      </c>
      <c r="B16" s="11" t="s">
        <v>9</v>
      </c>
      <c r="C16" s="11" t="s">
        <v>152</v>
      </c>
      <c r="D16" s="11" t="s">
        <v>153</v>
      </c>
      <c r="E16" s="9" t="str">
        <f>+HYPERLINK("http://trademark.i-assist.jp/data/china/image_1906th/67074820.pdf", "67074820")</f>
        <v>67074820</v>
      </c>
      <c r="F16" s="11" t="s">
        <v>205</v>
      </c>
      <c r="G16" s="11" t="s">
        <v>68</v>
      </c>
      <c r="H16" s="11" t="s">
        <v>206</v>
      </c>
      <c r="I16" s="11" t="s">
        <v>207</v>
      </c>
    </row>
    <row r="17" spans="1:9" x14ac:dyDescent="0.15">
      <c r="A17" s="10">
        <v>16</v>
      </c>
      <c r="B17" s="11" t="s">
        <v>9</v>
      </c>
      <c r="C17" s="11" t="s">
        <v>152</v>
      </c>
      <c r="D17" s="11" t="s">
        <v>153</v>
      </c>
      <c r="E17" s="9" t="str">
        <f>+HYPERLINK("http://trademark.i-assist.jp/data/china/image_1906th/67182909.pdf", "67182909")</f>
        <v>67182909</v>
      </c>
      <c r="F17" s="11" t="s">
        <v>208</v>
      </c>
      <c r="G17" s="11" t="s">
        <v>209</v>
      </c>
      <c r="H17" s="11" t="s">
        <v>210</v>
      </c>
      <c r="I17" s="11" t="s">
        <v>211</v>
      </c>
    </row>
    <row r="18" spans="1:9" x14ac:dyDescent="0.15">
      <c r="A18" s="10">
        <v>17</v>
      </c>
      <c r="B18" s="11" t="s">
        <v>9</v>
      </c>
      <c r="C18" s="11" t="s">
        <v>152</v>
      </c>
      <c r="D18" s="11" t="s">
        <v>153</v>
      </c>
      <c r="E18" s="9" t="str">
        <f>+HYPERLINK("http://trademark.i-assist.jp/data/china/image_1906th/67273549.pdf", "67273549")</f>
        <v>67273549</v>
      </c>
      <c r="F18" s="11" t="s">
        <v>212</v>
      </c>
      <c r="G18" s="11" t="s">
        <v>213</v>
      </c>
      <c r="H18" s="11" t="s">
        <v>214</v>
      </c>
      <c r="I18" s="11" t="s">
        <v>215</v>
      </c>
    </row>
    <row r="19" spans="1:9" x14ac:dyDescent="0.15">
      <c r="A19" s="10">
        <v>18</v>
      </c>
      <c r="B19" s="11" t="s">
        <v>9</v>
      </c>
      <c r="C19" s="11" t="s">
        <v>152</v>
      </c>
      <c r="D19" s="11" t="s">
        <v>153</v>
      </c>
      <c r="E19" s="9" t="str">
        <f>+HYPERLINK("http://trademark.i-assist.jp/data/china/image_1906th/67782992.pdf", "67782992")</f>
        <v>67782992</v>
      </c>
      <c r="F19" s="11" t="s">
        <v>216</v>
      </c>
      <c r="G19" s="11" t="s">
        <v>31</v>
      </c>
      <c r="H19" s="11" t="s">
        <v>32</v>
      </c>
      <c r="I19" s="11" t="s">
        <v>217</v>
      </c>
    </row>
    <row r="20" spans="1:9" x14ac:dyDescent="0.15">
      <c r="A20" s="10">
        <v>19</v>
      </c>
      <c r="B20" s="11" t="s">
        <v>9</v>
      </c>
      <c r="C20" s="11" t="s">
        <v>152</v>
      </c>
      <c r="D20" s="11" t="s">
        <v>153</v>
      </c>
      <c r="E20" s="9" t="str">
        <f>+HYPERLINK("http://trademark.i-assist.jp/data/china/image_1906th/68259768.pdf", "68259768")</f>
        <v>68259768</v>
      </c>
      <c r="F20" s="11" t="s">
        <v>218</v>
      </c>
      <c r="G20" s="11" t="s">
        <v>219</v>
      </c>
      <c r="H20" s="11" t="s">
        <v>220</v>
      </c>
      <c r="I20" s="11" t="s">
        <v>221</v>
      </c>
    </row>
    <row r="21" spans="1:9" x14ac:dyDescent="0.15">
      <c r="A21" s="10">
        <v>20</v>
      </c>
      <c r="B21" s="11" t="s">
        <v>9</v>
      </c>
      <c r="C21" s="11" t="s">
        <v>152</v>
      </c>
      <c r="D21" s="11" t="s">
        <v>153</v>
      </c>
      <c r="E21" s="9" t="str">
        <f>+HYPERLINK("http://trademark.i-assist.jp/data/china/image_1906th/68286712.pdf", "68286712")</f>
        <v>68286712</v>
      </c>
      <c r="F21" s="11" t="s">
        <v>222</v>
      </c>
      <c r="G21" s="11" t="s">
        <v>10</v>
      </c>
      <c r="H21" s="11" t="s">
        <v>223</v>
      </c>
      <c r="I21" s="11" t="s">
        <v>224</v>
      </c>
    </row>
    <row r="22" spans="1:9" x14ac:dyDescent="0.15">
      <c r="A22" s="10">
        <v>21</v>
      </c>
      <c r="B22" s="11" t="s">
        <v>9</v>
      </c>
      <c r="C22" s="11" t="s">
        <v>152</v>
      </c>
      <c r="D22" s="11" t="s">
        <v>153</v>
      </c>
      <c r="E22" s="9" t="str">
        <f>+HYPERLINK("http://trademark.i-assist.jp/data/china/image_1906th/69089858.pdf", "69089858")</f>
        <v>69089858</v>
      </c>
      <c r="F22" s="11" t="s">
        <v>225</v>
      </c>
      <c r="G22" s="11" t="s">
        <v>10</v>
      </c>
      <c r="H22" s="11" t="s">
        <v>11</v>
      </c>
      <c r="I22" s="11" t="s">
        <v>226</v>
      </c>
    </row>
    <row r="23" spans="1:9" x14ac:dyDescent="0.15">
      <c r="A23" s="10">
        <v>22</v>
      </c>
      <c r="B23" s="11" t="s">
        <v>9</v>
      </c>
      <c r="C23" s="11" t="s">
        <v>152</v>
      </c>
      <c r="D23" s="11" t="s">
        <v>153</v>
      </c>
      <c r="E23" s="9" t="str">
        <f>+HYPERLINK("http://trademark.i-assist.jp/data/china/image_1906th/70432187.pdf", "70432187")</f>
        <v>70432187</v>
      </c>
      <c r="F23" s="11" t="s">
        <v>227</v>
      </c>
      <c r="G23" s="11" t="s">
        <v>228</v>
      </c>
      <c r="H23" s="11" t="s">
        <v>229</v>
      </c>
      <c r="I23" s="11" t="s">
        <v>230</v>
      </c>
    </row>
    <row r="24" spans="1:9" x14ac:dyDescent="0.15">
      <c r="A24" s="10">
        <v>23</v>
      </c>
      <c r="B24" s="11" t="s">
        <v>9</v>
      </c>
      <c r="C24" s="11" t="s">
        <v>152</v>
      </c>
      <c r="D24" s="11" t="s">
        <v>153</v>
      </c>
      <c r="E24" s="9" t="str">
        <f>+HYPERLINK("http://trademark.i-assist.jp/data/china/image_1906th/70753639.pdf", "70753639")</f>
        <v>70753639</v>
      </c>
      <c r="F24" s="11" t="s">
        <v>231</v>
      </c>
      <c r="G24" s="11" t="s">
        <v>232</v>
      </c>
      <c r="H24" s="11" t="s">
        <v>233</v>
      </c>
      <c r="I24" s="11" t="s">
        <v>234</v>
      </c>
    </row>
    <row r="25" spans="1:9" x14ac:dyDescent="0.15">
      <c r="A25" s="10">
        <v>24</v>
      </c>
      <c r="B25" s="11" t="s">
        <v>9</v>
      </c>
      <c r="C25" s="11" t="s">
        <v>152</v>
      </c>
      <c r="D25" s="11" t="s">
        <v>153</v>
      </c>
      <c r="E25" s="9" t="str">
        <f>+HYPERLINK("http://trademark.i-assist.jp/data/china/image_1906th/71485393.pdf", "71485393")</f>
        <v>71485393</v>
      </c>
      <c r="F25" s="11" t="s">
        <v>235</v>
      </c>
      <c r="G25" s="11" t="s">
        <v>68</v>
      </c>
      <c r="H25" s="11" t="s">
        <v>236</v>
      </c>
      <c r="I25" s="11" t="s">
        <v>237</v>
      </c>
    </row>
    <row r="26" spans="1:9" x14ac:dyDescent="0.15">
      <c r="A26" s="10">
        <v>25</v>
      </c>
      <c r="B26" s="11" t="s">
        <v>9</v>
      </c>
      <c r="C26" s="11" t="s">
        <v>152</v>
      </c>
      <c r="D26" s="11" t="s">
        <v>153</v>
      </c>
      <c r="E26" s="9" t="str">
        <f>+HYPERLINK("http://trademark.i-assist.jp/data/china/image_1906th/71932993.pdf", "71932993")</f>
        <v>71932993</v>
      </c>
      <c r="F26" s="11" t="s">
        <v>238</v>
      </c>
      <c r="G26" s="11" t="s">
        <v>239</v>
      </c>
      <c r="H26" s="11" t="s">
        <v>240</v>
      </c>
      <c r="I26" s="11" t="s">
        <v>241</v>
      </c>
    </row>
    <row r="27" spans="1:9" x14ac:dyDescent="0.15">
      <c r="A27" s="10">
        <v>26</v>
      </c>
      <c r="B27" s="11" t="s">
        <v>9</v>
      </c>
      <c r="C27" s="11" t="s">
        <v>152</v>
      </c>
      <c r="D27" s="11" t="s">
        <v>153</v>
      </c>
      <c r="E27" s="9" t="str">
        <f>+HYPERLINK("http://trademark.i-assist.jp/data/china/image_1906th/72440109.pdf", "72440109")</f>
        <v>72440109</v>
      </c>
      <c r="F27" s="11" t="s">
        <v>242</v>
      </c>
      <c r="G27" s="11" t="s">
        <v>243</v>
      </c>
      <c r="H27" s="11" t="s">
        <v>244</v>
      </c>
      <c r="I27" s="11" t="s">
        <v>245</v>
      </c>
    </row>
    <row r="28" spans="1:9" x14ac:dyDescent="0.15">
      <c r="A28" s="10">
        <v>27</v>
      </c>
      <c r="B28" s="11" t="s">
        <v>9</v>
      </c>
      <c r="C28" s="11" t="s">
        <v>152</v>
      </c>
      <c r="D28" s="11" t="s">
        <v>153</v>
      </c>
      <c r="E28" s="9" t="str">
        <f>+HYPERLINK("http://trademark.i-assist.jp/data/china/image_1906th/72543887.pdf", "72543887")</f>
        <v>72543887</v>
      </c>
      <c r="F28" s="11" t="s">
        <v>246</v>
      </c>
      <c r="G28" s="11" t="s">
        <v>247</v>
      </c>
      <c r="H28" s="11" t="s">
        <v>248</v>
      </c>
      <c r="I28" s="11" t="s">
        <v>69</v>
      </c>
    </row>
    <row r="29" spans="1:9" x14ac:dyDescent="0.15">
      <c r="A29" s="10">
        <v>28</v>
      </c>
      <c r="B29" s="11" t="s">
        <v>9</v>
      </c>
      <c r="C29" s="11" t="s">
        <v>152</v>
      </c>
      <c r="D29" s="11" t="s">
        <v>153</v>
      </c>
      <c r="E29" s="9" t="str">
        <f>+HYPERLINK("http://trademark.i-assist.jp/data/china/image_1906th/72671563.pdf", "72671563")</f>
        <v>72671563</v>
      </c>
      <c r="F29" s="11" t="s">
        <v>249</v>
      </c>
      <c r="G29" s="11" t="s">
        <v>250</v>
      </c>
      <c r="H29" s="11" t="s">
        <v>251</v>
      </c>
      <c r="I29" s="11" t="s">
        <v>252</v>
      </c>
    </row>
    <row r="30" spans="1:9" x14ac:dyDescent="0.15">
      <c r="A30" s="10">
        <v>29</v>
      </c>
      <c r="B30" s="11" t="s">
        <v>9</v>
      </c>
      <c r="C30" s="11" t="s">
        <v>152</v>
      </c>
      <c r="D30" s="11" t="s">
        <v>153</v>
      </c>
      <c r="E30" s="9" t="str">
        <f>+HYPERLINK("http://trademark.i-assist.jp/data/china/image_1906th/73018287.pdf", "73018287")</f>
        <v>73018287</v>
      </c>
      <c r="F30" s="11" t="s">
        <v>253</v>
      </c>
      <c r="G30" s="11" t="s">
        <v>254</v>
      </c>
      <c r="H30" s="11" t="s">
        <v>255</v>
      </c>
      <c r="I30" s="11" t="s">
        <v>72</v>
      </c>
    </row>
    <row r="31" spans="1:9" x14ac:dyDescent="0.15">
      <c r="A31" s="10">
        <v>30</v>
      </c>
      <c r="B31" s="11" t="s">
        <v>9</v>
      </c>
      <c r="C31" s="11" t="s">
        <v>152</v>
      </c>
      <c r="D31" s="11" t="s">
        <v>153</v>
      </c>
      <c r="E31" s="9" t="str">
        <f>+HYPERLINK("http://trademark.i-assist.jp/data/china/image_1906th/73111092.pdf", "73111092")</f>
        <v>73111092</v>
      </c>
      <c r="F31" s="11" t="s">
        <v>256</v>
      </c>
      <c r="G31" s="11" t="s">
        <v>257</v>
      </c>
      <c r="H31" s="11" t="s">
        <v>258</v>
      </c>
      <c r="I31" s="11" t="s">
        <v>259</v>
      </c>
    </row>
    <row r="32" spans="1:9" x14ac:dyDescent="0.15">
      <c r="A32" s="10">
        <v>31</v>
      </c>
      <c r="B32" s="11" t="s">
        <v>9</v>
      </c>
      <c r="C32" s="11" t="s">
        <v>152</v>
      </c>
      <c r="D32" s="11" t="s">
        <v>153</v>
      </c>
      <c r="E32" s="9" t="str">
        <f>+HYPERLINK("http://trademark.i-assist.jp/data/china/image_1906th/73411318.pdf", "73411318")</f>
        <v>73411318</v>
      </c>
      <c r="F32" s="11" t="s">
        <v>260</v>
      </c>
      <c r="G32" s="11" t="s">
        <v>261</v>
      </c>
      <c r="H32" s="11" t="s">
        <v>262</v>
      </c>
      <c r="I32" s="11" t="s">
        <v>263</v>
      </c>
    </row>
    <row r="33" spans="1:9" x14ac:dyDescent="0.15">
      <c r="A33" s="10">
        <v>32</v>
      </c>
      <c r="B33" s="11" t="s">
        <v>9</v>
      </c>
      <c r="C33" s="11" t="s">
        <v>152</v>
      </c>
      <c r="D33" s="11" t="s">
        <v>153</v>
      </c>
      <c r="E33" s="9" t="str">
        <f>+HYPERLINK("http://trademark.i-assist.jp/data/china/image_1906th/73560953.pdf", "73560953")</f>
        <v>73560953</v>
      </c>
      <c r="F33" s="11" t="s">
        <v>264</v>
      </c>
      <c r="G33" s="11" t="s">
        <v>265</v>
      </c>
      <c r="H33" s="11" t="s">
        <v>266</v>
      </c>
      <c r="I33" s="11" t="s">
        <v>267</v>
      </c>
    </row>
    <row r="34" spans="1:9" x14ac:dyDescent="0.15">
      <c r="A34" s="10">
        <v>33</v>
      </c>
      <c r="B34" s="11" t="s">
        <v>9</v>
      </c>
      <c r="C34" s="11" t="s">
        <v>152</v>
      </c>
      <c r="D34" s="11" t="s">
        <v>153</v>
      </c>
      <c r="E34" s="9" t="str">
        <f>+HYPERLINK("http://trademark.i-assist.jp/data/china/image_1906th/73671991.pdf", "73671991")</f>
        <v>73671991</v>
      </c>
      <c r="F34" s="11" t="s">
        <v>268</v>
      </c>
      <c r="G34" s="11" t="s">
        <v>269</v>
      </c>
      <c r="H34" s="11" t="s">
        <v>270</v>
      </c>
      <c r="I34" s="11" t="s">
        <v>271</v>
      </c>
    </row>
    <row r="35" spans="1:9" x14ac:dyDescent="0.15">
      <c r="A35" s="10">
        <v>34</v>
      </c>
      <c r="B35" s="11" t="s">
        <v>9</v>
      </c>
      <c r="C35" s="11" t="s">
        <v>152</v>
      </c>
      <c r="D35" s="11" t="s">
        <v>153</v>
      </c>
      <c r="E35" s="9" t="str">
        <f>+HYPERLINK("http://trademark.i-assist.jp/data/china/image_1906th/73942228.pdf", "73942228")</f>
        <v>73942228</v>
      </c>
      <c r="F35" s="11" t="s">
        <v>272</v>
      </c>
      <c r="G35" s="11" t="s">
        <v>273</v>
      </c>
      <c r="H35" s="11" t="s">
        <v>274</v>
      </c>
      <c r="I35" s="11" t="s">
        <v>33</v>
      </c>
    </row>
    <row r="36" spans="1:9" x14ac:dyDescent="0.15">
      <c r="A36" s="10">
        <v>35</v>
      </c>
      <c r="B36" s="11" t="s">
        <v>9</v>
      </c>
      <c r="C36" s="11" t="s">
        <v>152</v>
      </c>
      <c r="D36" s="11" t="s">
        <v>153</v>
      </c>
      <c r="E36" s="9" t="str">
        <f>+HYPERLINK("http://trademark.i-assist.jp/data/china/image_1906th/74040869.pdf", "74040869")</f>
        <v>74040869</v>
      </c>
      <c r="F36" s="11" t="s">
        <v>275</v>
      </c>
      <c r="G36" s="11" t="s">
        <v>276</v>
      </c>
      <c r="H36" s="11" t="s">
        <v>277</v>
      </c>
      <c r="I36" s="11" t="s">
        <v>73</v>
      </c>
    </row>
    <row r="37" spans="1:9" x14ac:dyDescent="0.15">
      <c r="A37" s="10">
        <v>36</v>
      </c>
      <c r="B37" s="11" t="s">
        <v>9</v>
      </c>
      <c r="C37" s="11" t="s">
        <v>152</v>
      </c>
      <c r="D37" s="11" t="s">
        <v>153</v>
      </c>
      <c r="E37" s="9" t="str">
        <f>+HYPERLINK("http://trademark.i-assist.jp/data/china/image_1906th/74112931.pdf", "74112931")</f>
        <v>74112931</v>
      </c>
      <c r="F37" s="11" t="s">
        <v>278</v>
      </c>
      <c r="G37" s="11" t="s">
        <v>279</v>
      </c>
      <c r="H37" s="11" t="s">
        <v>280</v>
      </c>
      <c r="I37" s="11" t="s">
        <v>74</v>
      </c>
    </row>
    <row r="38" spans="1:9" x14ac:dyDescent="0.15">
      <c r="A38" s="10">
        <v>37</v>
      </c>
      <c r="B38" s="11" t="s">
        <v>9</v>
      </c>
      <c r="C38" s="11" t="s">
        <v>152</v>
      </c>
      <c r="D38" s="11" t="s">
        <v>153</v>
      </c>
      <c r="E38" s="9" t="str">
        <f>+HYPERLINK("http://trademark.i-assist.jp/data/china/image_1906th/74192210.pdf", "74192210")</f>
        <v>74192210</v>
      </c>
      <c r="F38" s="11" t="s">
        <v>281</v>
      </c>
      <c r="G38" s="11" t="s">
        <v>282</v>
      </c>
      <c r="H38" s="11" t="s">
        <v>283</v>
      </c>
      <c r="I38" s="11" t="s">
        <v>284</v>
      </c>
    </row>
    <row r="39" spans="1:9" x14ac:dyDescent="0.15">
      <c r="A39" s="10">
        <v>38</v>
      </c>
      <c r="B39" s="11" t="s">
        <v>9</v>
      </c>
      <c r="C39" s="11" t="s">
        <v>152</v>
      </c>
      <c r="D39" s="11" t="s">
        <v>153</v>
      </c>
      <c r="E39" s="9" t="str">
        <f>+HYPERLINK("http://trademark.i-assist.jp/data/china/image_1906th/74221479.pdf", "74221479")</f>
        <v>74221479</v>
      </c>
      <c r="F39" s="11" t="s">
        <v>285</v>
      </c>
      <c r="G39" s="11" t="s">
        <v>286</v>
      </c>
      <c r="H39" s="11" t="s">
        <v>287</v>
      </c>
      <c r="I39" s="11" t="s">
        <v>288</v>
      </c>
    </row>
    <row r="40" spans="1:9" x14ac:dyDescent="0.15">
      <c r="A40" s="10">
        <v>39</v>
      </c>
      <c r="B40" s="11" t="s">
        <v>9</v>
      </c>
      <c r="C40" s="11" t="s">
        <v>152</v>
      </c>
      <c r="D40" s="11" t="s">
        <v>153</v>
      </c>
      <c r="E40" s="9" t="str">
        <f>+HYPERLINK("http://trademark.i-assist.jp/data/china/image_1906th/74347637.pdf", "74347637")</f>
        <v>74347637</v>
      </c>
      <c r="F40" s="11" t="s">
        <v>289</v>
      </c>
      <c r="G40" s="11" t="s">
        <v>290</v>
      </c>
      <c r="H40" s="11" t="s">
        <v>291</v>
      </c>
      <c r="I40" s="11" t="s">
        <v>34</v>
      </c>
    </row>
    <row r="41" spans="1:9" x14ac:dyDescent="0.15">
      <c r="A41" s="10">
        <v>40</v>
      </c>
      <c r="B41" s="11" t="s">
        <v>9</v>
      </c>
      <c r="C41" s="11" t="s">
        <v>152</v>
      </c>
      <c r="D41" s="11" t="s">
        <v>153</v>
      </c>
      <c r="E41" s="9" t="str">
        <f>+HYPERLINK("http://trademark.i-assist.jp/data/china/image_1906th/74389440.pdf", "74389440")</f>
        <v>74389440</v>
      </c>
      <c r="F41" s="11" t="s">
        <v>292</v>
      </c>
      <c r="G41" s="11" t="s">
        <v>293</v>
      </c>
      <c r="H41" s="11" t="s">
        <v>294</v>
      </c>
      <c r="I41" s="11" t="s">
        <v>295</v>
      </c>
    </row>
    <row r="42" spans="1:9" x14ac:dyDescent="0.15">
      <c r="A42" s="10">
        <v>41</v>
      </c>
      <c r="B42" s="11" t="s">
        <v>9</v>
      </c>
      <c r="C42" s="11" t="s">
        <v>152</v>
      </c>
      <c r="D42" s="11" t="s">
        <v>153</v>
      </c>
      <c r="E42" s="9" t="str">
        <f>+HYPERLINK("http://trademark.i-assist.jp/data/china/image_1906th/74496469.pdf", "74496469")</f>
        <v>74496469</v>
      </c>
      <c r="F42" s="11" t="s">
        <v>296</v>
      </c>
      <c r="G42" s="11" t="s">
        <v>297</v>
      </c>
      <c r="H42" s="11" t="s">
        <v>298</v>
      </c>
      <c r="I42" s="11" t="s">
        <v>299</v>
      </c>
    </row>
    <row r="43" spans="1:9" x14ac:dyDescent="0.15">
      <c r="A43" s="10">
        <v>42</v>
      </c>
      <c r="B43" s="11" t="s">
        <v>9</v>
      </c>
      <c r="C43" s="11" t="s">
        <v>152</v>
      </c>
      <c r="D43" s="11" t="s">
        <v>153</v>
      </c>
      <c r="E43" s="9" t="str">
        <f>+HYPERLINK("http://trademark.i-assist.jp/data/china/image_1906th/74636465.pdf", "74636465")</f>
        <v>74636465</v>
      </c>
      <c r="F43" s="11" t="s">
        <v>300</v>
      </c>
      <c r="G43" s="11" t="s">
        <v>301</v>
      </c>
      <c r="H43" s="11" t="s">
        <v>302</v>
      </c>
      <c r="I43" s="11" t="s">
        <v>303</v>
      </c>
    </row>
    <row r="44" spans="1:9" x14ac:dyDescent="0.15">
      <c r="A44" s="10">
        <v>43</v>
      </c>
      <c r="B44" s="11" t="s">
        <v>9</v>
      </c>
      <c r="C44" s="11" t="s">
        <v>152</v>
      </c>
      <c r="D44" s="11" t="s">
        <v>153</v>
      </c>
      <c r="E44" s="9" t="str">
        <f>+HYPERLINK("http://trademark.i-assist.jp/data/china/image_1906th/74716075.pdf", "74716075")</f>
        <v>74716075</v>
      </c>
      <c r="F44" s="11" t="s">
        <v>304</v>
      </c>
      <c r="G44" s="11" t="s">
        <v>305</v>
      </c>
      <c r="H44" s="11" t="s">
        <v>306</v>
      </c>
      <c r="I44" s="11" t="s">
        <v>75</v>
      </c>
    </row>
    <row r="45" spans="1:9" x14ac:dyDescent="0.15">
      <c r="A45" s="10">
        <v>44</v>
      </c>
      <c r="B45" s="11" t="s">
        <v>9</v>
      </c>
      <c r="C45" s="11" t="s">
        <v>152</v>
      </c>
      <c r="D45" s="11" t="s">
        <v>153</v>
      </c>
      <c r="E45" s="9" t="str">
        <f>+HYPERLINK("http://trademark.i-assist.jp/data/china/image_1906th/74718990.pdf", "74718990")</f>
        <v>74718990</v>
      </c>
      <c r="F45" s="11" t="s">
        <v>307</v>
      </c>
      <c r="G45" s="11" t="s">
        <v>308</v>
      </c>
      <c r="H45" s="11" t="s">
        <v>309</v>
      </c>
      <c r="I45" s="11" t="s">
        <v>75</v>
      </c>
    </row>
    <row r="46" spans="1:9" x14ac:dyDescent="0.15">
      <c r="A46" s="10">
        <v>45</v>
      </c>
      <c r="B46" s="11" t="s">
        <v>9</v>
      </c>
      <c r="C46" s="11" t="s">
        <v>152</v>
      </c>
      <c r="D46" s="11" t="s">
        <v>153</v>
      </c>
      <c r="E46" s="9" t="str">
        <f>+HYPERLINK("http://trademark.i-assist.jp/data/china/image_1906th/74824524.pdf", "74824524")</f>
        <v>74824524</v>
      </c>
      <c r="F46" s="11" t="s">
        <v>310</v>
      </c>
      <c r="G46" s="11" t="s">
        <v>311</v>
      </c>
      <c r="H46" s="11" t="s">
        <v>312</v>
      </c>
      <c r="I46" s="11" t="s">
        <v>76</v>
      </c>
    </row>
    <row r="47" spans="1:9" x14ac:dyDescent="0.15">
      <c r="A47" s="10">
        <v>46</v>
      </c>
      <c r="B47" s="11" t="s">
        <v>9</v>
      </c>
      <c r="C47" s="11" t="s">
        <v>152</v>
      </c>
      <c r="D47" s="11" t="s">
        <v>153</v>
      </c>
      <c r="E47" s="9" t="str">
        <f>+HYPERLINK("http://trademark.i-assist.jp/data/china/image_1906th/74943207.pdf", "74943207")</f>
        <v>74943207</v>
      </c>
      <c r="F47" s="11" t="s">
        <v>313</v>
      </c>
      <c r="G47" s="11" t="s">
        <v>314</v>
      </c>
      <c r="H47" s="11" t="s">
        <v>315</v>
      </c>
      <c r="I47" s="11" t="s">
        <v>316</v>
      </c>
    </row>
    <row r="48" spans="1:9" x14ac:dyDescent="0.15">
      <c r="A48" s="10">
        <v>47</v>
      </c>
      <c r="B48" s="11" t="s">
        <v>9</v>
      </c>
      <c r="C48" s="11" t="s">
        <v>152</v>
      </c>
      <c r="D48" s="11" t="s">
        <v>153</v>
      </c>
      <c r="E48" s="9" t="str">
        <f>+HYPERLINK("http://trademark.i-assist.jp/data/china/image_1906th/74998438.pdf", "74998438")</f>
        <v>74998438</v>
      </c>
      <c r="F48" s="11" t="s">
        <v>317</v>
      </c>
      <c r="G48" s="11" t="s">
        <v>318</v>
      </c>
      <c r="H48" s="11" t="s">
        <v>319</v>
      </c>
      <c r="I48" s="11" t="s">
        <v>77</v>
      </c>
    </row>
    <row r="49" spans="1:9" x14ac:dyDescent="0.15">
      <c r="A49" s="10">
        <v>48</v>
      </c>
      <c r="B49" s="11" t="s">
        <v>9</v>
      </c>
      <c r="C49" s="11" t="s">
        <v>152</v>
      </c>
      <c r="D49" s="11" t="s">
        <v>153</v>
      </c>
      <c r="E49" s="9" t="str">
        <f>+HYPERLINK("http://trademark.i-assist.jp/data/china/image_1906th/75043756.pdf", "75043756")</f>
        <v>75043756</v>
      </c>
      <c r="F49" s="11" t="s">
        <v>88</v>
      </c>
      <c r="G49" s="11" t="s">
        <v>89</v>
      </c>
      <c r="H49" s="11" t="s">
        <v>320</v>
      </c>
      <c r="I49" s="11" t="s">
        <v>321</v>
      </c>
    </row>
    <row r="50" spans="1:9" x14ac:dyDescent="0.15">
      <c r="A50" s="10">
        <v>49</v>
      </c>
      <c r="B50" s="11" t="s">
        <v>9</v>
      </c>
      <c r="C50" s="11" t="s">
        <v>152</v>
      </c>
      <c r="D50" s="11" t="s">
        <v>153</v>
      </c>
      <c r="E50" s="9" t="str">
        <f>+HYPERLINK("http://trademark.i-assist.jp/data/china/image_1906th/75054768.pdf", "75054768")</f>
        <v>75054768</v>
      </c>
      <c r="F50" s="11" t="s">
        <v>322</v>
      </c>
      <c r="G50" s="11" t="s">
        <v>323</v>
      </c>
      <c r="H50" s="11" t="s">
        <v>324</v>
      </c>
      <c r="I50" s="11" t="s">
        <v>321</v>
      </c>
    </row>
    <row r="51" spans="1:9" x14ac:dyDescent="0.15">
      <c r="A51" s="10">
        <v>50</v>
      </c>
      <c r="B51" s="11" t="s">
        <v>9</v>
      </c>
      <c r="C51" s="11" t="s">
        <v>152</v>
      </c>
      <c r="D51" s="11" t="s">
        <v>153</v>
      </c>
      <c r="E51" s="9" t="str">
        <f>+HYPERLINK("http://trademark.i-assist.jp/data/china/image_1906th/75063229.pdf", "75063229")</f>
        <v>75063229</v>
      </c>
      <c r="F51" s="11" t="s">
        <v>325</v>
      </c>
      <c r="G51" s="11" t="s">
        <v>326</v>
      </c>
      <c r="H51" s="11" t="s">
        <v>327</v>
      </c>
      <c r="I51" s="11" t="s">
        <v>321</v>
      </c>
    </row>
    <row r="52" spans="1:9" x14ac:dyDescent="0.15">
      <c r="A52" s="10">
        <v>51</v>
      </c>
      <c r="B52" s="11" t="s">
        <v>9</v>
      </c>
      <c r="C52" s="11" t="s">
        <v>152</v>
      </c>
      <c r="D52" s="11" t="s">
        <v>153</v>
      </c>
      <c r="E52" s="9" t="str">
        <f>+HYPERLINK("http://trademark.i-assist.jp/data/china/image_1906th/75106290.pdf", "75106290")</f>
        <v>75106290</v>
      </c>
      <c r="F52" s="11" t="s">
        <v>328</v>
      </c>
      <c r="G52" s="11" t="s">
        <v>329</v>
      </c>
      <c r="H52" s="11" t="s">
        <v>330</v>
      </c>
      <c r="I52" s="11" t="s">
        <v>331</v>
      </c>
    </row>
    <row r="53" spans="1:9" x14ac:dyDescent="0.15">
      <c r="A53" s="10">
        <v>52</v>
      </c>
      <c r="B53" s="11" t="s">
        <v>9</v>
      </c>
      <c r="C53" s="11" t="s">
        <v>152</v>
      </c>
      <c r="D53" s="11" t="s">
        <v>153</v>
      </c>
      <c r="E53" s="9" t="str">
        <f>+HYPERLINK("http://trademark.i-assist.jp/data/china/image_1906th/75183627.pdf", "75183627")</f>
        <v>75183627</v>
      </c>
      <c r="F53" s="11" t="s">
        <v>332</v>
      </c>
      <c r="G53" s="11" t="s">
        <v>333</v>
      </c>
      <c r="H53" s="11" t="s">
        <v>334</v>
      </c>
      <c r="I53" s="11" t="s">
        <v>335</v>
      </c>
    </row>
    <row r="54" spans="1:9" x14ac:dyDescent="0.15">
      <c r="A54" s="10">
        <v>53</v>
      </c>
      <c r="B54" s="11" t="s">
        <v>9</v>
      </c>
      <c r="C54" s="11" t="s">
        <v>152</v>
      </c>
      <c r="D54" s="11" t="s">
        <v>153</v>
      </c>
      <c r="E54" s="9" t="str">
        <f>+HYPERLINK("http://trademark.i-assist.jp/data/china/image_1906th/75255464.pdf", "75255464")</f>
        <v>75255464</v>
      </c>
      <c r="F54" s="11" t="s">
        <v>336</v>
      </c>
      <c r="G54" s="11" t="s">
        <v>337</v>
      </c>
      <c r="H54" s="11" t="s">
        <v>338</v>
      </c>
      <c r="I54" s="11" t="s">
        <v>78</v>
      </c>
    </row>
    <row r="55" spans="1:9" x14ac:dyDescent="0.15">
      <c r="A55" s="10">
        <v>54</v>
      </c>
      <c r="B55" s="11" t="s">
        <v>9</v>
      </c>
      <c r="C55" s="11" t="s">
        <v>152</v>
      </c>
      <c r="D55" s="11" t="s">
        <v>153</v>
      </c>
      <c r="E55" s="9" t="str">
        <f>+HYPERLINK("http://trademark.i-assist.jp/data/china/image_1906th/75272069.pdf", "75272069")</f>
        <v>75272069</v>
      </c>
      <c r="F55" s="11" t="s">
        <v>339</v>
      </c>
      <c r="G55" s="11" t="s">
        <v>340</v>
      </c>
      <c r="H55" s="11" t="s">
        <v>341</v>
      </c>
      <c r="I55" s="11" t="s">
        <v>342</v>
      </c>
    </row>
    <row r="56" spans="1:9" x14ac:dyDescent="0.15">
      <c r="A56" s="10">
        <v>55</v>
      </c>
      <c r="B56" s="11" t="s">
        <v>9</v>
      </c>
      <c r="C56" s="11" t="s">
        <v>152</v>
      </c>
      <c r="D56" s="11" t="s">
        <v>153</v>
      </c>
      <c r="E56" s="9" t="str">
        <f>+HYPERLINK("http://trademark.i-assist.jp/data/china/image_1906th/75273954.pdf", "75273954")</f>
        <v>75273954</v>
      </c>
      <c r="F56" s="11" t="s">
        <v>343</v>
      </c>
      <c r="G56" s="11" t="s">
        <v>344</v>
      </c>
      <c r="H56" s="11" t="s">
        <v>345</v>
      </c>
      <c r="I56" s="11" t="s">
        <v>342</v>
      </c>
    </row>
    <row r="57" spans="1:9" x14ac:dyDescent="0.15">
      <c r="A57" s="10">
        <v>56</v>
      </c>
      <c r="B57" s="11" t="s">
        <v>9</v>
      </c>
      <c r="C57" s="11" t="s">
        <v>152</v>
      </c>
      <c r="D57" s="11" t="s">
        <v>153</v>
      </c>
      <c r="E57" s="9" t="str">
        <f>+HYPERLINK("http://trademark.i-assist.jp/data/china/image_1906th/75321361.pdf", "75321361")</f>
        <v>75321361</v>
      </c>
      <c r="F57" s="11" t="s">
        <v>346</v>
      </c>
      <c r="G57" s="11" t="s">
        <v>347</v>
      </c>
      <c r="H57" s="11" t="s">
        <v>348</v>
      </c>
      <c r="I57" s="11" t="s">
        <v>79</v>
      </c>
    </row>
    <row r="58" spans="1:9" x14ac:dyDescent="0.15">
      <c r="A58" s="10">
        <v>57</v>
      </c>
      <c r="B58" s="11" t="s">
        <v>9</v>
      </c>
      <c r="C58" s="11" t="s">
        <v>152</v>
      </c>
      <c r="D58" s="11" t="s">
        <v>153</v>
      </c>
      <c r="E58" s="9" t="str">
        <f>+HYPERLINK("http://trademark.i-assist.jp/data/china/image_1906th/75354685.pdf", "75354685")</f>
        <v>75354685</v>
      </c>
      <c r="F58" s="11" t="s">
        <v>349</v>
      </c>
      <c r="G58" s="11" t="s">
        <v>350</v>
      </c>
      <c r="H58" s="11" t="s">
        <v>351</v>
      </c>
      <c r="I58" s="11" t="s">
        <v>80</v>
      </c>
    </row>
    <row r="59" spans="1:9" x14ac:dyDescent="0.15">
      <c r="A59" s="10">
        <v>58</v>
      </c>
      <c r="B59" s="11" t="s">
        <v>9</v>
      </c>
      <c r="C59" s="11" t="s">
        <v>152</v>
      </c>
      <c r="D59" s="11" t="s">
        <v>153</v>
      </c>
      <c r="E59" s="9" t="str">
        <f>+HYPERLINK("http://trademark.i-assist.jp/data/china/image_1906th/75594592.pdf", "75594592")</f>
        <v>75594592</v>
      </c>
      <c r="F59" s="11" t="s">
        <v>352</v>
      </c>
      <c r="G59" s="11" t="s">
        <v>353</v>
      </c>
      <c r="H59" s="11" t="s">
        <v>354</v>
      </c>
      <c r="I59" s="11" t="s">
        <v>355</v>
      </c>
    </row>
    <row r="60" spans="1:9" x14ac:dyDescent="0.15">
      <c r="A60" s="10">
        <v>59</v>
      </c>
      <c r="B60" s="11" t="s">
        <v>9</v>
      </c>
      <c r="C60" s="11" t="s">
        <v>152</v>
      </c>
      <c r="D60" s="11" t="s">
        <v>153</v>
      </c>
      <c r="E60" s="9" t="str">
        <f>+HYPERLINK("http://trademark.i-assist.jp/data/china/image_1906th/75618472.pdf", "75618472")</f>
        <v>75618472</v>
      </c>
      <c r="F60" s="11" t="s">
        <v>356</v>
      </c>
      <c r="G60" s="11" t="s">
        <v>357</v>
      </c>
      <c r="H60" s="11" t="s">
        <v>358</v>
      </c>
      <c r="I60" s="11" t="s">
        <v>359</v>
      </c>
    </row>
    <row r="61" spans="1:9" x14ac:dyDescent="0.15">
      <c r="A61" s="10">
        <v>60</v>
      </c>
      <c r="B61" s="11" t="s">
        <v>9</v>
      </c>
      <c r="C61" s="11" t="s">
        <v>152</v>
      </c>
      <c r="D61" s="11" t="s">
        <v>153</v>
      </c>
      <c r="E61" s="9" t="str">
        <f>+HYPERLINK("http://trademark.i-assist.jp/data/china/image_1906th/75662469.pdf", "75662469")</f>
        <v>75662469</v>
      </c>
      <c r="F61" s="11" t="s">
        <v>360</v>
      </c>
      <c r="G61" s="11" t="s">
        <v>361</v>
      </c>
      <c r="H61" s="11" t="s">
        <v>362</v>
      </c>
      <c r="I61" s="11" t="s">
        <v>363</v>
      </c>
    </row>
    <row r="62" spans="1:9" x14ac:dyDescent="0.15">
      <c r="A62" s="10">
        <v>61</v>
      </c>
      <c r="B62" s="11" t="s">
        <v>9</v>
      </c>
      <c r="C62" s="11" t="s">
        <v>152</v>
      </c>
      <c r="D62" s="11" t="s">
        <v>153</v>
      </c>
      <c r="E62" s="9" t="str">
        <f>+HYPERLINK("http://trademark.i-assist.jp/data/china/image_1906th/75713185.pdf", "75713185")</f>
        <v>75713185</v>
      </c>
      <c r="F62" s="11" t="s">
        <v>364</v>
      </c>
      <c r="G62" s="11" t="s">
        <v>365</v>
      </c>
      <c r="H62" s="11" t="s">
        <v>366</v>
      </c>
      <c r="I62" s="11" t="s">
        <v>367</v>
      </c>
    </row>
    <row r="63" spans="1:9" x14ac:dyDescent="0.15">
      <c r="A63" s="10">
        <v>62</v>
      </c>
      <c r="B63" s="11" t="s">
        <v>9</v>
      </c>
      <c r="C63" s="11" t="s">
        <v>152</v>
      </c>
      <c r="D63" s="11" t="s">
        <v>153</v>
      </c>
      <c r="E63" s="9" t="str">
        <f>+HYPERLINK("http://trademark.i-assist.jp/data/china/image_1906th/75843254.pdf", "75843254")</f>
        <v>75843254</v>
      </c>
      <c r="F63" s="11" t="s">
        <v>368</v>
      </c>
      <c r="G63" s="11" t="s">
        <v>369</v>
      </c>
      <c r="H63" s="11" t="s">
        <v>370</v>
      </c>
      <c r="I63" s="11" t="s">
        <v>371</v>
      </c>
    </row>
    <row r="64" spans="1:9" x14ac:dyDescent="0.15">
      <c r="A64" s="10">
        <v>63</v>
      </c>
      <c r="B64" s="11" t="s">
        <v>9</v>
      </c>
      <c r="C64" s="11" t="s">
        <v>152</v>
      </c>
      <c r="D64" s="11" t="s">
        <v>153</v>
      </c>
      <c r="E64" s="9" t="str">
        <f>+HYPERLINK("http://trademark.i-assist.jp/data/china/image_1906th/75867198.pdf", "75867198")</f>
        <v>75867198</v>
      </c>
      <c r="F64" s="11" t="s">
        <v>70</v>
      </c>
      <c r="G64" s="11" t="s">
        <v>71</v>
      </c>
      <c r="H64" s="11" t="s">
        <v>372</v>
      </c>
      <c r="I64" s="11" t="s">
        <v>373</v>
      </c>
    </row>
    <row r="65" spans="1:9" x14ac:dyDescent="0.15">
      <c r="A65" s="10">
        <v>64</v>
      </c>
      <c r="B65" s="11" t="s">
        <v>9</v>
      </c>
      <c r="C65" s="11" t="s">
        <v>152</v>
      </c>
      <c r="D65" s="11" t="s">
        <v>153</v>
      </c>
      <c r="E65" s="9" t="str">
        <f>+HYPERLINK("http://trademark.i-assist.jp/data/china/image_1906th/75875472.pdf", "75875472")</f>
        <v>75875472</v>
      </c>
      <c r="F65" s="11" t="s">
        <v>374</v>
      </c>
      <c r="G65" s="11" t="s">
        <v>375</v>
      </c>
      <c r="H65" s="11" t="s">
        <v>376</v>
      </c>
      <c r="I65" s="11" t="s">
        <v>377</v>
      </c>
    </row>
    <row r="66" spans="1:9" x14ac:dyDescent="0.15">
      <c r="A66" s="10">
        <v>65</v>
      </c>
      <c r="B66" s="11" t="s">
        <v>9</v>
      </c>
      <c r="C66" s="11" t="s">
        <v>152</v>
      </c>
      <c r="D66" s="11" t="s">
        <v>153</v>
      </c>
      <c r="E66" s="9" t="str">
        <f>+HYPERLINK("http://trademark.i-assist.jp/data/china/image_1906th/75907385.pdf", "75907385")</f>
        <v>75907385</v>
      </c>
      <c r="F66" s="11" t="s">
        <v>378</v>
      </c>
      <c r="G66" s="11" t="s">
        <v>379</v>
      </c>
      <c r="H66" s="11" t="s">
        <v>380</v>
      </c>
      <c r="I66" s="11" t="s">
        <v>381</v>
      </c>
    </row>
    <row r="67" spans="1:9" x14ac:dyDescent="0.15">
      <c r="A67" s="10">
        <v>66</v>
      </c>
      <c r="B67" s="11" t="s">
        <v>9</v>
      </c>
      <c r="C67" s="11" t="s">
        <v>152</v>
      </c>
      <c r="D67" s="11" t="s">
        <v>153</v>
      </c>
      <c r="E67" s="9" t="str">
        <f>+HYPERLINK("http://trademark.i-assist.jp/data/china/image_1906th/76080810.pdf", "76080810")</f>
        <v>76080810</v>
      </c>
      <c r="F67" s="11" t="s">
        <v>382</v>
      </c>
      <c r="G67" s="11" t="s">
        <v>383</v>
      </c>
      <c r="H67" s="11" t="s">
        <v>384</v>
      </c>
      <c r="I67" s="11" t="s">
        <v>385</v>
      </c>
    </row>
    <row r="68" spans="1:9" x14ac:dyDescent="0.15">
      <c r="A68" s="10">
        <v>67</v>
      </c>
      <c r="B68" s="11" t="s">
        <v>9</v>
      </c>
      <c r="C68" s="11" t="s">
        <v>152</v>
      </c>
      <c r="D68" s="11" t="s">
        <v>153</v>
      </c>
      <c r="E68" s="9" t="str">
        <f>+HYPERLINK("http://trademark.i-assist.jp/data/china/image_1906th/76442502.pdf", "76442502")</f>
        <v>76442502</v>
      </c>
      <c r="F68" s="11" t="s">
        <v>386</v>
      </c>
      <c r="G68" s="11" t="s">
        <v>387</v>
      </c>
      <c r="H68" s="11" t="s">
        <v>388</v>
      </c>
      <c r="I68" s="11" t="s">
        <v>389</v>
      </c>
    </row>
    <row r="69" spans="1:9" x14ac:dyDescent="0.15">
      <c r="A69" s="10">
        <v>68</v>
      </c>
      <c r="B69" s="11" t="s">
        <v>9</v>
      </c>
      <c r="C69" s="11" t="s">
        <v>152</v>
      </c>
      <c r="D69" s="11" t="s">
        <v>153</v>
      </c>
      <c r="E69" s="9" t="str">
        <f>+HYPERLINK("http://trademark.i-assist.jp/data/china/image_1906th/76661085.pdf", "76661085")</f>
        <v>76661085</v>
      </c>
      <c r="F69" s="11" t="s">
        <v>390</v>
      </c>
      <c r="G69" s="11" t="s">
        <v>391</v>
      </c>
      <c r="H69" s="11" t="s">
        <v>392</v>
      </c>
      <c r="I69" s="11" t="s">
        <v>393</v>
      </c>
    </row>
    <row r="70" spans="1:9" x14ac:dyDescent="0.15">
      <c r="A70" s="10">
        <v>69</v>
      </c>
      <c r="B70" s="11" t="s">
        <v>9</v>
      </c>
      <c r="C70" s="11" t="s">
        <v>152</v>
      </c>
      <c r="D70" s="11" t="s">
        <v>153</v>
      </c>
      <c r="E70" s="9" t="str">
        <f>+HYPERLINK("http://trademark.i-assist.jp/data/china/image_1906th/77338653.pdf", "77338653")</f>
        <v>77338653</v>
      </c>
      <c r="F70" s="11" t="s">
        <v>394</v>
      </c>
      <c r="G70" s="11" t="s">
        <v>395</v>
      </c>
      <c r="H70" s="11" t="s">
        <v>396</v>
      </c>
      <c r="I70" s="11" t="s">
        <v>397</v>
      </c>
    </row>
    <row r="71" spans="1:9" x14ac:dyDescent="0.15">
      <c r="A71" s="10">
        <v>70</v>
      </c>
      <c r="B71" s="11" t="s">
        <v>9</v>
      </c>
      <c r="C71" s="11" t="s">
        <v>152</v>
      </c>
      <c r="D71" s="11" t="s">
        <v>153</v>
      </c>
      <c r="E71" s="9" t="str">
        <f>+HYPERLINK("http://trademark.i-assist.jp/data/china/image_1906th/77380109.pdf", "77380109")</f>
        <v>77380109</v>
      </c>
      <c r="F71" s="11" t="s">
        <v>398</v>
      </c>
      <c r="G71" s="11" t="s">
        <v>399</v>
      </c>
      <c r="H71" s="11" t="s">
        <v>400</v>
      </c>
      <c r="I71" s="11" t="s">
        <v>401</v>
      </c>
    </row>
    <row r="72" spans="1:9" x14ac:dyDescent="0.15">
      <c r="A72" s="10">
        <v>71</v>
      </c>
      <c r="B72" s="11" t="s">
        <v>9</v>
      </c>
      <c r="C72" s="11" t="s">
        <v>152</v>
      </c>
      <c r="D72" s="11" t="s">
        <v>153</v>
      </c>
      <c r="E72" s="9" t="str">
        <f>+HYPERLINK("http://trademark.i-assist.jp/data/china/image_1906th/77406361.pdf", "77406361")</f>
        <v>77406361</v>
      </c>
      <c r="F72" s="11" t="s">
        <v>402</v>
      </c>
      <c r="G72" s="11" t="s">
        <v>403</v>
      </c>
      <c r="H72" s="11" t="s">
        <v>404</v>
      </c>
      <c r="I72" s="11" t="s">
        <v>35</v>
      </c>
    </row>
    <row r="73" spans="1:9" x14ac:dyDescent="0.15">
      <c r="A73" s="10">
        <v>72</v>
      </c>
      <c r="B73" s="11" t="s">
        <v>9</v>
      </c>
      <c r="C73" s="11" t="s">
        <v>152</v>
      </c>
      <c r="D73" s="11" t="s">
        <v>153</v>
      </c>
      <c r="E73" s="9" t="str">
        <f>+HYPERLINK("http://trademark.i-assist.jp/data/china/image_1906th/77793762.pdf", "77793762")</f>
        <v>77793762</v>
      </c>
      <c r="F73" s="11" t="s">
        <v>405</v>
      </c>
      <c r="G73" s="11" t="s">
        <v>406</v>
      </c>
      <c r="H73" s="11" t="s">
        <v>407</v>
      </c>
      <c r="I73" s="11" t="s">
        <v>408</v>
      </c>
    </row>
    <row r="74" spans="1:9" x14ac:dyDescent="0.15">
      <c r="A74" s="10">
        <v>73</v>
      </c>
      <c r="B74" s="11" t="s">
        <v>9</v>
      </c>
      <c r="C74" s="11" t="s">
        <v>152</v>
      </c>
      <c r="D74" s="11" t="s">
        <v>153</v>
      </c>
      <c r="E74" s="9" t="str">
        <f>+HYPERLINK("http://trademark.i-assist.jp/data/china/image_1906th/77859331.pdf", "77859331")</f>
        <v>77859331</v>
      </c>
      <c r="F74" s="11" t="s">
        <v>409</v>
      </c>
      <c r="G74" s="11" t="s">
        <v>410</v>
      </c>
      <c r="H74" s="11" t="s">
        <v>411</v>
      </c>
      <c r="I74" s="11" t="s">
        <v>412</v>
      </c>
    </row>
    <row r="75" spans="1:9" x14ac:dyDescent="0.15">
      <c r="A75" s="10">
        <v>74</v>
      </c>
      <c r="B75" s="11" t="s">
        <v>9</v>
      </c>
      <c r="C75" s="11" t="s">
        <v>152</v>
      </c>
      <c r="D75" s="11" t="s">
        <v>153</v>
      </c>
      <c r="E75" s="9" t="str">
        <f>+HYPERLINK("http://trademark.i-assist.jp/data/china/image_1906th/78007374.pdf", "78007374")</f>
        <v>78007374</v>
      </c>
      <c r="F75" s="11" t="s">
        <v>413</v>
      </c>
      <c r="G75" s="11" t="s">
        <v>414</v>
      </c>
      <c r="H75" s="11" t="s">
        <v>415</v>
      </c>
      <c r="I75" s="11" t="s">
        <v>18</v>
      </c>
    </row>
    <row r="76" spans="1:9" x14ac:dyDescent="0.15">
      <c r="A76" s="10">
        <v>75</v>
      </c>
      <c r="B76" s="11" t="s">
        <v>9</v>
      </c>
      <c r="C76" s="11" t="s">
        <v>152</v>
      </c>
      <c r="D76" s="11" t="s">
        <v>153</v>
      </c>
      <c r="E76" s="9" t="str">
        <f>+HYPERLINK("http://trademark.i-assist.jp/data/china/image_1906th/78099579.pdf", "78099579")</f>
        <v>78099579</v>
      </c>
      <c r="F76" s="11" t="s">
        <v>416</v>
      </c>
      <c r="G76" s="11" t="s">
        <v>417</v>
      </c>
      <c r="H76" s="11" t="s">
        <v>415</v>
      </c>
      <c r="I76" s="11" t="s">
        <v>18</v>
      </c>
    </row>
    <row r="77" spans="1:9" x14ac:dyDescent="0.15">
      <c r="A77" s="10">
        <v>76</v>
      </c>
      <c r="B77" s="11" t="s">
        <v>9</v>
      </c>
      <c r="C77" s="11" t="s">
        <v>152</v>
      </c>
      <c r="D77" s="11" t="s">
        <v>153</v>
      </c>
      <c r="E77" s="9" t="str">
        <f>+HYPERLINK("http://trademark.i-assist.jp/data/china/image_1906th/78125937.pdf", "78125937")</f>
        <v>78125937</v>
      </c>
      <c r="F77" s="11" t="s">
        <v>418</v>
      </c>
      <c r="G77" s="11" t="s">
        <v>419</v>
      </c>
      <c r="H77" s="11" t="s">
        <v>420</v>
      </c>
      <c r="I77" s="11" t="s">
        <v>421</v>
      </c>
    </row>
    <row r="78" spans="1:9" x14ac:dyDescent="0.15">
      <c r="A78" s="10">
        <v>77</v>
      </c>
      <c r="B78" s="11" t="s">
        <v>9</v>
      </c>
      <c r="C78" s="11" t="s">
        <v>152</v>
      </c>
      <c r="D78" s="11" t="s">
        <v>153</v>
      </c>
      <c r="E78" s="9" t="str">
        <f>+HYPERLINK("http://trademark.i-assist.jp/data/china/image_1906th/78194783.pdf", "78194783")</f>
        <v>78194783</v>
      </c>
      <c r="F78" s="11" t="s">
        <v>422</v>
      </c>
      <c r="G78" s="11" t="s">
        <v>423</v>
      </c>
      <c r="H78" s="11" t="s">
        <v>424</v>
      </c>
      <c r="I78" s="11" t="s">
        <v>81</v>
      </c>
    </row>
    <row r="79" spans="1:9" x14ac:dyDescent="0.15">
      <c r="A79" s="10">
        <v>78</v>
      </c>
      <c r="B79" s="11" t="s">
        <v>9</v>
      </c>
      <c r="C79" s="11" t="s">
        <v>152</v>
      </c>
      <c r="D79" s="11" t="s">
        <v>153</v>
      </c>
      <c r="E79" s="9" t="str">
        <f>+HYPERLINK("http://trademark.i-assist.jp/data/china/image_1906th/78241180.pdf", "78241180")</f>
        <v>78241180</v>
      </c>
      <c r="F79" s="11" t="s">
        <v>425</v>
      </c>
      <c r="G79" s="11" t="s">
        <v>37</v>
      </c>
      <c r="H79" s="11" t="s">
        <v>426</v>
      </c>
      <c r="I79" s="11" t="s">
        <v>427</v>
      </c>
    </row>
    <row r="80" spans="1:9" x14ac:dyDescent="0.15">
      <c r="A80" s="10">
        <v>79</v>
      </c>
      <c r="B80" s="11" t="s">
        <v>9</v>
      </c>
      <c r="C80" s="11" t="s">
        <v>152</v>
      </c>
      <c r="D80" s="11" t="s">
        <v>153</v>
      </c>
      <c r="E80" s="9" t="str">
        <f>+HYPERLINK("http://trademark.i-assist.jp/data/china/image_1906th/78254330.pdf", "78254330")</f>
        <v>78254330</v>
      </c>
      <c r="F80" s="11" t="s">
        <v>428</v>
      </c>
      <c r="G80" s="11" t="s">
        <v>429</v>
      </c>
      <c r="H80" s="11" t="s">
        <v>430</v>
      </c>
      <c r="I80" s="11" t="s">
        <v>19</v>
      </c>
    </row>
    <row r="81" spans="1:9" x14ac:dyDescent="0.15">
      <c r="A81" s="10">
        <v>80</v>
      </c>
      <c r="B81" s="11" t="s">
        <v>9</v>
      </c>
      <c r="C81" s="11" t="s">
        <v>152</v>
      </c>
      <c r="D81" s="11" t="s">
        <v>153</v>
      </c>
      <c r="E81" s="9" t="str">
        <f>+HYPERLINK("http://trademark.i-assist.jp/data/china/image_1906th/78259622.pdf", "78259622")</f>
        <v>78259622</v>
      </c>
      <c r="F81" s="11" t="s">
        <v>431</v>
      </c>
      <c r="G81" s="11" t="s">
        <v>432</v>
      </c>
      <c r="H81" s="11" t="s">
        <v>430</v>
      </c>
      <c r="I81" s="11" t="s">
        <v>19</v>
      </c>
    </row>
    <row r="82" spans="1:9" x14ac:dyDescent="0.15">
      <c r="A82" s="10">
        <v>81</v>
      </c>
      <c r="B82" s="11" t="s">
        <v>9</v>
      </c>
      <c r="C82" s="11" t="s">
        <v>152</v>
      </c>
      <c r="D82" s="11" t="s">
        <v>153</v>
      </c>
      <c r="E82" s="9" t="str">
        <f>+HYPERLINK("http://trademark.i-assist.jp/data/china/image_1906th/78263417.pdf", "78263417")</f>
        <v>78263417</v>
      </c>
      <c r="F82" s="11" t="s">
        <v>433</v>
      </c>
      <c r="G82" s="11" t="s">
        <v>434</v>
      </c>
      <c r="H82" s="11" t="s">
        <v>435</v>
      </c>
      <c r="I82" s="11" t="s">
        <v>19</v>
      </c>
    </row>
    <row r="83" spans="1:9" x14ac:dyDescent="0.15">
      <c r="A83" s="10">
        <v>82</v>
      </c>
      <c r="B83" s="11" t="s">
        <v>9</v>
      </c>
      <c r="C83" s="11" t="s">
        <v>152</v>
      </c>
      <c r="D83" s="11" t="s">
        <v>153</v>
      </c>
      <c r="E83" s="9" t="str">
        <f>+HYPERLINK("http://trademark.i-assist.jp/data/china/image_1906th/78272125.pdf", "78272125")</f>
        <v>78272125</v>
      </c>
      <c r="F83" s="11" t="s">
        <v>436</v>
      </c>
      <c r="G83" s="11" t="s">
        <v>437</v>
      </c>
      <c r="H83" s="11" t="s">
        <v>438</v>
      </c>
      <c r="I83" s="11" t="s">
        <v>439</v>
      </c>
    </row>
    <row r="84" spans="1:9" x14ac:dyDescent="0.15">
      <c r="A84" s="10">
        <v>83</v>
      </c>
      <c r="B84" s="11" t="s">
        <v>9</v>
      </c>
      <c r="C84" s="11" t="s">
        <v>152</v>
      </c>
      <c r="D84" s="11" t="s">
        <v>153</v>
      </c>
      <c r="E84" s="9" t="str">
        <f>+HYPERLINK("http://trademark.i-assist.jp/data/china/image_1906th/78297697.pdf", "78297697")</f>
        <v>78297697</v>
      </c>
      <c r="F84" s="11" t="s">
        <v>440</v>
      </c>
      <c r="G84" s="11" t="s">
        <v>441</v>
      </c>
      <c r="H84" s="11" t="s">
        <v>442</v>
      </c>
      <c r="I84" s="11" t="s">
        <v>443</v>
      </c>
    </row>
    <row r="85" spans="1:9" x14ac:dyDescent="0.15">
      <c r="A85" s="10">
        <v>84</v>
      </c>
      <c r="B85" s="11" t="s">
        <v>9</v>
      </c>
      <c r="C85" s="11" t="s">
        <v>152</v>
      </c>
      <c r="D85" s="11" t="s">
        <v>153</v>
      </c>
      <c r="E85" s="9" t="str">
        <f>+HYPERLINK("http://trademark.i-assist.jp/data/china/image_1906th/78322349.pdf", "78322349")</f>
        <v>78322349</v>
      </c>
      <c r="F85" s="11" t="s">
        <v>444</v>
      </c>
      <c r="G85" s="11" t="s">
        <v>445</v>
      </c>
      <c r="H85" s="11" t="s">
        <v>446</v>
      </c>
      <c r="I85" s="11" t="s">
        <v>20</v>
      </c>
    </row>
    <row r="86" spans="1:9" x14ac:dyDescent="0.15">
      <c r="A86" s="10">
        <v>85</v>
      </c>
      <c r="B86" s="11" t="s">
        <v>9</v>
      </c>
      <c r="C86" s="11" t="s">
        <v>152</v>
      </c>
      <c r="D86" s="11" t="s">
        <v>153</v>
      </c>
      <c r="E86" s="9" t="str">
        <f>+HYPERLINK("http://trademark.i-assist.jp/data/china/image_1906th/78351224.pdf", "78351224")</f>
        <v>78351224</v>
      </c>
      <c r="F86" s="11" t="s">
        <v>447</v>
      </c>
      <c r="G86" s="11" t="s">
        <v>448</v>
      </c>
      <c r="H86" s="11" t="s">
        <v>449</v>
      </c>
      <c r="I86" s="11" t="s">
        <v>21</v>
      </c>
    </row>
    <row r="87" spans="1:9" x14ac:dyDescent="0.15">
      <c r="A87" s="10">
        <v>86</v>
      </c>
      <c r="B87" s="11" t="s">
        <v>9</v>
      </c>
      <c r="C87" s="11" t="s">
        <v>152</v>
      </c>
      <c r="D87" s="11" t="s">
        <v>153</v>
      </c>
      <c r="E87" s="9" t="str">
        <f>+HYPERLINK("http://trademark.i-assist.jp/data/china/image_1906th/78368401.pdf", "78368401")</f>
        <v>78368401</v>
      </c>
      <c r="F87" s="11" t="s">
        <v>450</v>
      </c>
      <c r="G87" s="11" t="s">
        <v>448</v>
      </c>
      <c r="H87" s="11" t="s">
        <v>451</v>
      </c>
      <c r="I87" s="11" t="s">
        <v>21</v>
      </c>
    </row>
    <row r="88" spans="1:9" x14ac:dyDescent="0.15">
      <c r="A88" s="10">
        <v>87</v>
      </c>
      <c r="B88" s="11" t="s">
        <v>9</v>
      </c>
      <c r="C88" s="11" t="s">
        <v>152</v>
      </c>
      <c r="D88" s="11" t="s">
        <v>153</v>
      </c>
      <c r="E88" s="9" t="str">
        <f>+HYPERLINK("http://trademark.i-assist.jp/data/china/image_1906th/78368718.pdf", "78368718")</f>
        <v>78368718</v>
      </c>
      <c r="F88" s="11" t="s">
        <v>452</v>
      </c>
      <c r="G88" s="11" t="s">
        <v>453</v>
      </c>
      <c r="H88" s="11" t="s">
        <v>454</v>
      </c>
      <c r="I88" s="11" t="s">
        <v>21</v>
      </c>
    </row>
    <row r="89" spans="1:9" x14ac:dyDescent="0.15">
      <c r="A89" s="10">
        <v>88</v>
      </c>
      <c r="B89" s="11" t="s">
        <v>9</v>
      </c>
      <c r="C89" s="11" t="s">
        <v>152</v>
      </c>
      <c r="D89" s="11" t="s">
        <v>153</v>
      </c>
      <c r="E89" s="9" t="str">
        <f>+HYPERLINK("http://trademark.i-assist.jp/data/china/image_1906th/78374269.pdf", "78374269")</f>
        <v>78374269</v>
      </c>
      <c r="F89" s="11" t="s">
        <v>447</v>
      </c>
      <c r="G89" s="11" t="s">
        <v>448</v>
      </c>
      <c r="H89" s="11" t="s">
        <v>455</v>
      </c>
      <c r="I89" s="11" t="s">
        <v>21</v>
      </c>
    </row>
    <row r="90" spans="1:9" x14ac:dyDescent="0.15">
      <c r="A90" s="10">
        <v>89</v>
      </c>
      <c r="B90" s="11" t="s">
        <v>9</v>
      </c>
      <c r="C90" s="11" t="s">
        <v>152</v>
      </c>
      <c r="D90" s="11" t="s">
        <v>153</v>
      </c>
      <c r="E90" s="9" t="str">
        <f>+HYPERLINK("http://trademark.i-assist.jp/data/china/image_1906th/78383788.pdf", "78383788")</f>
        <v>78383788</v>
      </c>
      <c r="F90" s="11" t="s">
        <v>450</v>
      </c>
      <c r="G90" s="11" t="s">
        <v>448</v>
      </c>
      <c r="H90" s="11" t="s">
        <v>456</v>
      </c>
      <c r="I90" s="11" t="s">
        <v>21</v>
      </c>
    </row>
    <row r="91" spans="1:9" x14ac:dyDescent="0.15">
      <c r="A91" s="10">
        <v>90</v>
      </c>
      <c r="B91" s="11" t="s">
        <v>9</v>
      </c>
      <c r="C91" s="11" t="s">
        <v>152</v>
      </c>
      <c r="D91" s="11" t="s">
        <v>153</v>
      </c>
      <c r="E91" s="9" t="str">
        <f>+HYPERLINK("http://trademark.i-assist.jp/data/china/image_1906th/78389174.pdf", "78389174")</f>
        <v>78389174</v>
      </c>
      <c r="F91" s="11" t="s">
        <v>457</v>
      </c>
      <c r="G91" s="11" t="s">
        <v>453</v>
      </c>
      <c r="H91" s="11" t="s">
        <v>458</v>
      </c>
      <c r="I91" s="11" t="s">
        <v>21</v>
      </c>
    </row>
    <row r="92" spans="1:9" x14ac:dyDescent="0.15">
      <c r="A92" s="10">
        <v>91</v>
      </c>
      <c r="B92" s="11" t="s">
        <v>9</v>
      </c>
      <c r="C92" s="11" t="s">
        <v>152</v>
      </c>
      <c r="D92" s="11" t="s">
        <v>153</v>
      </c>
      <c r="E92" s="9" t="str">
        <f>+HYPERLINK("http://trademark.i-assist.jp/data/china/image_1906th/78439501.pdf", "78439501")</f>
        <v>78439501</v>
      </c>
      <c r="F92" s="11" t="s">
        <v>12</v>
      </c>
      <c r="G92" s="11" t="s">
        <v>459</v>
      </c>
      <c r="H92" s="11" t="s">
        <v>460</v>
      </c>
      <c r="I92" s="11" t="s">
        <v>23</v>
      </c>
    </row>
    <row r="93" spans="1:9" x14ac:dyDescent="0.15">
      <c r="A93" s="10">
        <v>92</v>
      </c>
      <c r="B93" s="11" t="s">
        <v>9</v>
      </c>
      <c r="C93" s="11" t="s">
        <v>152</v>
      </c>
      <c r="D93" s="11" t="s">
        <v>153</v>
      </c>
      <c r="E93" s="9" t="str">
        <f>+HYPERLINK("http://trademark.i-assist.jp/data/china/image_1906th/78460227.pdf", "78460227")</f>
        <v>78460227</v>
      </c>
      <c r="F93" s="11" t="s">
        <v>461</v>
      </c>
      <c r="G93" s="11" t="s">
        <v>462</v>
      </c>
      <c r="H93" s="11" t="s">
        <v>463</v>
      </c>
      <c r="I93" s="11" t="s">
        <v>24</v>
      </c>
    </row>
    <row r="94" spans="1:9" x14ac:dyDescent="0.15">
      <c r="A94" s="10">
        <v>93</v>
      </c>
      <c r="B94" s="11" t="s">
        <v>9</v>
      </c>
      <c r="C94" s="11" t="s">
        <v>152</v>
      </c>
      <c r="D94" s="11" t="s">
        <v>153</v>
      </c>
      <c r="E94" s="9" t="str">
        <f>+HYPERLINK("http://trademark.i-assist.jp/data/china/image_1906th/78493002.pdf", "78493002")</f>
        <v>78493002</v>
      </c>
      <c r="F94" s="11" t="s">
        <v>464</v>
      </c>
      <c r="G94" s="11" t="s">
        <v>465</v>
      </c>
      <c r="H94" s="11" t="s">
        <v>466</v>
      </c>
      <c r="I94" s="11" t="s">
        <v>25</v>
      </c>
    </row>
    <row r="95" spans="1:9" x14ac:dyDescent="0.15">
      <c r="A95" s="10">
        <v>94</v>
      </c>
      <c r="B95" s="11" t="s">
        <v>9</v>
      </c>
      <c r="C95" s="11" t="s">
        <v>152</v>
      </c>
      <c r="D95" s="11" t="s">
        <v>153</v>
      </c>
      <c r="E95" s="9" t="str">
        <f>+HYPERLINK("http://trademark.i-assist.jp/data/china/image_1906th/78498579.pdf", "78498579")</f>
        <v>78498579</v>
      </c>
      <c r="F95" s="11" t="s">
        <v>467</v>
      </c>
      <c r="G95" s="11" t="s">
        <v>468</v>
      </c>
      <c r="H95" s="11" t="s">
        <v>469</v>
      </c>
      <c r="I95" s="11" t="s">
        <v>25</v>
      </c>
    </row>
    <row r="96" spans="1:9" x14ac:dyDescent="0.15">
      <c r="A96" s="10">
        <v>95</v>
      </c>
      <c r="B96" s="11" t="s">
        <v>9</v>
      </c>
      <c r="C96" s="11" t="s">
        <v>152</v>
      </c>
      <c r="D96" s="11" t="s">
        <v>153</v>
      </c>
      <c r="E96" s="9" t="str">
        <f>+HYPERLINK("http://trademark.i-assist.jp/data/china/image_1906th/78506786.pdf", "78506786")</f>
        <v>78506786</v>
      </c>
      <c r="F96" s="11" t="s">
        <v>470</v>
      </c>
      <c r="G96" s="11" t="s">
        <v>471</v>
      </c>
      <c r="H96" s="11" t="s">
        <v>472</v>
      </c>
      <c r="I96" s="11" t="s">
        <v>25</v>
      </c>
    </row>
    <row r="97" spans="1:9" x14ac:dyDescent="0.15">
      <c r="A97" s="10">
        <v>96</v>
      </c>
      <c r="B97" s="11" t="s">
        <v>9</v>
      </c>
      <c r="C97" s="11" t="s">
        <v>152</v>
      </c>
      <c r="D97" s="11" t="s">
        <v>153</v>
      </c>
      <c r="E97" s="9" t="str">
        <f>+HYPERLINK("http://trademark.i-assist.jp/data/china/image_1906th/78516570.pdf", "78516570")</f>
        <v>78516570</v>
      </c>
      <c r="F97" s="11" t="s">
        <v>12</v>
      </c>
      <c r="G97" s="11" t="s">
        <v>473</v>
      </c>
      <c r="H97" s="11" t="s">
        <v>474</v>
      </c>
      <c r="I97" s="11" t="s">
        <v>26</v>
      </c>
    </row>
    <row r="98" spans="1:9" x14ac:dyDescent="0.15">
      <c r="A98" s="10">
        <v>97</v>
      </c>
      <c r="B98" s="11" t="s">
        <v>9</v>
      </c>
      <c r="C98" s="11" t="s">
        <v>152</v>
      </c>
      <c r="D98" s="11" t="s">
        <v>153</v>
      </c>
      <c r="E98" s="9" t="str">
        <f>+HYPERLINK("http://trademark.i-assist.jp/data/china/image_1906th/78523312.pdf", "78523312")</f>
        <v>78523312</v>
      </c>
      <c r="F98" s="11" t="s">
        <v>475</v>
      </c>
      <c r="G98" s="11" t="s">
        <v>476</v>
      </c>
      <c r="H98" s="11" t="s">
        <v>477</v>
      </c>
      <c r="I98" s="11" t="s">
        <v>26</v>
      </c>
    </row>
    <row r="99" spans="1:9" x14ac:dyDescent="0.15">
      <c r="A99" s="10">
        <v>98</v>
      </c>
      <c r="B99" s="11" t="s">
        <v>9</v>
      </c>
      <c r="C99" s="11" t="s">
        <v>152</v>
      </c>
      <c r="D99" s="11" t="s">
        <v>153</v>
      </c>
      <c r="E99" s="9" t="str">
        <f>+HYPERLINK("http://trademark.i-assist.jp/data/china/image_1906th/78590794.pdf", "78590794")</f>
        <v>78590794</v>
      </c>
      <c r="F99" s="11" t="s">
        <v>478</v>
      </c>
      <c r="G99" s="11" t="s">
        <v>479</v>
      </c>
      <c r="H99" s="11" t="s">
        <v>480</v>
      </c>
      <c r="I99" s="11" t="s">
        <v>28</v>
      </c>
    </row>
    <row r="100" spans="1:9" x14ac:dyDescent="0.15">
      <c r="A100" s="10">
        <v>99</v>
      </c>
      <c r="B100" s="11" t="s">
        <v>9</v>
      </c>
      <c r="C100" s="11" t="s">
        <v>152</v>
      </c>
      <c r="D100" s="11" t="s">
        <v>153</v>
      </c>
      <c r="E100" s="9" t="str">
        <f>+HYPERLINK("http://trademark.i-assist.jp/data/china/image_1906th/78604414.pdf", "78604414")</f>
        <v>78604414</v>
      </c>
      <c r="F100" s="11" t="s">
        <v>481</v>
      </c>
      <c r="G100" s="11" t="s">
        <v>482</v>
      </c>
      <c r="H100" s="11" t="s">
        <v>483</v>
      </c>
      <c r="I100" s="11" t="s">
        <v>29</v>
      </c>
    </row>
    <row r="101" spans="1:9" x14ac:dyDescent="0.15">
      <c r="A101" s="10">
        <v>100</v>
      </c>
      <c r="B101" s="11" t="s">
        <v>9</v>
      </c>
      <c r="C101" s="11" t="s">
        <v>152</v>
      </c>
      <c r="D101" s="11" t="s">
        <v>153</v>
      </c>
      <c r="E101" s="9" t="str">
        <f>+HYPERLINK("http://trademark.i-assist.jp/data/china/image_1906th/78639242.pdf", "78639242")</f>
        <v>78639242</v>
      </c>
      <c r="F101" s="11" t="s">
        <v>484</v>
      </c>
      <c r="G101" s="11" t="s">
        <v>485</v>
      </c>
      <c r="H101" s="11" t="s">
        <v>486</v>
      </c>
      <c r="I101" s="11" t="s">
        <v>38</v>
      </c>
    </row>
    <row r="102" spans="1:9" x14ac:dyDescent="0.15">
      <c r="A102" s="10">
        <v>101</v>
      </c>
      <c r="B102" s="11" t="s">
        <v>9</v>
      </c>
      <c r="C102" s="11" t="s">
        <v>152</v>
      </c>
      <c r="D102" s="11" t="s">
        <v>153</v>
      </c>
      <c r="E102" s="9" t="str">
        <f>+HYPERLINK("http://trademark.i-assist.jp/data/china/image_1906th/78657016.pdf", "78657016")</f>
        <v>78657016</v>
      </c>
      <c r="F102" s="11" t="s">
        <v>487</v>
      </c>
      <c r="G102" s="11" t="s">
        <v>488</v>
      </c>
      <c r="H102" s="11" t="s">
        <v>489</v>
      </c>
      <c r="I102" s="11" t="s">
        <v>39</v>
      </c>
    </row>
    <row r="103" spans="1:9" x14ac:dyDescent="0.15">
      <c r="A103" s="10">
        <v>102</v>
      </c>
      <c r="B103" s="11" t="s">
        <v>9</v>
      </c>
      <c r="C103" s="11" t="s">
        <v>152</v>
      </c>
      <c r="D103" s="11" t="s">
        <v>153</v>
      </c>
      <c r="E103" s="9" t="str">
        <f>+HYPERLINK("http://trademark.i-assist.jp/data/china/image_1906th/78671270.pdf", "78671270")</f>
        <v>78671270</v>
      </c>
      <c r="F103" s="11" t="s">
        <v>490</v>
      </c>
      <c r="G103" s="11" t="s">
        <v>491</v>
      </c>
      <c r="H103" s="11" t="s">
        <v>492</v>
      </c>
      <c r="I103" s="11" t="s">
        <v>39</v>
      </c>
    </row>
    <row r="104" spans="1:9" x14ac:dyDescent="0.15">
      <c r="A104" s="10">
        <v>103</v>
      </c>
      <c r="B104" s="11" t="s">
        <v>9</v>
      </c>
      <c r="C104" s="11" t="s">
        <v>152</v>
      </c>
      <c r="D104" s="11" t="s">
        <v>153</v>
      </c>
      <c r="E104" s="9" t="str">
        <f>+HYPERLINK("http://trademark.i-assist.jp/data/china/image_1906th/78677138.pdf", "78677138")</f>
        <v>78677138</v>
      </c>
      <c r="F104" s="11" t="s">
        <v>493</v>
      </c>
      <c r="G104" s="11" t="s">
        <v>36</v>
      </c>
      <c r="H104" s="11" t="s">
        <v>494</v>
      </c>
      <c r="I104" s="11" t="s">
        <v>39</v>
      </c>
    </row>
    <row r="105" spans="1:9" x14ac:dyDescent="0.15">
      <c r="A105" s="10">
        <v>104</v>
      </c>
      <c r="B105" s="11" t="s">
        <v>9</v>
      </c>
      <c r="C105" s="11" t="s">
        <v>152</v>
      </c>
      <c r="D105" s="11" t="s">
        <v>153</v>
      </c>
      <c r="E105" s="9" t="str">
        <f>+HYPERLINK("http://trademark.i-assist.jp/data/china/image_1906th/78702263.pdf", "78702263")</f>
        <v>78702263</v>
      </c>
      <c r="F105" s="11" t="s">
        <v>495</v>
      </c>
      <c r="G105" s="11" t="s">
        <v>496</v>
      </c>
      <c r="H105" s="11" t="s">
        <v>497</v>
      </c>
      <c r="I105" s="11" t="s">
        <v>498</v>
      </c>
    </row>
    <row r="106" spans="1:9" x14ac:dyDescent="0.15">
      <c r="A106" s="10">
        <v>105</v>
      </c>
      <c r="B106" s="11" t="s">
        <v>9</v>
      </c>
      <c r="C106" s="11" t="s">
        <v>152</v>
      </c>
      <c r="D106" s="11" t="s">
        <v>153</v>
      </c>
      <c r="E106" s="9" t="str">
        <f>+HYPERLINK("http://trademark.i-assist.jp/data/china/image_1906th/78707512.pdf", "78707512")</f>
        <v>78707512</v>
      </c>
      <c r="F106" s="11" t="s">
        <v>499</v>
      </c>
      <c r="G106" s="11" t="s">
        <v>496</v>
      </c>
      <c r="H106" s="11" t="s">
        <v>500</v>
      </c>
      <c r="I106" s="11" t="s">
        <v>498</v>
      </c>
    </row>
    <row r="107" spans="1:9" x14ac:dyDescent="0.15">
      <c r="A107" s="10">
        <v>106</v>
      </c>
      <c r="B107" s="11" t="s">
        <v>9</v>
      </c>
      <c r="C107" s="11" t="s">
        <v>152</v>
      </c>
      <c r="D107" s="11" t="s">
        <v>153</v>
      </c>
      <c r="E107" s="9" t="str">
        <f>+HYPERLINK("http://trademark.i-assist.jp/data/china/image_1906th/78714753.pdf", "78714753")</f>
        <v>78714753</v>
      </c>
      <c r="F107" s="11" t="s">
        <v>501</v>
      </c>
      <c r="G107" s="11" t="s">
        <v>502</v>
      </c>
      <c r="H107" s="11" t="s">
        <v>503</v>
      </c>
      <c r="I107" s="11" t="s">
        <v>498</v>
      </c>
    </row>
    <row r="108" spans="1:9" x14ac:dyDescent="0.15">
      <c r="A108" s="10">
        <v>107</v>
      </c>
      <c r="B108" s="11" t="s">
        <v>9</v>
      </c>
      <c r="C108" s="11" t="s">
        <v>152</v>
      </c>
      <c r="D108" s="11" t="s">
        <v>153</v>
      </c>
      <c r="E108" s="9" t="str">
        <f>+HYPERLINK("http://trademark.i-assist.jp/data/china/image_1906th/78765480.pdf", "78765480")</f>
        <v>78765480</v>
      </c>
      <c r="F108" s="11" t="s">
        <v>504</v>
      </c>
      <c r="G108" s="11" t="s">
        <v>505</v>
      </c>
      <c r="H108" s="11" t="s">
        <v>506</v>
      </c>
      <c r="I108" s="11" t="s">
        <v>40</v>
      </c>
    </row>
    <row r="109" spans="1:9" x14ac:dyDescent="0.15">
      <c r="A109" s="10">
        <v>108</v>
      </c>
      <c r="B109" s="11" t="s">
        <v>9</v>
      </c>
      <c r="C109" s="11" t="s">
        <v>152</v>
      </c>
      <c r="D109" s="11" t="s">
        <v>153</v>
      </c>
      <c r="E109" s="9" t="str">
        <f>+HYPERLINK("http://trademark.i-assist.jp/data/china/image_1906th/78784555.pdf", "78784555")</f>
        <v>78784555</v>
      </c>
      <c r="F109" s="11" t="s">
        <v>507</v>
      </c>
      <c r="G109" s="11" t="s">
        <v>508</v>
      </c>
      <c r="H109" s="11" t="s">
        <v>509</v>
      </c>
      <c r="I109" s="11" t="s">
        <v>41</v>
      </c>
    </row>
    <row r="110" spans="1:9" x14ac:dyDescent="0.15">
      <c r="A110" s="10">
        <v>109</v>
      </c>
      <c r="B110" s="11" t="s">
        <v>9</v>
      </c>
      <c r="C110" s="11" t="s">
        <v>152</v>
      </c>
      <c r="D110" s="11" t="s">
        <v>153</v>
      </c>
      <c r="E110" s="9" t="str">
        <f>+HYPERLINK("http://trademark.i-assist.jp/data/china/image_1906th/78793963.pdf", "78793963")</f>
        <v>78793963</v>
      </c>
      <c r="F110" s="11" t="s">
        <v>510</v>
      </c>
      <c r="G110" s="11" t="s">
        <v>511</v>
      </c>
      <c r="H110" s="11" t="s">
        <v>512</v>
      </c>
      <c r="I110" s="11" t="s">
        <v>41</v>
      </c>
    </row>
    <row r="111" spans="1:9" x14ac:dyDescent="0.15">
      <c r="A111" s="10">
        <v>110</v>
      </c>
      <c r="B111" s="11" t="s">
        <v>9</v>
      </c>
      <c r="C111" s="11" t="s">
        <v>152</v>
      </c>
      <c r="D111" s="11" t="s">
        <v>153</v>
      </c>
      <c r="E111" s="9" t="str">
        <f>+HYPERLINK("http://trademark.i-assist.jp/data/china/image_1906th/78830712.pdf", "78830712")</f>
        <v>78830712</v>
      </c>
      <c r="F111" s="11" t="s">
        <v>513</v>
      </c>
      <c r="G111" s="11" t="s">
        <v>514</v>
      </c>
      <c r="H111" s="11" t="s">
        <v>515</v>
      </c>
      <c r="I111" s="11" t="s">
        <v>43</v>
      </c>
    </row>
    <row r="112" spans="1:9" x14ac:dyDescent="0.15">
      <c r="A112" s="10">
        <v>111</v>
      </c>
      <c r="B112" s="11" t="s">
        <v>9</v>
      </c>
      <c r="C112" s="11" t="s">
        <v>152</v>
      </c>
      <c r="D112" s="11" t="s">
        <v>153</v>
      </c>
      <c r="E112" s="9" t="str">
        <f>+HYPERLINK("http://trademark.i-assist.jp/data/china/image_1906th/78855139.pdf", "78855139")</f>
        <v>78855139</v>
      </c>
      <c r="F112" s="11" t="s">
        <v>516</v>
      </c>
      <c r="G112" s="11" t="s">
        <v>517</v>
      </c>
      <c r="H112" s="11" t="s">
        <v>518</v>
      </c>
      <c r="I112" s="11" t="s">
        <v>44</v>
      </c>
    </row>
    <row r="113" spans="1:9" x14ac:dyDescent="0.15">
      <c r="A113" s="10">
        <v>112</v>
      </c>
      <c r="B113" s="11" t="s">
        <v>9</v>
      </c>
      <c r="C113" s="11" t="s">
        <v>152</v>
      </c>
      <c r="D113" s="11" t="s">
        <v>153</v>
      </c>
      <c r="E113" s="9" t="str">
        <f>+HYPERLINK("http://trademark.i-assist.jp/data/china/image_1906th/78863804.pdf", "78863804")</f>
        <v>78863804</v>
      </c>
      <c r="F113" s="11" t="s">
        <v>12</v>
      </c>
      <c r="G113" s="11" t="s">
        <v>519</v>
      </c>
      <c r="H113" s="11" t="s">
        <v>520</v>
      </c>
      <c r="I113" s="11" t="s">
        <v>44</v>
      </c>
    </row>
    <row r="114" spans="1:9" x14ac:dyDescent="0.15">
      <c r="A114" s="10">
        <v>113</v>
      </c>
      <c r="B114" s="11" t="s">
        <v>9</v>
      </c>
      <c r="C114" s="11" t="s">
        <v>152</v>
      </c>
      <c r="D114" s="11" t="s">
        <v>153</v>
      </c>
      <c r="E114" s="9" t="str">
        <f>+HYPERLINK("http://trademark.i-assist.jp/data/china/image_1906th/78876810.pdf", "78876810")</f>
        <v>78876810</v>
      </c>
      <c r="F114" s="11" t="s">
        <v>521</v>
      </c>
      <c r="G114" s="11" t="s">
        <v>522</v>
      </c>
      <c r="H114" s="11" t="s">
        <v>523</v>
      </c>
      <c r="I114" s="11" t="s">
        <v>30</v>
      </c>
    </row>
    <row r="115" spans="1:9" x14ac:dyDescent="0.15">
      <c r="A115" s="10">
        <v>114</v>
      </c>
      <c r="B115" s="11" t="s">
        <v>9</v>
      </c>
      <c r="C115" s="11" t="s">
        <v>152</v>
      </c>
      <c r="D115" s="11" t="s">
        <v>153</v>
      </c>
      <c r="E115" s="9" t="str">
        <f>+HYPERLINK("http://trademark.i-assist.jp/data/china/image_1906th/78883111.pdf", "78883111")</f>
        <v>78883111</v>
      </c>
      <c r="F115" s="11" t="s">
        <v>524</v>
      </c>
      <c r="G115" s="11" t="s">
        <v>525</v>
      </c>
      <c r="H115" s="11" t="s">
        <v>526</v>
      </c>
      <c r="I115" s="11" t="s">
        <v>30</v>
      </c>
    </row>
    <row r="116" spans="1:9" x14ac:dyDescent="0.15">
      <c r="A116" s="10">
        <v>115</v>
      </c>
      <c r="B116" s="11" t="s">
        <v>9</v>
      </c>
      <c r="C116" s="11" t="s">
        <v>152</v>
      </c>
      <c r="D116" s="11" t="s">
        <v>153</v>
      </c>
      <c r="E116" s="9" t="str">
        <f>+HYPERLINK("http://trademark.i-assist.jp/data/china/image_1906th/78887146.pdf", "78887146")</f>
        <v>78887146</v>
      </c>
      <c r="F116" s="11" t="s">
        <v>527</v>
      </c>
      <c r="G116" s="11" t="s">
        <v>528</v>
      </c>
      <c r="H116" s="11" t="s">
        <v>529</v>
      </c>
      <c r="I116" s="11" t="s">
        <v>30</v>
      </c>
    </row>
    <row r="117" spans="1:9" x14ac:dyDescent="0.15">
      <c r="A117" s="10">
        <v>116</v>
      </c>
      <c r="B117" s="11" t="s">
        <v>9</v>
      </c>
      <c r="C117" s="11" t="s">
        <v>152</v>
      </c>
      <c r="D117" s="11" t="s">
        <v>153</v>
      </c>
      <c r="E117" s="9" t="str">
        <f>+HYPERLINK("http://trademark.i-assist.jp/data/china/image_1906th/78890883.pdf", "78890883")</f>
        <v>78890883</v>
      </c>
      <c r="F117" s="11" t="s">
        <v>530</v>
      </c>
      <c r="G117" s="11" t="s">
        <v>531</v>
      </c>
      <c r="H117" s="11" t="s">
        <v>532</v>
      </c>
      <c r="I117" s="11" t="s">
        <v>30</v>
      </c>
    </row>
    <row r="118" spans="1:9" x14ac:dyDescent="0.15">
      <c r="A118" s="10">
        <v>117</v>
      </c>
      <c r="B118" s="11" t="s">
        <v>9</v>
      </c>
      <c r="C118" s="11" t="s">
        <v>152</v>
      </c>
      <c r="D118" s="11" t="s">
        <v>153</v>
      </c>
      <c r="E118" s="9" t="str">
        <f>+HYPERLINK("http://trademark.i-assist.jp/data/china/image_1906th/78894166.pdf", "78894166")</f>
        <v>78894166</v>
      </c>
      <c r="F118" s="11" t="s">
        <v>533</v>
      </c>
      <c r="G118" s="11" t="s">
        <v>534</v>
      </c>
      <c r="H118" s="11" t="s">
        <v>535</v>
      </c>
      <c r="I118" s="11" t="s">
        <v>45</v>
      </c>
    </row>
    <row r="119" spans="1:9" x14ac:dyDescent="0.15">
      <c r="A119" s="10">
        <v>118</v>
      </c>
      <c r="B119" s="11" t="s">
        <v>9</v>
      </c>
      <c r="C119" s="11" t="s">
        <v>152</v>
      </c>
      <c r="D119" s="11" t="s">
        <v>153</v>
      </c>
      <c r="E119" s="9" t="str">
        <f>+HYPERLINK("http://trademark.i-assist.jp/data/china/image_1906th/78911370.pdf", "78911370")</f>
        <v>78911370</v>
      </c>
      <c r="F119" s="11" t="s">
        <v>536</v>
      </c>
      <c r="G119" s="11" t="s">
        <v>537</v>
      </c>
      <c r="H119" s="11" t="s">
        <v>538</v>
      </c>
      <c r="I119" s="11" t="s">
        <v>45</v>
      </c>
    </row>
    <row r="120" spans="1:9" x14ac:dyDescent="0.15">
      <c r="A120" s="10">
        <v>119</v>
      </c>
      <c r="B120" s="11" t="s">
        <v>9</v>
      </c>
      <c r="C120" s="11" t="s">
        <v>152</v>
      </c>
      <c r="D120" s="11" t="s">
        <v>153</v>
      </c>
      <c r="E120" s="9" t="str">
        <f>+HYPERLINK("http://trademark.i-assist.jp/data/china/image_1906th/78920675.pdf", "78920675")</f>
        <v>78920675</v>
      </c>
      <c r="F120" s="11" t="s">
        <v>539</v>
      </c>
      <c r="G120" s="11" t="s">
        <v>540</v>
      </c>
      <c r="H120" s="11" t="s">
        <v>541</v>
      </c>
      <c r="I120" s="11" t="s">
        <v>45</v>
      </c>
    </row>
    <row r="121" spans="1:9" x14ac:dyDescent="0.15">
      <c r="A121" s="10">
        <v>120</v>
      </c>
      <c r="B121" s="11" t="s">
        <v>9</v>
      </c>
      <c r="C121" s="11" t="s">
        <v>152</v>
      </c>
      <c r="D121" s="11" t="s">
        <v>153</v>
      </c>
      <c r="E121" s="9" t="str">
        <f>+HYPERLINK("http://trademark.i-assist.jp/data/china/image_1906th/78928560.pdf", "78928560")</f>
        <v>78928560</v>
      </c>
      <c r="F121" s="11" t="s">
        <v>542</v>
      </c>
      <c r="G121" s="11" t="s">
        <v>543</v>
      </c>
      <c r="H121" s="11" t="s">
        <v>544</v>
      </c>
      <c r="I121" s="11" t="s">
        <v>47</v>
      </c>
    </row>
    <row r="122" spans="1:9" x14ac:dyDescent="0.15">
      <c r="A122" s="10">
        <v>121</v>
      </c>
      <c r="B122" s="11" t="s">
        <v>9</v>
      </c>
      <c r="C122" s="11" t="s">
        <v>152</v>
      </c>
      <c r="D122" s="11" t="s">
        <v>153</v>
      </c>
      <c r="E122" s="9" t="str">
        <f>+HYPERLINK("http://trademark.i-assist.jp/data/china/image_1906th/78952721.pdf", "78952721")</f>
        <v>78952721</v>
      </c>
      <c r="F122" s="11" t="s">
        <v>545</v>
      </c>
      <c r="G122" s="11" t="s">
        <v>546</v>
      </c>
      <c r="H122" s="11" t="s">
        <v>547</v>
      </c>
      <c r="I122" s="11" t="s">
        <v>49</v>
      </c>
    </row>
    <row r="123" spans="1:9" x14ac:dyDescent="0.15">
      <c r="A123" s="10">
        <v>122</v>
      </c>
      <c r="B123" s="11" t="s">
        <v>9</v>
      </c>
      <c r="C123" s="11" t="s">
        <v>152</v>
      </c>
      <c r="D123" s="11" t="s">
        <v>153</v>
      </c>
      <c r="E123" s="9" t="str">
        <f>+HYPERLINK("http://trademark.i-assist.jp/data/china/image_1906th/78956494.pdf", "78956494")</f>
        <v>78956494</v>
      </c>
      <c r="F123" s="11" t="s">
        <v>548</v>
      </c>
      <c r="G123" s="11" t="s">
        <v>549</v>
      </c>
      <c r="H123" s="11" t="s">
        <v>550</v>
      </c>
      <c r="I123" s="11" t="s">
        <v>49</v>
      </c>
    </row>
    <row r="124" spans="1:9" x14ac:dyDescent="0.15">
      <c r="A124" s="10">
        <v>123</v>
      </c>
      <c r="B124" s="11" t="s">
        <v>9</v>
      </c>
      <c r="C124" s="11" t="s">
        <v>152</v>
      </c>
      <c r="D124" s="11" t="s">
        <v>153</v>
      </c>
      <c r="E124" s="9" t="str">
        <f>+HYPERLINK("http://trademark.i-assist.jp/data/china/image_1906th/78956755.pdf", "78956755")</f>
        <v>78956755</v>
      </c>
      <c r="F124" s="11" t="s">
        <v>551</v>
      </c>
      <c r="G124" s="11" t="s">
        <v>552</v>
      </c>
      <c r="H124" s="11" t="s">
        <v>553</v>
      </c>
      <c r="I124" s="11" t="s">
        <v>49</v>
      </c>
    </row>
    <row r="125" spans="1:9" x14ac:dyDescent="0.15">
      <c r="A125" s="10">
        <v>124</v>
      </c>
      <c r="B125" s="11" t="s">
        <v>9</v>
      </c>
      <c r="C125" s="11" t="s">
        <v>152</v>
      </c>
      <c r="D125" s="11" t="s">
        <v>153</v>
      </c>
      <c r="E125" s="9" t="str">
        <f>+HYPERLINK("http://trademark.i-assist.jp/data/china/image_1906th/78988043.pdf", "78988043")</f>
        <v>78988043</v>
      </c>
      <c r="F125" s="11" t="s">
        <v>554</v>
      </c>
      <c r="G125" s="11" t="s">
        <v>16</v>
      </c>
      <c r="H125" s="11" t="s">
        <v>555</v>
      </c>
      <c r="I125" s="11" t="s">
        <v>51</v>
      </c>
    </row>
    <row r="126" spans="1:9" x14ac:dyDescent="0.15">
      <c r="A126" s="10">
        <v>125</v>
      </c>
      <c r="B126" s="11" t="s">
        <v>9</v>
      </c>
      <c r="C126" s="11" t="s">
        <v>152</v>
      </c>
      <c r="D126" s="11" t="s">
        <v>153</v>
      </c>
      <c r="E126" s="9" t="str">
        <f>+HYPERLINK("http://trademark.i-assist.jp/data/china/image_1906th/79046708.pdf", "79046708")</f>
        <v>79046708</v>
      </c>
      <c r="F126" s="11" t="s">
        <v>556</v>
      </c>
      <c r="G126" s="11" t="s">
        <v>557</v>
      </c>
      <c r="H126" s="11" t="s">
        <v>558</v>
      </c>
      <c r="I126" s="11" t="s">
        <v>52</v>
      </c>
    </row>
    <row r="127" spans="1:9" x14ac:dyDescent="0.15">
      <c r="A127" s="10">
        <v>126</v>
      </c>
      <c r="B127" s="11" t="s">
        <v>9</v>
      </c>
      <c r="C127" s="11" t="s">
        <v>152</v>
      </c>
      <c r="D127" s="11" t="s">
        <v>153</v>
      </c>
      <c r="E127" s="9" t="str">
        <f>+HYPERLINK("http://trademark.i-assist.jp/data/china/image_1906th/79067946.pdf", "79067946")</f>
        <v>79067946</v>
      </c>
      <c r="F127" s="11" t="s">
        <v>12</v>
      </c>
      <c r="G127" s="11" t="s">
        <v>559</v>
      </c>
      <c r="H127" s="11" t="s">
        <v>560</v>
      </c>
      <c r="I127" s="11" t="s">
        <v>55</v>
      </c>
    </row>
    <row r="128" spans="1:9" x14ac:dyDescent="0.15">
      <c r="A128" s="10">
        <v>127</v>
      </c>
      <c r="B128" s="11" t="s">
        <v>9</v>
      </c>
      <c r="C128" s="11" t="s">
        <v>152</v>
      </c>
      <c r="D128" s="11" t="s">
        <v>153</v>
      </c>
      <c r="E128" s="9" t="str">
        <f>+HYPERLINK("http://trademark.i-assist.jp/data/china/image_1906th/79070230.pdf", "79070230")</f>
        <v>79070230</v>
      </c>
      <c r="F128" s="11" t="s">
        <v>561</v>
      </c>
      <c r="G128" s="11" t="s">
        <v>562</v>
      </c>
      <c r="H128" s="11" t="s">
        <v>563</v>
      </c>
      <c r="I128" s="11" t="s">
        <v>55</v>
      </c>
    </row>
    <row r="129" spans="1:9" x14ac:dyDescent="0.15">
      <c r="A129" s="10">
        <v>128</v>
      </c>
      <c r="B129" s="11" t="s">
        <v>9</v>
      </c>
      <c r="C129" s="11" t="s">
        <v>152</v>
      </c>
      <c r="D129" s="11" t="s">
        <v>153</v>
      </c>
      <c r="E129" s="9" t="str">
        <f>+HYPERLINK("http://trademark.i-assist.jp/data/china/image_1906th/79081460.pdf", "79081460")</f>
        <v>79081460</v>
      </c>
      <c r="F129" s="11" t="s">
        <v>12</v>
      </c>
      <c r="G129" s="11" t="s">
        <v>564</v>
      </c>
      <c r="H129" s="11" t="s">
        <v>565</v>
      </c>
      <c r="I129" s="11" t="s">
        <v>55</v>
      </c>
    </row>
    <row r="130" spans="1:9" x14ac:dyDescent="0.15">
      <c r="A130" s="10">
        <v>129</v>
      </c>
      <c r="B130" s="11" t="s">
        <v>9</v>
      </c>
      <c r="C130" s="11" t="s">
        <v>152</v>
      </c>
      <c r="D130" s="11" t="s">
        <v>153</v>
      </c>
      <c r="E130" s="9" t="str">
        <f>+HYPERLINK("http://trademark.i-assist.jp/data/china/image_1906th/79083385.pdf", "79083385")</f>
        <v>79083385</v>
      </c>
      <c r="F130" s="11" t="s">
        <v>566</v>
      </c>
      <c r="G130" s="11" t="s">
        <v>567</v>
      </c>
      <c r="H130" s="11" t="s">
        <v>568</v>
      </c>
      <c r="I130" s="11" t="s">
        <v>55</v>
      </c>
    </row>
    <row r="131" spans="1:9" x14ac:dyDescent="0.15">
      <c r="A131" s="10">
        <v>130</v>
      </c>
      <c r="B131" s="11" t="s">
        <v>9</v>
      </c>
      <c r="C131" s="11" t="s">
        <v>152</v>
      </c>
      <c r="D131" s="11" t="s">
        <v>153</v>
      </c>
      <c r="E131" s="9" t="str">
        <f>+HYPERLINK("http://trademark.i-assist.jp/data/china/image_1906th/79086416.pdf", "79086416")</f>
        <v>79086416</v>
      </c>
      <c r="F131" s="11" t="s">
        <v>569</v>
      </c>
      <c r="G131" s="11" t="s">
        <v>570</v>
      </c>
      <c r="H131" s="11" t="s">
        <v>571</v>
      </c>
      <c r="I131" s="11" t="s">
        <v>55</v>
      </c>
    </row>
    <row r="132" spans="1:9" x14ac:dyDescent="0.15">
      <c r="A132" s="10">
        <v>131</v>
      </c>
      <c r="B132" s="11" t="s">
        <v>9</v>
      </c>
      <c r="C132" s="11" t="s">
        <v>152</v>
      </c>
      <c r="D132" s="11" t="s">
        <v>153</v>
      </c>
      <c r="E132" s="9" t="str">
        <f>+HYPERLINK("http://trademark.i-assist.jp/data/china/image_1906th/79088439.pdf", "79088439")</f>
        <v>79088439</v>
      </c>
      <c r="F132" s="11" t="s">
        <v>12</v>
      </c>
      <c r="G132" s="11" t="s">
        <v>87</v>
      </c>
      <c r="H132" s="11" t="s">
        <v>572</v>
      </c>
      <c r="I132" s="11" t="s">
        <v>55</v>
      </c>
    </row>
    <row r="133" spans="1:9" x14ac:dyDescent="0.15">
      <c r="A133" s="10">
        <v>132</v>
      </c>
      <c r="B133" s="11" t="s">
        <v>9</v>
      </c>
      <c r="C133" s="11" t="s">
        <v>152</v>
      </c>
      <c r="D133" s="11" t="s">
        <v>153</v>
      </c>
      <c r="E133" s="9" t="str">
        <f>+HYPERLINK("http://trademark.i-assist.jp/data/china/image_1906th/79088729.pdf", "79088729")</f>
        <v>79088729</v>
      </c>
      <c r="F133" s="11" t="s">
        <v>573</v>
      </c>
      <c r="G133" s="11" t="s">
        <v>574</v>
      </c>
      <c r="H133" s="11" t="s">
        <v>575</v>
      </c>
      <c r="I133" s="11" t="s">
        <v>55</v>
      </c>
    </row>
    <row r="134" spans="1:9" x14ac:dyDescent="0.15">
      <c r="A134" s="10">
        <v>133</v>
      </c>
      <c r="B134" s="11" t="s">
        <v>9</v>
      </c>
      <c r="C134" s="11" t="s">
        <v>152</v>
      </c>
      <c r="D134" s="11" t="s">
        <v>153</v>
      </c>
      <c r="E134" s="9" t="str">
        <f>+HYPERLINK("http://trademark.i-assist.jp/data/china/image_1906th/79099027.pdf", "79099027")</f>
        <v>79099027</v>
      </c>
      <c r="F134" s="11" t="s">
        <v>12</v>
      </c>
      <c r="G134" s="11" t="s">
        <v>576</v>
      </c>
      <c r="H134" s="11" t="s">
        <v>577</v>
      </c>
      <c r="I134" s="11" t="s">
        <v>56</v>
      </c>
    </row>
    <row r="135" spans="1:9" x14ac:dyDescent="0.15">
      <c r="A135" s="10">
        <v>134</v>
      </c>
      <c r="B135" s="11" t="s">
        <v>9</v>
      </c>
      <c r="C135" s="11" t="s">
        <v>152</v>
      </c>
      <c r="D135" s="11" t="s">
        <v>153</v>
      </c>
      <c r="E135" s="9" t="str">
        <f>+HYPERLINK("http://trademark.i-assist.jp/data/china/image_1906th/79103472.pdf", "79103472")</f>
        <v>79103472</v>
      </c>
      <c r="F135" s="11" t="s">
        <v>578</v>
      </c>
      <c r="G135" s="11" t="s">
        <v>579</v>
      </c>
      <c r="H135" s="11" t="s">
        <v>580</v>
      </c>
      <c r="I135" s="11" t="s">
        <v>56</v>
      </c>
    </row>
    <row r="136" spans="1:9" x14ac:dyDescent="0.15">
      <c r="A136" s="10">
        <v>135</v>
      </c>
      <c r="B136" s="11" t="s">
        <v>9</v>
      </c>
      <c r="C136" s="11" t="s">
        <v>152</v>
      </c>
      <c r="D136" s="11" t="s">
        <v>153</v>
      </c>
      <c r="E136" s="9" t="str">
        <f>+HYPERLINK("http://trademark.i-assist.jp/data/china/image_1906th/79104118.pdf", "79104118")</f>
        <v>79104118</v>
      </c>
      <c r="F136" s="11" t="s">
        <v>581</v>
      </c>
      <c r="G136" s="11" t="s">
        <v>582</v>
      </c>
      <c r="H136" s="11" t="s">
        <v>583</v>
      </c>
      <c r="I136" s="11" t="s">
        <v>56</v>
      </c>
    </row>
    <row r="137" spans="1:9" x14ac:dyDescent="0.15">
      <c r="A137" s="10">
        <v>136</v>
      </c>
      <c r="B137" s="11" t="s">
        <v>9</v>
      </c>
      <c r="C137" s="11" t="s">
        <v>152</v>
      </c>
      <c r="D137" s="11" t="s">
        <v>153</v>
      </c>
      <c r="E137" s="9" t="str">
        <f>+HYPERLINK("http://trademark.i-assist.jp/data/china/image_1906th/79104162.pdf", "79104162")</f>
        <v>79104162</v>
      </c>
      <c r="F137" s="11" t="s">
        <v>584</v>
      </c>
      <c r="G137" s="11" t="s">
        <v>585</v>
      </c>
      <c r="H137" s="11" t="s">
        <v>586</v>
      </c>
      <c r="I137" s="11" t="s">
        <v>56</v>
      </c>
    </row>
    <row r="138" spans="1:9" x14ac:dyDescent="0.15">
      <c r="A138" s="10">
        <v>137</v>
      </c>
      <c r="B138" s="11" t="s">
        <v>9</v>
      </c>
      <c r="C138" s="11" t="s">
        <v>152</v>
      </c>
      <c r="D138" s="11" t="s">
        <v>153</v>
      </c>
      <c r="E138" s="9" t="str">
        <f>+HYPERLINK("http://trademark.i-assist.jp/data/china/image_1906th/79105482.pdf", "79105482")</f>
        <v>79105482</v>
      </c>
      <c r="F138" s="11" t="s">
        <v>12</v>
      </c>
      <c r="G138" s="11" t="s">
        <v>587</v>
      </c>
      <c r="H138" s="11" t="s">
        <v>588</v>
      </c>
      <c r="I138" s="11" t="s">
        <v>56</v>
      </c>
    </row>
    <row r="139" spans="1:9" x14ac:dyDescent="0.15">
      <c r="A139" s="10">
        <v>138</v>
      </c>
      <c r="B139" s="11" t="s">
        <v>9</v>
      </c>
      <c r="C139" s="11" t="s">
        <v>152</v>
      </c>
      <c r="D139" s="11" t="s">
        <v>153</v>
      </c>
      <c r="E139" s="9" t="str">
        <f>+HYPERLINK("http://trademark.i-assist.jp/data/china/image_1906th/79106944.pdf", "79106944")</f>
        <v>79106944</v>
      </c>
      <c r="F139" s="11" t="s">
        <v>589</v>
      </c>
      <c r="G139" s="11" t="s">
        <v>590</v>
      </c>
      <c r="H139" s="11" t="s">
        <v>591</v>
      </c>
      <c r="I139" s="11" t="s">
        <v>56</v>
      </c>
    </row>
    <row r="140" spans="1:9" x14ac:dyDescent="0.15">
      <c r="A140" s="10">
        <v>139</v>
      </c>
      <c r="B140" s="11" t="s">
        <v>9</v>
      </c>
      <c r="C140" s="11" t="s">
        <v>152</v>
      </c>
      <c r="D140" s="11" t="s">
        <v>153</v>
      </c>
      <c r="E140" s="9" t="str">
        <f>+HYPERLINK("http://trademark.i-assist.jp/data/china/image_1906th/79108434.pdf", "79108434")</f>
        <v>79108434</v>
      </c>
      <c r="F140" s="11" t="s">
        <v>592</v>
      </c>
      <c r="G140" s="11" t="s">
        <v>593</v>
      </c>
      <c r="H140" s="11" t="s">
        <v>594</v>
      </c>
      <c r="I140" s="11" t="s">
        <v>56</v>
      </c>
    </row>
    <row r="141" spans="1:9" x14ac:dyDescent="0.15">
      <c r="A141" s="10">
        <v>140</v>
      </c>
      <c r="B141" s="11" t="s">
        <v>9</v>
      </c>
      <c r="C141" s="11" t="s">
        <v>152</v>
      </c>
      <c r="D141" s="11" t="s">
        <v>153</v>
      </c>
      <c r="E141" s="9" t="str">
        <f>+HYPERLINK("http://trademark.i-assist.jp/data/china/image_1906th/79111093.pdf", "79111093")</f>
        <v>79111093</v>
      </c>
      <c r="F141" s="11" t="s">
        <v>595</v>
      </c>
      <c r="G141" s="11" t="s">
        <v>596</v>
      </c>
      <c r="H141" s="11" t="s">
        <v>597</v>
      </c>
      <c r="I141" s="11" t="s">
        <v>56</v>
      </c>
    </row>
    <row r="142" spans="1:9" x14ac:dyDescent="0.15">
      <c r="A142" s="10">
        <v>141</v>
      </c>
      <c r="B142" s="11" t="s">
        <v>9</v>
      </c>
      <c r="C142" s="11" t="s">
        <v>152</v>
      </c>
      <c r="D142" s="11" t="s">
        <v>153</v>
      </c>
      <c r="E142" s="9" t="str">
        <f>+HYPERLINK("http://trademark.i-assist.jp/data/china/image_1906th/79112631.pdf", "79112631")</f>
        <v>79112631</v>
      </c>
      <c r="F142" s="11" t="s">
        <v>598</v>
      </c>
      <c r="G142" s="11" t="s">
        <v>599</v>
      </c>
      <c r="H142" s="11" t="s">
        <v>600</v>
      </c>
      <c r="I142" s="11" t="s">
        <v>56</v>
      </c>
    </row>
    <row r="143" spans="1:9" x14ac:dyDescent="0.15">
      <c r="A143" s="10">
        <v>142</v>
      </c>
      <c r="B143" s="11" t="s">
        <v>9</v>
      </c>
      <c r="C143" s="11" t="s">
        <v>152</v>
      </c>
      <c r="D143" s="11" t="s">
        <v>153</v>
      </c>
      <c r="E143" s="9" t="str">
        <f>+HYPERLINK("http://trademark.i-assist.jp/data/china/image_1906th/79115681.pdf", "79115681")</f>
        <v>79115681</v>
      </c>
      <c r="F143" s="11" t="s">
        <v>601</v>
      </c>
      <c r="G143" s="11" t="s">
        <v>602</v>
      </c>
      <c r="H143" s="11" t="s">
        <v>603</v>
      </c>
      <c r="I143" s="11" t="s">
        <v>56</v>
      </c>
    </row>
    <row r="144" spans="1:9" x14ac:dyDescent="0.15">
      <c r="A144" s="10">
        <v>143</v>
      </c>
      <c r="B144" s="11" t="s">
        <v>9</v>
      </c>
      <c r="C144" s="11" t="s">
        <v>152</v>
      </c>
      <c r="D144" s="11" t="s">
        <v>153</v>
      </c>
      <c r="E144" s="9" t="str">
        <f>+HYPERLINK("http://trademark.i-assist.jp/data/china/image_1906th/79116094.pdf", "79116094")</f>
        <v>79116094</v>
      </c>
      <c r="F144" s="11" t="s">
        <v>604</v>
      </c>
      <c r="G144" s="11" t="s">
        <v>605</v>
      </c>
      <c r="H144" s="11" t="s">
        <v>606</v>
      </c>
      <c r="I144" s="11" t="s">
        <v>56</v>
      </c>
    </row>
    <row r="145" spans="1:9" x14ac:dyDescent="0.15">
      <c r="A145" s="10">
        <v>144</v>
      </c>
      <c r="B145" s="11" t="s">
        <v>9</v>
      </c>
      <c r="C145" s="11" t="s">
        <v>152</v>
      </c>
      <c r="D145" s="11" t="s">
        <v>153</v>
      </c>
      <c r="E145" s="9" t="str">
        <f>+HYPERLINK("http://trademark.i-assist.jp/data/china/image_1906th/79119538.pdf", "79119538")</f>
        <v>79119538</v>
      </c>
      <c r="F145" s="11" t="s">
        <v>607</v>
      </c>
      <c r="G145" s="11" t="s">
        <v>92</v>
      </c>
      <c r="H145" s="11" t="s">
        <v>608</v>
      </c>
      <c r="I145" s="11" t="s">
        <v>57</v>
      </c>
    </row>
    <row r="146" spans="1:9" x14ac:dyDescent="0.15">
      <c r="A146" s="10">
        <v>145</v>
      </c>
      <c r="B146" s="11" t="s">
        <v>9</v>
      </c>
      <c r="C146" s="11" t="s">
        <v>152</v>
      </c>
      <c r="D146" s="11" t="s">
        <v>153</v>
      </c>
      <c r="E146" s="9" t="str">
        <f>+HYPERLINK("http://trademark.i-assist.jp/data/china/image_1906th/79120388.pdf", "79120388")</f>
        <v>79120388</v>
      </c>
      <c r="F146" s="11" t="s">
        <v>609</v>
      </c>
      <c r="G146" s="11" t="s">
        <v>610</v>
      </c>
      <c r="H146" s="11" t="s">
        <v>611</v>
      </c>
      <c r="I146" s="11" t="s">
        <v>57</v>
      </c>
    </row>
    <row r="147" spans="1:9" x14ac:dyDescent="0.15">
      <c r="A147" s="10">
        <v>146</v>
      </c>
      <c r="B147" s="11" t="s">
        <v>9</v>
      </c>
      <c r="C147" s="11" t="s">
        <v>152</v>
      </c>
      <c r="D147" s="11" t="s">
        <v>153</v>
      </c>
      <c r="E147" s="9" t="str">
        <f>+HYPERLINK("http://trademark.i-assist.jp/data/china/image_1906th/79121049.pdf", "79121049")</f>
        <v>79121049</v>
      </c>
      <c r="F147" s="11" t="s">
        <v>612</v>
      </c>
      <c r="G147" s="11" t="s">
        <v>613</v>
      </c>
      <c r="H147" s="11" t="s">
        <v>614</v>
      </c>
      <c r="I147" s="11" t="s">
        <v>57</v>
      </c>
    </row>
    <row r="148" spans="1:9" x14ac:dyDescent="0.15">
      <c r="A148" s="10">
        <v>147</v>
      </c>
      <c r="B148" s="11" t="s">
        <v>9</v>
      </c>
      <c r="C148" s="11" t="s">
        <v>152</v>
      </c>
      <c r="D148" s="11" t="s">
        <v>153</v>
      </c>
      <c r="E148" s="9" t="str">
        <f>+HYPERLINK("http://trademark.i-assist.jp/data/china/image_1906th/79121760.pdf", "79121760")</f>
        <v>79121760</v>
      </c>
      <c r="F148" s="11" t="s">
        <v>615</v>
      </c>
      <c r="G148" s="11" t="s">
        <v>616</v>
      </c>
      <c r="H148" s="11" t="s">
        <v>617</v>
      </c>
      <c r="I148" s="11" t="s">
        <v>57</v>
      </c>
    </row>
    <row r="149" spans="1:9" x14ac:dyDescent="0.15">
      <c r="A149" s="10">
        <v>148</v>
      </c>
      <c r="B149" s="11" t="s">
        <v>9</v>
      </c>
      <c r="C149" s="11" t="s">
        <v>152</v>
      </c>
      <c r="D149" s="11" t="s">
        <v>153</v>
      </c>
      <c r="E149" s="9" t="str">
        <f>+HYPERLINK("http://trademark.i-assist.jp/data/china/image_1906th/79126248A.pdf", "79126248A")</f>
        <v>79126248A</v>
      </c>
      <c r="F149" s="11" t="s">
        <v>618</v>
      </c>
      <c r="G149" s="11" t="s">
        <v>619</v>
      </c>
      <c r="H149" s="11" t="s">
        <v>620</v>
      </c>
      <c r="I149" s="11" t="s">
        <v>58</v>
      </c>
    </row>
    <row r="150" spans="1:9" x14ac:dyDescent="0.15">
      <c r="A150" s="10">
        <v>149</v>
      </c>
      <c r="B150" s="11" t="s">
        <v>9</v>
      </c>
      <c r="C150" s="11" t="s">
        <v>152</v>
      </c>
      <c r="D150" s="11" t="s">
        <v>153</v>
      </c>
      <c r="E150" s="9" t="str">
        <f>+HYPERLINK("http://trademark.i-assist.jp/data/china/image_1906th/79126500.pdf", "79126500")</f>
        <v>79126500</v>
      </c>
      <c r="F150" s="11" t="s">
        <v>621</v>
      </c>
      <c r="G150" s="11" t="s">
        <v>622</v>
      </c>
      <c r="H150" s="11" t="s">
        <v>623</v>
      </c>
      <c r="I150" s="11" t="s">
        <v>58</v>
      </c>
    </row>
    <row r="151" spans="1:9" x14ac:dyDescent="0.15">
      <c r="A151" s="10">
        <v>150</v>
      </c>
      <c r="B151" s="11" t="s">
        <v>9</v>
      </c>
      <c r="C151" s="11" t="s">
        <v>152</v>
      </c>
      <c r="D151" s="11" t="s">
        <v>153</v>
      </c>
      <c r="E151" s="9" t="str">
        <f>+HYPERLINK("http://trademark.i-assist.jp/data/china/image_1906th/79126871A.pdf", "79126871A")</f>
        <v>79126871A</v>
      </c>
      <c r="F151" s="11" t="s">
        <v>624</v>
      </c>
      <c r="G151" s="11" t="s">
        <v>625</v>
      </c>
      <c r="H151" s="11" t="s">
        <v>626</v>
      </c>
      <c r="I151" s="11" t="s">
        <v>58</v>
      </c>
    </row>
    <row r="152" spans="1:9" x14ac:dyDescent="0.15">
      <c r="A152" s="10">
        <v>151</v>
      </c>
      <c r="B152" s="11" t="s">
        <v>9</v>
      </c>
      <c r="C152" s="11" t="s">
        <v>152</v>
      </c>
      <c r="D152" s="11" t="s">
        <v>153</v>
      </c>
      <c r="E152" s="9" t="str">
        <f>+HYPERLINK("http://trademark.i-assist.jp/data/china/image_1906th/79133382.pdf", "79133382")</f>
        <v>79133382</v>
      </c>
      <c r="F152" s="11" t="s">
        <v>627</v>
      </c>
      <c r="G152" s="11" t="s">
        <v>628</v>
      </c>
      <c r="H152" s="11" t="s">
        <v>629</v>
      </c>
      <c r="I152" s="11" t="s">
        <v>58</v>
      </c>
    </row>
    <row r="153" spans="1:9" x14ac:dyDescent="0.15">
      <c r="A153" s="10">
        <v>152</v>
      </c>
      <c r="B153" s="11" t="s">
        <v>9</v>
      </c>
      <c r="C153" s="11" t="s">
        <v>152</v>
      </c>
      <c r="D153" s="11" t="s">
        <v>153</v>
      </c>
      <c r="E153" s="9" t="str">
        <f>+HYPERLINK("http://trademark.i-assist.jp/data/china/image_1906th/79139946.pdf", "79139946")</f>
        <v>79139946</v>
      </c>
      <c r="F153" s="11" t="s">
        <v>12</v>
      </c>
      <c r="G153" s="11" t="s">
        <v>630</v>
      </c>
      <c r="H153" s="11" t="s">
        <v>631</v>
      </c>
      <c r="I153" s="11" t="s">
        <v>58</v>
      </c>
    </row>
    <row r="154" spans="1:9" x14ac:dyDescent="0.15">
      <c r="A154" s="10">
        <v>153</v>
      </c>
      <c r="B154" s="11" t="s">
        <v>9</v>
      </c>
      <c r="C154" s="11" t="s">
        <v>152</v>
      </c>
      <c r="D154" s="11" t="s">
        <v>153</v>
      </c>
      <c r="E154" s="9" t="str">
        <f>+HYPERLINK("http://trademark.i-assist.jp/data/china/image_1906th/79146000.pdf", "79146000")</f>
        <v>79146000</v>
      </c>
      <c r="F154" s="11" t="s">
        <v>632</v>
      </c>
      <c r="G154" s="11" t="s">
        <v>108</v>
      </c>
      <c r="H154" s="11" t="s">
        <v>633</v>
      </c>
      <c r="I154" s="11" t="s">
        <v>58</v>
      </c>
    </row>
    <row r="155" spans="1:9" x14ac:dyDescent="0.15">
      <c r="A155" s="10">
        <v>154</v>
      </c>
      <c r="B155" s="11" t="s">
        <v>9</v>
      </c>
      <c r="C155" s="11" t="s">
        <v>152</v>
      </c>
      <c r="D155" s="11" t="s">
        <v>153</v>
      </c>
      <c r="E155" s="9" t="str">
        <f>+HYPERLINK("http://trademark.i-assist.jp/data/china/image_1906th/79150316.pdf", "79150316")</f>
        <v>79150316</v>
      </c>
      <c r="F155" s="11" t="s">
        <v>634</v>
      </c>
      <c r="G155" s="11" t="s">
        <v>635</v>
      </c>
      <c r="H155" s="11" t="s">
        <v>636</v>
      </c>
      <c r="I155" s="11" t="s">
        <v>58</v>
      </c>
    </row>
    <row r="156" spans="1:9" x14ac:dyDescent="0.15">
      <c r="A156" s="10">
        <v>155</v>
      </c>
      <c r="B156" s="11" t="s">
        <v>9</v>
      </c>
      <c r="C156" s="11" t="s">
        <v>152</v>
      </c>
      <c r="D156" s="11" t="s">
        <v>153</v>
      </c>
      <c r="E156" s="9" t="str">
        <f>+HYPERLINK("http://trademark.i-assist.jp/data/china/image_1906th/79151104.pdf", "79151104")</f>
        <v>79151104</v>
      </c>
      <c r="F156" s="11" t="s">
        <v>637</v>
      </c>
      <c r="G156" s="11" t="s">
        <v>638</v>
      </c>
      <c r="H156" s="11" t="s">
        <v>639</v>
      </c>
      <c r="I156" s="11" t="s">
        <v>58</v>
      </c>
    </row>
    <row r="157" spans="1:9" x14ac:dyDescent="0.15">
      <c r="A157" s="10">
        <v>156</v>
      </c>
      <c r="B157" s="11" t="s">
        <v>9</v>
      </c>
      <c r="C157" s="11" t="s">
        <v>152</v>
      </c>
      <c r="D157" s="11" t="s">
        <v>153</v>
      </c>
      <c r="E157" s="9" t="str">
        <f>+HYPERLINK("http://trademark.i-assist.jp/data/china/image_1906th/79151832.pdf", "79151832")</f>
        <v>79151832</v>
      </c>
      <c r="F157" s="11" t="s">
        <v>640</v>
      </c>
      <c r="G157" s="11" t="s">
        <v>108</v>
      </c>
      <c r="H157" s="11" t="s">
        <v>641</v>
      </c>
      <c r="I157" s="11" t="s">
        <v>58</v>
      </c>
    </row>
    <row r="158" spans="1:9" x14ac:dyDescent="0.15">
      <c r="A158" s="10">
        <v>157</v>
      </c>
      <c r="B158" s="11" t="s">
        <v>9</v>
      </c>
      <c r="C158" s="11" t="s">
        <v>152</v>
      </c>
      <c r="D158" s="11" t="s">
        <v>153</v>
      </c>
      <c r="E158" s="9" t="str">
        <f>+HYPERLINK("http://trademark.i-assist.jp/data/china/image_1906th/79155689.pdf", "79155689")</f>
        <v>79155689</v>
      </c>
      <c r="F158" s="11" t="s">
        <v>642</v>
      </c>
      <c r="G158" s="11" t="s">
        <v>27</v>
      </c>
      <c r="H158" s="11" t="s">
        <v>643</v>
      </c>
      <c r="I158" s="11" t="s">
        <v>59</v>
      </c>
    </row>
    <row r="159" spans="1:9" x14ac:dyDescent="0.15">
      <c r="A159" s="10">
        <v>158</v>
      </c>
      <c r="B159" s="11" t="s">
        <v>9</v>
      </c>
      <c r="C159" s="11" t="s">
        <v>152</v>
      </c>
      <c r="D159" s="11" t="s">
        <v>153</v>
      </c>
      <c r="E159" s="9" t="str">
        <f>+HYPERLINK("http://trademark.i-assist.jp/data/china/image_1906th/79169092.pdf", "79169092")</f>
        <v>79169092</v>
      </c>
      <c r="F159" s="11" t="s">
        <v>644</v>
      </c>
      <c r="G159" s="11" t="s">
        <v>645</v>
      </c>
      <c r="H159" s="11" t="s">
        <v>646</v>
      </c>
      <c r="I159" s="11" t="s">
        <v>59</v>
      </c>
    </row>
    <row r="160" spans="1:9" x14ac:dyDescent="0.15">
      <c r="A160" s="10">
        <v>159</v>
      </c>
      <c r="B160" s="11" t="s">
        <v>9</v>
      </c>
      <c r="C160" s="11" t="s">
        <v>152</v>
      </c>
      <c r="D160" s="11" t="s">
        <v>153</v>
      </c>
      <c r="E160" s="9" t="str">
        <f>+HYPERLINK("http://trademark.i-assist.jp/data/china/image_1906th/79174077.pdf", "79174077")</f>
        <v>79174077</v>
      </c>
      <c r="F160" s="11" t="s">
        <v>647</v>
      </c>
      <c r="G160" s="11" t="s">
        <v>648</v>
      </c>
      <c r="H160" s="11" t="s">
        <v>649</v>
      </c>
      <c r="I160" s="11" t="s">
        <v>59</v>
      </c>
    </row>
    <row r="161" spans="1:9" x14ac:dyDescent="0.15">
      <c r="A161" s="10">
        <v>160</v>
      </c>
      <c r="B161" s="11" t="s">
        <v>9</v>
      </c>
      <c r="C161" s="11" t="s">
        <v>152</v>
      </c>
      <c r="D161" s="11" t="s">
        <v>153</v>
      </c>
      <c r="E161" s="9" t="str">
        <f>+HYPERLINK("http://trademark.i-assist.jp/data/china/image_1906th/79175102.pdf", "79175102")</f>
        <v>79175102</v>
      </c>
      <c r="F161" s="11" t="s">
        <v>650</v>
      </c>
      <c r="G161" s="11" t="s">
        <v>95</v>
      </c>
      <c r="H161" s="11" t="s">
        <v>651</v>
      </c>
      <c r="I161" s="11" t="s">
        <v>59</v>
      </c>
    </row>
    <row r="162" spans="1:9" x14ac:dyDescent="0.15">
      <c r="A162" s="10">
        <v>161</v>
      </c>
      <c r="B162" s="11" t="s">
        <v>9</v>
      </c>
      <c r="C162" s="11" t="s">
        <v>152</v>
      </c>
      <c r="D162" s="11" t="s">
        <v>153</v>
      </c>
      <c r="E162" s="9" t="str">
        <f>+HYPERLINK("http://trademark.i-assist.jp/data/china/image_1906th/79177654.pdf", "79177654")</f>
        <v>79177654</v>
      </c>
      <c r="F162" s="11" t="s">
        <v>652</v>
      </c>
      <c r="G162" s="11" t="s">
        <v>653</v>
      </c>
      <c r="H162" s="11" t="s">
        <v>654</v>
      </c>
      <c r="I162" s="11" t="s">
        <v>59</v>
      </c>
    </row>
    <row r="163" spans="1:9" x14ac:dyDescent="0.15">
      <c r="A163" s="10">
        <v>162</v>
      </c>
      <c r="B163" s="11" t="s">
        <v>9</v>
      </c>
      <c r="C163" s="11" t="s">
        <v>152</v>
      </c>
      <c r="D163" s="11" t="s">
        <v>153</v>
      </c>
      <c r="E163" s="9" t="str">
        <f>+HYPERLINK("http://trademark.i-assist.jp/data/china/image_1906th/79188933.pdf", "79188933")</f>
        <v>79188933</v>
      </c>
      <c r="F163" s="11" t="s">
        <v>12</v>
      </c>
      <c r="G163" s="11" t="s">
        <v>655</v>
      </c>
      <c r="H163" s="11" t="s">
        <v>656</v>
      </c>
      <c r="I163" s="11" t="s">
        <v>60</v>
      </c>
    </row>
    <row r="164" spans="1:9" x14ac:dyDescent="0.15">
      <c r="A164" s="10">
        <v>163</v>
      </c>
      <c r="B164" s="11" t="s">
        <v>9</v>
      </c>
      <c r="C164" s="11" t="s">
        <v>152</v>
      </c>
      <c r="D164" s="11" t="s">
        <v>153</v>
      </c>
      <c r="E164" s="9" t="str">
        <f>+HYPERLINK("http://trademark.i-assist.jp/data/china/image_1906th/79198031.pdf", "79198031")</f>
        <v>79198031</v>
      </c>
      <c r="F164" s="11" t="s">
        <v>657</v>
      </c>
      <c r="G164" s="11" t="s">
        <v>658</v>
      </c>
      <c r="H164" s="11" t="s">
        <v>659</v>
      </c>
      <c r="I164" s="11" t="s">
        <v>60</v>
      </c>
    </row>
    <row r="165" spans="1:9" x14ac:dyDescent="0.15">
      <c r="A165" s="10">
        <v>164</v>
      </c>
      <c r="B165" s="11" t="s">
        <v>9</v>
      </c>
      <c r="C165" s="11" t="s">
        <v>152</v>
      </c>
      <c r="D165" s="11" t="s">
        <v>153</v>
      </c>
      <c r="E165" s="9" t="str">
        <f>+HYPERLINK("http://trademark.i-assist.jp/data/china/image_1906th/79198937.pdf", "79198937")</f>
        <v>79198937</v>
      </c>
      <c r="F165" s="11" t="s">
        <v>660</v>
      </c>
      <c r="G165" s="11" t="s">
        <v>661</v>
      </c>
      <c r="H165" s="11" t="s">
        <v>14</v>
      </c>
      <c r="I165" s="11" t="s">
        <v>60</v>
      </c>
    </row>
    <row r="166" spans="1:9" x14ac:dyDescent="0.15">
      <c r="A166" s="10">
        <v>165</v>
      </c>
      <c r="B166" s="11" t="s">
        <v>9</v>
      </c>
      <c r="C166" s="11" t="s">
        <v>152</v>
      </c>
      <c r="D166" s="11" t="s">
        <v>153</v>
      </c>
      <c r="E166" s="9" t="str">
        <f>+HYPERLINK("http://trademark.i-assist.jp/data/china/image_1906th/79203844.pdf", "79203844")</f>
        <v>79203844</v>
      </c>
      <c r="F166" s="11" t="s">
        <v>662</v>
      </c>
      <c r="G166" s="11" t="s">
        <v>663</v>
      </c>
      <c r="H166" s="11" t="s">
        <v>664</v>
      </c>
      <c r="I166" s="11" t="s">
        <v>60</v>
      </c>
    </row>
    <row r="167" spans="1:9" x14ac:dyDescent="0.15">
      <c r="A167" s="10">
        <v>166</v>
      </c>
      <c r="B167" s="11" t="s">
        <v>9</v>
      </c>
      <c r="C167" s="11" t="s">
        <v>152</v>
      </c>
      <c r="D167" s="11" t="s">
        <v>153</v>
      </c>
      <c r="E167" s="9" t="str">
        <f>+HYPERLINK("http://trademark.i-assist.jp/data/china/image_1906th/79212697.pdf", "79212697")</f>
        <v>79212697</v>
      </c>
      <c r="F167" s="11" t="s">
        <v>12</v>
      </c>
      <c r="G167" s="11" t="s">
        <v>665</v>
      </c>
      <c r="H167" s="11" t="s">
        <v>666</v>
      </c>
      <c r="I167" s="11" t="s">
        <v>61</v>
      </c>
    </row>
    <row r="168" spans="1:9" x14ac:dyDescent="0.15">
      <c r="A168" s="10">
        <v>167</v>
      </c>
      <c r="B168" s="11" t="s">
        <v>9</v>
      </c>
      <c r="C168" s="11" t="s">
        <v>152</v>
      </c>
      <c r="D168" s="11" t="s">
        <v>153</v>
      </c>
      <c r="E168" s="9" t="str">
        <f>+HYPERLINK("http://trademark.i-assist.jp/data/china/image_1906th/79213091.pdf", "79213091")</f>
        <v>79213091</v>
      </c>
      <c r="F168" s="11" t="s">
        <v>667</v>
      </c>
      <c r="G168" s="11" t="s">
        <v>668</v>
      </c>
      <c r="H168" s="11" t="s">
        <v>669</v>
      </c>
      <c r="I168" s="11" t="s">
        <v>61</v>
      </c>
    </row>
    <row r="169" spans="1:9" x14ac:dyDescent="0.15">
      <c r="A169" s="10">
        <v>168</v>
      </c>
      <c r="B169" s="11" t="s">
        <v>9</v>
      </c>
      <c r="C169" s="11" t="s">
        <v>152</v>
      </c>
      <c r="D169" s="11" t="s">
        <v>153</v>
      </c>
      <c r="E169" s="9" t="str">
        <f>+HYPERLINK("http://trademark.i-assist.jp/data/china/image_1906th/79213765.pdf", "79213765")</f>
        <v>79213765</v>
      </c>
      <c r="F169" s="11" t="s">
        <v>12</v>
      </c>
      <c r="G169" s="11" t="s">
        <v>670</v>
      </c>
      <c r="H169" s="11" t="s">
        <v>671</v>
      </c>
      <c r="I169" s="11" t="s">
        <v>61</v>
      </c>
    </row>
    <row r="170" spans="1:9" x14ac:dyDescent="0.15">
      <c r="A170" s="10">
        <v>169</v>
      </c>
      <c r="B170" s="11" t="s">
        <v>9</v>
      </c>
      <c r="C170" s="11" t="s">
        <v>152</v>
      </c>
      <c r="D170" s="11" t="s">
        <v>153</v>
      </c>
      <c r="E170" s="9" t="str">
        <f>+HYPERLINK("http://trademark.i-assist.jp/data/china/image_1906th/79215053.pdf", "79215053")</f>
        <v>79215053</v>
      </c>
      <c r="F170" s="11" t="s">
        <v>12</v>
      </c>
      <c r="G170" s="11" t="s">
        <v>672</v>
      </c>
      <c r="H170" s="11" t="s">
        <v>673</v>
      </c>
      <c r="I170" s="11" t="s">
        <v>61</v>
      </c>
    </row>
    <row r="171" spans="1:9" x14ac:dyDescent="0.15">
      <c r="A171" s="10">
        <v>170</v>
      </c>
      <c r="B171" s="11" t="s">
        <v>9</v>
      </c>
      <c r="C171" s="11" t="s">
        <v>152</v>
      </c>
      <c r="D171" s="11" t="s">
        <v>153</v>
      </c>
      <c r="E171" s="9" t="str">
        <f>+HYPERLINK("http://trademark.i-assist.jp/data/china/image_1906th/79215381.pdf", "79215381")</f>
        <v>79215381</v>
      </c>
      <c r="F171" s="11" t="s">
        <v>674</v>
      </c>
      <c r="G171" s="11" t="s">
        <v>675</v>
      </c>
      <c r="H171" s="11" t="s">
        <v>676</v>
      </c>
      <c r="I171" s="11" t="s">
        <v>61</v>
      </c>
    </row>
    <row r="172" spans="1:9" x14ac:dyDescent="0.15">
      <c r="A172" s="10">
        <v>171</v>
      </c>
      <c r="B172" s="11" t="s">
        <v>9</v>
      </c>
      <c r="C172" s="11" t="s">
        <v>152</v>
      </c>
      <c r="D172" s="11" t="s">
        <v>153</v>
      </c>
      <c r="E172" s="9" t="str">
        <f>+HYPERLINK("http://trademark.i-assist.jp/data/china/image_1906th/79219093.pdf", "79219093")</f>
        <v>79219093</v>
      </c>
      <c r="F172" s="11" t="s">
        <v>677</v>
      </c>
      <c r="G172" s="11" t="s">
        <v>678</v>
      </c>
      <c r="H172" s="11" t="s">
        <v>679</v>
      </c>
      <c r="I172" s="11" t="s">
        <v>61</v>
      </c>
    </row>
    <row r="173" spans="1:9" x14ac:dyDescent="0.15">
      <c r="A173" s="10">
        <v>172</v>
      </c>
      <c r="B173" s="11" t="s">
        <v>9</v>
      </c>
      <c r="C173" s="11" t="s">
        <v>152</v>
      </c>
      <c r="D173" s="11" t="s">
        <v>153</v>
      </c>
      <c r="E173" s="9" t="str">
        <f>+HYPERLINK("http://trademark.i-assist.jp/data/china/image_1906th/79220033.pdf", "79220033")</f>
        <v>79220033</v>
      </c>
      <c r="F173" s="11" t="s">
        <v>667</v>
      </c>
      <c r="G173" s="11" t="s">
        <v>668</v>
      </c>
      <c r="H173" s="11" t="s">
        <v>680</v>
      </c>
      <c r="I173" s="11" t="s">
        <v>61</v>
      </c>
    </row>
    <row r="174" spans="1:9" x14ac:dyDescent="0.15">
      <c r="A174" s="10">
        <v>173</v>
      </c>
      <c r="B174" s="11" t="s">
        <v>9</v>
      </c>
      <c r="C174" s="11" t="s">
        <v>152</v>
      </c>
      <c r="D174" s="11" t="s">
        <v>153</v>
      </c>
      <c r="E174" s="9" t="str">
        <f>+HYPERLINK("http://trademark.i-assist.jp/data/china/image_1906th/79223096.pdf", "79223096")</f>
        <v>79223096</v>
      </c>
      <c r="F174" s="11" t="s">
        <v>681</v>
      </c>
      <c r="G174" s="11" t="s">
        <v>682</v>
      </c>
      <c r="H174" s="11" t="s">
        <v>683</v>
      </c>
      <c r="I174" s="11" t="s">
        <v>61</v>
      </c>
    </row>
    <row r="175" spans="1:9" x14ac:dyDescent="0.15">
      <c r="A175" s="10">
        <v>174</v>
      </c>
      <c r="B175" s="11" t="s">
        <v>9</v>
      </c>
      <c r="C175" s="11" t="s">
        <v>152</v>
      </c>
      <c r="D175" s="11" t="s">
        <v>153</v>
      </c>
      <c r="E175" s="9" t="str">
        <f>+HYPERLINK("http://trademark.i-assist.jp/data/china/image_1906th/79223108.pdf", "79223108")</f>
        <v>79223108</v>
      </c>
      <c r="F175" s="11" t="s">
        <v>684</v>
      </c>
      <c r="G175" s="11" t="s">
        <v>682</v>
      </c>
      <c r="H175" s="11" t="s">
        <v>685</v>
      </c>
      <c r="I175" s="11" t="s">
        <v>61</v>
      </c>
    </row>
    <row r="176" spans="1:9" x14ac:dyDescent="0.15">
      <c r="A176" s="10">
        <v>175</v>
      </c>
      <c r="B176" s="11" t="s">
        <v>9</v>
      </c>
      <c r="C176" s="11" t="s">
        <v>152</v>
      </c>
      <c r="D176" s="11" t="s">
        <v>153</v>
      </c>
      <c r="E176" s="9" t="str">
        <f>+HYPERLINK("http://trademark.i-assist.jp/data/china/image_1906th/79227494.pdf", "79227494")</f>
        <v>79227494</v>
      </c>
      <c r="F176" s="11" t="s">
        <v>686</v>
      </c>
      <c r="G176" s="11" t="s">
        <v>687</v>
      </c>
      <c r="H176" s="11" t="s">
        <v>688</v>
      </c>
      <c r="I176" s="11" t="s">
        <v>61</v>
      </c>
    </row>
    <row r="177" spans="1:9" x14ac:dyDescent="0.15">
      <c r="A177" s="10">
        <v>176</v>
      </c>
      <c r="B177" s="11" t="s">
        <v>9</v>
      </c>
      <c r="C177" s="11" t="s">
        <v>152</v>
      </c>
      <c r="D177" s="11" t="s">
        <v>153</v>
      </c>
      <c r="E177" s="9" t="str">
        <f>+HYPERLINK("http://trademark.i-assist.jp/data/china/image_1906th/79227590.pdf", "79227590")</f>
        <v>79227590</v>
      </c>
      <c r="F177" s="11" t="s">
        <v>689</v>
      </c>
      <c r="G177" s="11" t="s">
        <v>690</v>
      </c>
      <c r="H177" s="11" t="s">
        <v>691</v>
      </c>
      <c r="I177" s="11" t="s">
        <v>61</v>
      </c>
    </row>
    <row r="178" spans="1:9" x14ac:dyDescent="0.15">
      <c r="A178" s="10">
        <v>177</v>
      </c>
      <c r="B178" s="11" t="s">
        <v>9</v>
      </c>
      <c r="C178" s="11" t="s">
        <v>152</v>
      </c>
      <c r="D178" s="11" t="s">
        <v>153</v>
      </c>
      <c r="E178" s="9" t="str">
        <f>+HYPERLINK("http://trademark.i-assist.jp/data/china/image_1906th/79227682.pdf", "79227682")</f>
        <v>79227682</v>
      </c>
      <c r="F178" s="11" t="s">
        <v>692</v>
      </c>
      <c r="G178" s="11" t="s">
        <v>693</v>
      </c>
      <c r="H178" s="11" t="s">
        <v>694</v>
      </c>
      <c r="I178" s="11" t="s">
        <v>61</v>
      </c>
    </row>
    <row r="179" spans="1:9" x14ac:dyDescent="0.15">
      <c r="A179" s="10">
        <v>178</v>
      </c>
      <c r="B179" s="11" t="s">
        <v>9</v>
      </c>
      <c r="C179" s="11" t="s">
        <v>152</v>
      </c>
      <c r="D179" s="11" t="s">
        <v>153</v>
      </c>
      <c r="E179" s="9" t="str">
        <f>+HYPERLINK("http://trademark.i-assist.jp/data/china/image_1906th/79228909.pdf", "79228909")</f>
        <v>79228909</v>
      </c>
      <c r="F179" s="11" t="s">
        <v>695</v>
      </c>
      <c r="G179" s="11" t="s">
        <v>696</v>
      </c>
      <c r="H179" s="11" t="s">
        <v>697</v>
      </c>
      <c r="I179" s="11" t="s">
        <v>61</v>
      </c>
    </row>
    <row r="180" spans="1:9" x14ac:dyDescent="0.15">
      <c r="A180" s="10">
        <v>179</v>
      </c>
      <c r="B180" s="11" t="s">
        <v>9</v>
      </c>
      <c r="C180" s="11" t="s">
        <v>152</v>
      </c>
      <c r="D180" s="11" t="s">
        <v>153</v>
      </c>
      <c r="E180" s="9" t="str">
        <f>+HYPERLINK("http://trademark.i-assist.jp/data/china/image_1906th/79229606.pdf", "79229606")</f>
        <v>79229606</v>
      </c>
      <c r="F180" s="11" t="s">
        <v>698</v>
      </c>
      <c r="G180" s="11" t="s">
        <v>699</v>
      </c>
      <c r="H180" s="11" t="s">
        <v>700</v>
      </c>
      <c r="I180" s="11" t="s">
        <v>61</v>
      </c>
    </row>
    <row r="181" spans="1:9" x14ac:dyDescent="0.15">
      <c r="A181" s="10">
        <v>180</v>
      </c>
      <c r="B181" s="11" t="s">
        <v>9</v>
      </c>
      <c r="C181" s="11" t="s">
        <v>152</v>
      </c>
      <c r="D181" s="11" t="s">
        <v>153</v>
      </c>
      <c r="E181" s="9" t="str">
        <f>+HYPERLINK("http://trademark.i-assist.jp/data/china/image_1906th/79231631.pdf", "79231631")</f>
        <v>79231631</v>
      </c>
      <c r="F181" s="11" t="s">
        <v>701</v>
      </c>
      <c r="G181" s="11" t="s">
        <v>702</v>
      </c>
      <c r="H181" s="11" t="s">
        <v>703</v>
      </c>
      <c r="I181" s="11" t="s">
        <v>61</v>
      </c>
    </row>
    <row r="182" spans="1:9" x14ac:dyDescent="0.15">
      <c r="A182" s="10">
        <v>181</v>
      </c>
      <c r="B182" s="11" t="s">
        <v>9</v>
      </c>
      <c r="C182" s="11" t="s">
        <v>152</v>
      </c>
      <c r="D182" s="11" t="s">
        <v>153</v>
      </c>
      <c r="E182" s="9" t="str">
        <f>+HYPERLINK("http://trademark.i-assist.jp/data/china/image_1906th/79232292.pdf", "79232292")</f>
        <v>79232292</v>
      </c>
      <c r="F182" s="11" t="s">
        <v>704</v>
      </c>
      <c r="G182" s="11" t="s">
        <v>101</v>
      </c>
      <c r="H182" s="11" t="s">
        <v>705</v>
      </c>
      <c r="I182" s="11" t="s">
        <v>61</v>
      </c>
    </row>
    <row r="183" spans="1:9" x14ac:dyDescent="0.15">
      <c r="A183" s="10">
        <v>182</v>
      </c>
      <c r="B183" s="11" t="s">
        <v>9</v>
      </c>
      <c r="C183" s="11" t="s">
        <v>152</v>
      </c>
      <c r="D183" s="11" t="s">
        <v>153</v>
      </c>
      <c r="E183" s="9" t="str">
        <f>+HYPERLINK("http://trademark.i-assist.jp/data/china/image_1906th/79234133.pdf", "79234133")</f>
        <v>79234133</v>
      </c>
      <c r="F183" s="11" t="s">
        <v>706</v>
      </c>
      <c r="G183" s="11" t="s">
        <v>707</v>
      </c>
      <c r="H183" s="11" t="s">
        <v>708</v>
      </c>
      <c r="I183" s="11" t="s">
        <v>62</v>
      </c>
    </row>
    <row r="184" spans="1:9" x14ac:dyDescent="0.15">
      <c r="A184" s="10">
        <v>183</v>
      </c>
      <c r="B184" s="11" t="s">
        <v>9</v>
      </c>
      <c r="C184" s="11" t="s">
        <v>152</v>
      </c>
      <c r="D184" s="11" t="s">
        <v>153</v>
      </c>
      <c r="E184" s="9" t="str">
        <f>+HYPERLINK("http://trademark.i-assist.jp/data/china/image_1906th/79234760.pdf", "79234760")</f>
        <v>79234760</v>
      </c>
      <c r="F184" s="11" t="s">
        <v>709</v>
      </c>
      <c r="G184" s="11" t="s">
        <v>710</v>
      </c>
      <c r="H184" s="11" t="s">
        <v>711</v>
      </c>
      <c r="I184" s="11" t="s">
        <v>62</v>
      </c>
    </row>
    <row r="185" spans="1:9" x14ac:dyDescent="0.15">
      <c r="A185" s="10">
        <v>184</v>
      </c>
      <c r="B185" s="11" t="s">
        <v>9</v>
      </c>
      <c r="C185" s="11" t="s">
        <v>152</v>
      </c>
      <c r="D185" s="11" t="s">
        <v>153</v>
      </c>
      <c r="E185" s="9" t="str">
        <f>+HYPERLINK("http://trademark.i-assist.jp/data/china/image_1906th/79236229.pdf", "79236229")</f>
        <v>79236229</v>
      </c>
      <c r="F185" s="11" t="s">
        <v>712</v>
      </c>
      <c r="G185" s="11" t="s">
        <v>713</v>
      </c>
      <c r="H185" s="11" t="s">
        <v>714</v>
      </c>
      <c r="I185" s="11" t="s">
        <v>62</v>
      </c>
    </row>
    <row r="186" spans="1:9" x14ac:dyDescent="0.15">
      <c r="A186" s="10">
        <v>185</v>
      </c>
      <c r="B186" s="11" t="s">
        <v>9</v>
      </c>
      <c r="C186" s="11" t="s">
        <v>152</v>
      </c>
      <c r="D186" s="11" t="s">
        <v>153</v>
      </c>
      <c r="E186" s="9" t="str">
        <f>+HYPERLINK("http://trademark.i-assist.jp/data/china/image_1906th/79244964.pdf", "79244964")</f>
        <v>79244964</v>
      </c>
      <c r="F186" s="11" t="s">
        <v>715</v>
      </c>
      <c r="G186" s="11" t="s">
        <v>716</v>
      </c>
      <c r="H186" s="11" t="s">
        <v>717</v>
      </c>
      <c r="I186" s="11" t="s">
        <v>63</v>
      </c>
    </row>
    <row r="187" spans="1:9" x14ac:dyDescent="0.15">
      <c r="A187" s="10">
        <v>186</v>
      </c>
      <c r="B187" s="11" t="s">
        <v>9</v>
      </c>
      <c r="C187" s="11" t="s">
        <v>152</v>
      </c>
      <c r="D187" s="11" t="s">
        <v>153</v>
      </c>
      <c r="E187" s="9" t="str">
        <f>+HYPERLINK("http://trademark.i-assist.jp/data/china/image_1906th/79249170.pdf", "79249170")</f>
        <v>79249170</v>
      </c>
      <c r="F187" s="11" t="s">
        <v>718</v>
      </c>
      <c r="G187" s="11" t="s">
        <v>719</v>
      </c>
      <c r="H187" s="11" t="s">
        <v>720</v>
      </c>
      <c r="I187" s="11" t="s">
        <v>63</v>
      </c>
    </row>
    <row r="188" spans="1:9" x14ac:dyDescent="0.15">
      <c r="A188" s="10">
        <v>187</v>
      </c>
      <c r="B188" s="11" t="s">
        <v>9</v>
      </c>
      <c r="C188" s="11" t="s">
        <v>152</v>
      </c>
      <c r="D188" s="11" t="s">
        <v>153</v>
      </c>
      <c r="E188" s="9" t="str">
        <f>+HYPERLINK("http://trademark.i-assist.jp/data/china/image_1906th/79251990.pdf", "79251990")</f>
        <v>79251990</v>
      </c>
      <c r="F188" s="11" t="s">
        <v>721</v>
      </c>
      <c r="G188" s="11" t="s">
        <v>722</v>
      </c>
      <c r="H188" s="11" t="s">
        <v>723</v>
      </c>
      <c r="I188" s="11" t="s">
        <v>63</v>
      </c>
    </row>
    <row r="189" spans="1:9" x14ac:dyDescent="0.15">
      <c r="A189" s="10">
        <v>188</v>
      </c>
      <c r="B189" s="11" t="s">
        <v>9</v>
      </c>
      <c r="C189" s="11" t="s">
        <v>152</v>
      </c>
      <c r="D189" s="11" t="s">
        <v>153</v>
      </c>
      <c r="E189" s="9" t="str">
        <f>+HYPERLINK("http://trademark.i-assist.jp/data/china/image_1906th/79256476.pdf", "79256476")</f>
        <v>79256476</v>
      </c>
      <c r="F189" s="11" t="s">
        <v>724</v>
      </c>
      <c r="G189" s="11" t="s">
        <v>725</v>
      </c>
      <c r="H189" s="11" t="s">
        <v>726</v>
      </c>
      <c r="I189" s="11" t="s">
        <v>63</v>
      </c>
    </row>
    <row r="190" spans="1:9" x14ac:dyDescent="0.15">
      <c r="A190" s="10">
        <v>189</v>
      </c>
      <c r="B190" s="11" t="s">
        <v>9</v>
      </c>
      <c r="C190" s="11" t="s">
        <v>152</v>
      </c>
      <c r="D190" s="11" t="s">
        <v>153</v>
      </c>
      <c r="E190" s="9" t="str">
        <f>+HYPERLINK("http://trademark.i-assist.jp/data/china/image_1906th/79257121.pdf", "79257121")</f>
        <v>79257121</v>
      </c>
      <c r="F190" s="11" t="s">
        <v>727</v>
      </c>
      <c r="G190" s="11" t="s">
        <v>728</v>
      </c>
      <c r="H190" s="11" t="s">
        <v>729</v>
      </c>
      <c r="I190" s="11" t="s">
        <v>63</v>
      </c>
    </row>
    <row r="191" spans="1:9" x14ac:dyDescent="0.15">
      <c r="A191" s="10">
        <v>190</v>
      </c>
      <c r="B191" s="11" t="s">
        <v>9</v>
      </c>
      <c r="C191" s="11" t="s">
        <v>152</v>
      </c>
      <c r="D191" s="11" t="s">
        <v>153</v>
      </c>
      <c r="E191" s="9" t="str">
        <f>+HYPERLINK("http://trademark.i-assist.jp/data/china/image_1906th/79258044.pdf", "79258044")</f>
        <v>79258044</v>
      </c>
      <c r="F191" s="11" t="s">
        <v>730</v>
      </c>
      <c r="G191" s="11" t="s">
        <v>731</v>
      </c>
      <c r="H191" s="11" t="s">
        <v>732</v>
      </c>
      <c r="I191" s="11" t="s">
        <v>63</v>
      </c>
    </row>
    <row r="192" spans="1:9" x14ac:dyDescent="0.15">
      <c r="A192" s="10">
        <v>191</v>
      </c>
      <c r="B192" s="11" t="s">
        <v>9</v>
      </c>
      <c r="C192" s="11" t="s">
        <v>152</v>
      </c>
      <c r="D192" s="11" t="s">
        <v>153</v>
      </c>
      <c r="E192" s="9" t="str">
        <f>+HYPERLINK("http://trademark.i-assist.jp/data/china/image_1906th/79258870.pdf", "79258870")</f>
        <v>79258870</v>
      </c>
      <c r="F192" s="11" t="s">
        <v>12</v>
      </c>
      <c r="G192" s="11" t="s">
        <v>733</v>
      </c>
      <c r="H192" s="11" t="s">
        <v>734</v>
      </c>
      <c r="I192" s="11" t="s">
        <v>63</v>
      </c>
    </row>
    <row r="193" spans="1:9" x14ac:dyDescent="0.15">
      <c r="A193" s="10">
        <v>192</v>
      </c>
      <c r="B193" s="11" t="s">
        <v>9</v>
      </c>
      <c r="C193" s="11" t="s">
        <v>152</v>
      </c>
      <c r="D193" s="11" t="s">
        <v>153</v>
      </c>
      <c r="E193" s="9" t="str">
        <f>+HYPERLINK("http://trademark.i-assist.jp/data/china/image_1906th/79260449.pdf", "79260449")</f>
        <v>79260449</v>
      </c>
      <c r="F193" s="11" t="s">
        <v>735</v>
      </c>
      <c r="G193" s="11" t="s">
        <v>736</v>
      </c>
      <c r="H193" s="11" t="s">
        <v>737</v>
      </c>
      <c r="I193" s="11" t="s">
        <v>63</v>
      </c>
    </row>
    <row r="194" spans="1:9" x14ac:dyDescent="0.15">
      <c r="A194" s="10">
        <v>193</v>
      </c>
      <c r="B194" s="11" t="s">
        <v>9</v>
      </c>
      <c r="C194" s="11" t="s">
        <v>152</v>
      </c>
      <c r="D194" s="11" t="s">
        <v>153</v>
      </c>
      <c r="E194" s="9" t="str">
        <f>+HYPERLINK("http://trademark.i-assist.jp/data/china/image_1906th/79261234.pdf", "79261234")</f>
        <v>79261234</v>
      </c>
      <c r="F194" s="11" t="s">
        <v>738</v>
      </c>
      <c r="G194" s="11" t="s">
        <v>739</v>
      </c>
      <c r="H194" s="11" t="s">
        <v>740</v>
      </c>
      <c r="I194" s="11" t="s">
        <v>63</v>
      </c>
    </row>
    <row r="195" spans="1:9" x14ac:dyDescent="0.15">
      <c r="A195" s="10">
        <v>194</v>
      </c>
      <c r="B195" s="11" t="s">
        <v>9</v>
      </c>
      <c r="C195" s="11" t="s">
        <v>152</v>
      </c>
      <c r="D195" s="11" t="s">
        <v>153</v>
      </c>
      <c r="E195" s="9" t="str">
        <f>+HYPERLINK("http://trademark.i-assist.jp/data/china/image_1906th/79261400.pdf", "79261400")</f>
        <v>79261400</v>
      </c>
      <c r="F195" s="11" t="s">
        <v>741</v>
      </c>
      <c r="G195" s="11" t="s">
        <v>91</v>
      </c>
      <c r="H195" s="11" t="s">
        <v>742</v>
      </c>
      <c r="I195" s="11" t="s">
        <v>63</v>
      </c>
    </row>
    <row r="196" spans="1:9" x14ac:dyDescent="0.15">
      <c r="A196" s="10">
        <v>195</v>
      </c>
      <c r="B196" s="11" t="s">
        <v>9</v>
      </c>
      <c r="C196" s="11" t="s">
        <v>152</v>
      </c>
      <c r="D196" s="11" t="s">
        <v>153</v>
      </c>
      <c r="E196" s="9" t="str">
        <f>+HYPERLINK("http://trademark.i-assist.jp/data/china/image_1906th/79267450.pdf", "79267450")</f>
        <v>79267450</v>
      </c>
      <c r="F196" s="11" t="s">
        <v>12</v>
      </c>
      <c r="G196" s="11" t="s">
        <v>743</v>
      </c>
      <c r="H196" s="11" t="s">
        <v>744</v>
      </c>
      <c r="I196" s="11" t="s">
        <v>63</v>
      </c>
    </row>
    <row r="197" spans="1:9" x14ac:dyDescent="0.15">
      <c r="A197" s="10">
        <v>196</v>
      </c>
      <c r="B197" s="11" t="s">
        <v>9</v>
      </c>
      <c r="C197" s="11" t="s">
        <v>152</v>
      </c>
      <c r="D197" s="11" t="s">
        <v>153</v>
      </c>
      <c r="E197" s="9" t="str">
        <f>+HYPERLINK("http://trademark.i-assist.jp/data/china/image_1906th/79268224.pdf", "79268224")</f>
        <v>79268224</v>
      </c>
      <c r="F197" s="11" t="s">
        <v>745</v>
      </c>
      <c r="G197" s="11" t="s">
        <v>746</v>
      </c>
      <c r="H197" s="11" t="s">
        <v>747</v>
      </c>
      <c r="I197" s="11" t="s">
        <v>63</v>
      </c>
    </row>
    <row r="198" spans="1:9" x14ac:dyDescent="0.15">
      <c r="A198" s="10">
        <v>197</v>
      </c>
      <c r="B198" s="11" t="s">
        <v>9</v>
      </c>
      <c r="C198" s="11" t="s">
        <v>152</v>
      </c>
      <c r="D198" s="11" t="s">
        <v>153</v>
      </c>
      <c r="E198" s="9" t="str">
        <f>+HYPERLINK("http://trademark.i-assist.jp/data/china/image_1906th/79270314.pdf", "79270314")</f>
        <v>79270314</v>
      </c>
      <c r="F198" s="11" t="s">
        <v>748</v>
      </c>
      <c r="G198" s="11" t="s">
        <v>749</v>
      </c>
      <c r="H198" s="11" t="s">
        <v>750</v>
      </c>
      <c r="I198" s="11" t="s">
        <v>63</v>
      </c>
    </row>
    <row r="199" spans="1:9" x14ac:dyDescent="0.15">
      <c r="A199" s="10">
        <v>198</v>
      </c>
      <c r="B199" s="11" t="s">
        <v>9</v>
      </c>
      <c r="C199" s="11" t="s">
        <v>152</v>
      </c>
      <c r="D199" s="11" t="s">
        <v>153</v>
      </c>
      <c r="E199" s="9" t="str">
        <f>+HYPERLINK("http://trademark.i-assist.jp/data/china/image_1906th/79270821.pdf", "79270821")</f>
        <v>79270821</v>
      </c>
      <c r="F199" s="11" t="s">
        <v>751</v>
      </c>
      <c r="G199" s="11" t="s">
        <v>752</v>
      </c>
      <c r="H199" s="11" t="s">
        <v>753</v>
      </c>
      <c r="I199" s="11" t="s">
        <v>64</v>
      </c>
    </row>
    <row r="200" spans="1:9" x14ac:dyDescent="0.15">
      <c r="A200" s="10">
        <v>199</v>
      </c>
      <c r="B200" s="11" t="s">
        <v>9</v>
      </c>
      <c r="C200" s="11" t="s">
        <v>152</v>
      </c>
      <c r="D200" s="11" t="s">
        <v>153</v>
      </c>
      <c r="E200" s="9" t="str">
        <f>+HYPERLINK("http://trademark.i-assist.jp/data/china/image_1906th/79270828.pdf", "79270828")</f>
        <v>79270828</v>
      </c>
      <c r="F200" s="11" t="s">
        <v>754</v>
      </c>
      <c r="G200" s="11" t="s">
        <v>752</v>
      </c>
      <c r="H200" s="11" t="s">
        <v>755</v>
      </c>
      <c r="I200" s="11" t="s">
        <v>64</v>
      </c>
    </row>
    <row r="201" spans="1:9" x14ac:dyDescent="0.15">
      <c r="A201" s="10">
        <v>200</v>
      </c>
      <c r="B201" s="11" t="s">
        <v>9</v>
      </c>
      <c r="C201" s="11" t="s">
        <v>152</v>
      </c>
      <c r="D201" s="11" t="s">
        <v>153</v>
      </c>
      <c r="E201" s="9" t="str">
        <f>+HYPERLINK("http://trademark.i-assist.jp/data/china/image_1906th/79274669.pdf", "79274669")</f>
        <v>79274669</v>
      </c>
      <c r="F201" s="11" t="s">
        <v>756</v>
      </c>
      <c r="G201" s="11" t="s">
        <v>757</v>
      </c>
      <c r="H201" s="11" t="s">
        <v>758</v>
      </c>
      <c r="I201" s="11" t="s">
        <v>64</v>
      </c>
    </row>
    <row r="202" spans="1:9" x14ac:dyDescent="0.15">
      <c r="A202" s="10">
        <v>201</v>
      </c>
      <c r="B202" s="11" t="s">
        <v>9</v>
      </c>
      <c r="C202" s="11" t="s">
        <v>152</v>
      </c>
      <c r="D202" s="11" t="s">
        <v>153</v>
      </c>
      <c r="E202" s="9" t="str">
        <f>+HYPERLINK("http://trademark.i-assist.jp/data/china/image_1906th/79276381.pdf", "79276381")</f>
        <v>79276381</v>
      </c>
      <c r="F202" s="11" t="s">
        <v>759</v>
      </c>
      <c r="G202" s="11" t="s">
        <v>760</v>
      </c>
      <c r="H202" s="11" t="s">
        <v>761</v>
      </c>
      <c r="I202" s="11" t="s">
        <v>64</v>
      </c>
    </row>
    <row r="203" spans="1:9" x14ac:dyDescent="0.15">
      <c r="A203" s="10">
        <v>202</v>
      </c>
      <c r="B203" s="11" t="s">
        <v>9</v>
      </c>
      <c r="C203" s="11" t="s">
        <v>152</v>
      </c>
      <c r="D203" s="11" t="s">
        <v>153</v>
      </c>
      <c r="E203" s="9" t="str">
        <f>+HYPERLINK("http://trademark.i-assist.jp/data/china/image_1906th/79277728.pdf", "79277728")</f>
        <v>79277728</v>
      </c>
      <c r="F203" s="11" t="s">
        <v>762</v>
      </c>
      <c r="G203" s="11" t="s">
        <v>99</v>
      </c>
      <c r="H203" s="11" t="s">
        <v>763</v>
      </c>
      <c r="I203" s="11" t="s">
        <v>64</v>
      </c>
    </row>
    <row r="204" spans="1:9" x14ac:dyDescent="0.15">
      <c r="A204" s="10">
        <v>203</v>
      </c>
      <c r="B204" s="11" t="s">
        <v>9</v>
      </c>
      <c r="C204" s="11" t="s">
        <v>152</v>
      </c>
      <c r="D204" s="11" t="s">
        <v>153</v>
      </c>
      <c r="E204" s="9" t="str">
        <f>+HYPERLINK("http://trademark.i-assist.jp/data/china/image_1906th/79278165.pdf", "79278165")</f>
        <v>79278165</v>
      </c>
      <c r="F204" s="11" t="s">
        <v>764</v>
      </c>
      <c r="G204" s="11" t="s">
        <v>765</v>
      </c>
      <c r="H204" s="11" t="s">
        <v>766</v>
      </c>
      <c r="I204" s="11" t="s">
        <v>64</v>
      </c>
    </row>
    <row r="205" spans="1:9" x14ac:dyDescent="0.15">
      <c r="A205" s="10">
        <v>204</v>
      </c>
      <c r="B205" s="11" t="s">
        <v>9</v>
      </c>
      <c r="C205" s="11" t="s">
        <v>152</v>
      </c>
      <c r="D205" s="11" t="s">
        <v>153</v>
      </c>
      <c r="E205" s="9" t="str">
        <f>+HYPERLINK("http://trademark.i-assist.jp/data/china/image_1906th/79278193.pdf", "79278193")</f>
        <v>79278193</v>
      </c>
      <c r="F205" s="11" t="s">
        <v>767</v>
      </c>
      <c r="G205" s="11" t="s">
        <v>765</v>
      </c>
      <c r="H205" s="11" t="s">
        <v>768</v>
      </c>
      <c r="I205" s="11" t="s">
        <v>64</v>
      </c>
    </row>
    <row r="206" spans="1:9" x14ac:dyDescent="0.15">
      <c r="A206" s="10">
        <v>205</v>
      </c>
      <c r="B206" s="11" t="s">
        <v>9</v>
      </c>
      <c r="C206" s="11" t="s">
        <v>152</v>
      </c>
      <c r="D206" s="11" t="s">
        <v>153</v>
      </c>
      <c r="E206" s="9" t="str">
        <f>+HYPERLINK("http://trademark.i-assist.jp/data/china/image_1906th/79283780.pdf", "79283780")</f>
        <v>79283780</v>
      </c>
      <c r="F206" s="11" t="s">
        <v>12</v>
      </c>
      <c r="G206" s="11" t="s">
        <v>769</v>
      </c>
      <c r="H206" s="11" t="s">
        <v>770</v>
      </c>
      <c r="I206" s="11" t="s">
        <v>64</v>
      </c>
    </row>
    <row r="207" spans="1:9" x14ac:dyDescent="0.15">
      <c r="A207" s="10">
        <v>206</v>
      </c>
      <c r="B207" s="11" t="s">
        <v>9</v>
      </c>
      <c r="C207" s="11" t="s">
        <v>152</v>
      </c>
      <c r="D207" s="11" t="s">
        <v>153</v>
      </c>
      <c r="E207" s="9" t="str">
        <f>+HYPERLINK("http://trademark.i-assist.jp/data/china/image_1906th/79284683.pdf", "79284683")</f>
        <v>79284683</v>
      </c>
      <c r="F207" s="11" t="s">
        <v>771</v>
      </c>
      <c r="G207" s="11" t="s">
        <v>772</v>
      </c>
      <c r="H207" s="11" t="s">
        <v>773</v>
      </c>
      <c r="I207" s="11" t="s">
        <v>64</v>
      </c>
    </row>
    <row r="208" spans="1:9" x14ac:dyDescent="0.15">
      <c r="A208" s="10">
        <v>207</v>
      </c>
      <c r="B208" s="11" t="s">
        <v>9</v>
      </c>
      <c r="C208" s="11" t="s">
        <v>152</v>
      </c>
      <c r="D208" s="11" t="s">
        <v>153</v>
      </c>
      <c r="E208" s="9" t="str">
        <f>+HYPERLINK("http://trademark.i-assist.jp/data/china/image_1906th/79287079.pdf", "79287079")</f>
        <v>79287079</v>
      </c>
      <c r="F208" s="11" t="s">
        <v>774</v>
      </c>
      <c r="G208" s="11" t="s">
        <v>775</v>
      </c>
      <c r="H208" s="11" t="s">
        <v>776</v>
      </c>
      <c r="I208" s="11" t="s">
        <v>64</v>
      </c>
    </row>
    <row r="209" spans="1:9" x14ac:dyDescent="0.15">
      <c r="A209" s="10">
        <v>208</v>
      </c>
      <c r="B209" s="11" t="s">
        <v>9</v>
      </c>
      <c r="C209" s="11" t="s">
        <v>152</v>
      </c>
      <c r="D209" s="11" t="s">
        <v>153</v>
      </c>
      <c r="E209" s="9" t="str">
        <f>+HYPERLINK("http://trademark.i-assist.jp/data/china/image_1906th/79294424.pdf", "79294424")</f>
        <v>79294424</v>
      </c>
      <c r="F209" s="11" t="s">
        <v>12</v>
      </c>
      <c r="G209" s="11" t="s">
        <v>777</v>
      </c>
      <c r="H209" s="11" t="s">
        <v>778</v>
      </c>
      <c r="I209" s="11" t="s">
        <v>64</v>
      </c>
    </row>
    <row r="210" spans="1:9" x14ac:dyDescent="0.15">
      <c r="A210" s="10">
        <v>209</v>
      </c>
      <c r="B210" s="11" t="s">
        <v>9</v>
      </c>
      <c r="C210" s="11" t="s">
        <v>152</v>
      </c>
      <c r="D210" s="11" t="s">
        <v>153</v>
      </c>
      <c r="E210" s="9" t="str">
        <f>+HYPERLINK("http://trademark.i-assist.jp/data/china/image_1906th/79294706.pdf", "79294706")</f>
        <v>79294706</v>
      </c>
      <c r="F210" s="11" t="s">
        <v>779</v>
      </c>
      <c r="G210" s="11" t="s">
        <v>780</v>
      </c>
      <c r="H210" s="11" t="s">
        <v>781</v>
      </c>
      <c r="I210" s="11" t="s">
        <v>64</v>
      </c>
    </row>
    <row r="211" spans="1:9" x14ac:dyDescent="0.15">
      <c r="A211" s="10">
        <v>210</v>
      </c>
      <c r="B211" s="11" t="s">
        <v>9</v>
      </c>
      <c r="C211" s="11" t="s">
        <v>152</v>
      </c>
      <c r="D211" s="11" t="s">
        <v>153</v>
      </c>
      <c r="E211" s="9" t="str">
        <f>+HYPERLINK("http://trademark.i-assist.jp/data/china/image_1906th/79295689.pdf", "79295689")</f>
        <v>79295689</v>
      </c>
      <c r="F211" s="11" t="s">
        <v>782</v>
      </c>
      <c r="G211" s="11" t="s">
        <v>783</v>
      </c>
      <c r="H211" s="11" t="s">
        <v>784</v>
      </c>
      <c r="I211" s="11" t="s">
        <v>64</v>
      </c>
    </row>
    <row r="212" spans="1:9" x14ac:dyDescent="0.15">
      <c r="A212" s="10">
        <v>211</v>
      </c>
      <c r="B212" s="11" t="s">
        <v>9</v>
      </c>
      <c r="C212" s="11" t="s">
        <v>152</v>
      </c>
      <c r="D212" s="11" t="s">
        <v>153</v>
      </c>
      <c r="E212" s="9" t="str">
        <f>+HYPERLINK("http://trademark.i-assist.jp/data/china/image_1906th/79295890.pdf", "79295890")</f>
        <v>79295890</v>
      </c>
      <c r="F212" s="11" t="s">
        <v>785</v>
      </c>
      <c r="G212" s="11" t="s">
        <v>786</v>
      </c>
      <c r="H212" s="11" t="s">
        <v>787</v>
      </c>
      <c r="I212" s="11" t="s">
        <v>64</v>
      </c>
    </row>
    <row r="213" spans="1:9" x14ac:dyDescent="0.15">
      <c r="A213" s="10">
        <v>212</v>
      </c>
      <c r="B213" s="11" t="s">
        <v>9</v>
      </c>
      <c r="C213" s="11" t="s">
        <v>152</v>
      </c>
      <c r="D213" s="11" t="s">
        <v>153</v>
      </c>
      <c r="E213" s="9" t="str">
        <f>+HYPERLINK("http://trademark.i-assist.jp/data/china/image_1906th/79298774.pdf", "79298774")</f>
        <v>79298774</v>
      </c>
      <c r="F213" s="11" t="s">
        <v>788</v>
      </c>
      <c r="G213" s="11" t="s">
        <v>789</v>
      </c>
      <c r="H213" s="11" t="s">
        <v>790</v>
      </c>
      <c r="I213" s="11" t="s">
        <v>65</v>
      </c>
    </row>
    <row r="214" spans="1:9" x14ac:dyDescent="0.15">
      <c r="A214" s="10">
        <v>213</v>
      </c>
      <c r="B214" s="11" t="s">
        <v>9</v>
      </c>
      <c r="C214" s="11" t="s">
        <v>152</v>
      </c>
      <c r="D214" s="11" t="s">
        <v>153</v>
      </c>
      <c r="E214" s="9" t="str">
        <f>+HYPERLINK("http://trademark.i-assist.jp/data/china/image_1906th/79298841.pdf", "79298841")</f>
        <v>79298841</v>
      </c>
      <c r="F214" s="11" t="s">
        <v>791</v>
      </c>
      <c r="G214" s="11" t="s">
        <v>792</v>
      </c>
      <c r="H214" s="11" t="s">
        <v>14</v>
      </c>
      <c r="I214" s="11" t="s">
        <v>14</v>
      </c>
    </row>
    <row r="215" spans="1:9" x14ac:dyDescent="0.15">
      <c r="A215" s="10">
        <v>214</v>
      </c>
      <c r="B215" s="11" t="s">
        <v>9</v>
      </c>
      <c r="C215" s="11" t="s">
        <v>152</v>
      </c>
      <c r="D215" s="11" t="s">
        <v>153</v>
      </c>
      <c r="E215" s="9" t="str">
        <f>+HYPERLINK("http://trademark.i-assist.jp/data/china/image_1906th/79299647.pdf", "79299647")</f>
        <v>79299647</v>
      </c>
      <c r="F215" s="11" t="s">
        <v>12</v>
      </c>
      <c r="G215" s="11" t="s">
        <v>793</v>
      </c>
      <c r="H215" s="11" t="s">
        <v>794</v>
      </c>
      <c r="I215" s="11" t="s">
        <v>65</v>
      </c>
    </row>
    <row r="216" spans="1:9" x14ac:dyDescent="0.15">
      <c r="A216" s="10">
        <v>215</v>
      </c>
      <c r="B216" s="11" t="s">
        <v>9</v>
      </c>
      <c r="C216" s="11" t="s">
        <v>152</v>
      </c>
      <c r="D216" s="11" t="s">
        <v>153</v>
      </c>
      <c r="E216" s="9" t="str">
        <f>+HYPERLINK("http://trademark.i-assist.jp/data/china/image_1906th/79299811.pdf", "79299811")</f>
        <v>79299811</v>
      </c>
      <c r="F216" s="11" t="s">
        <v>12</v>
      </c>
      <c r="G216" s="11" t="s">
        <v>16</v>
      </c>
      <c r="H216" s="11" t="s">
        <v>795</v>
      </c>
      <c r="I216" s="11" t="s">
        <v>65</v>
      </c>
    </row>
    <row r="217" spans="1:9" x14ac:dyDescent="0.15">
      <c r="A217" s="10">
        <v>216</v>
      </c>
      <c r="B217" s="11" t="s">
        <v>9</v>
      </c>
      <c r="C217" s="11" t="s">
        <v>152</v>
      </c>
      <c r="D217" s="11" t="s">
        <v>153</v>
      </c>
      <c r="E217" s="9" t="str">
        <f>+HYPERLINK("http://trademark.i-assist.jp/data/china/image_1906th/79302631.pdf", "79302631")</f>
        <v>79302631</v>
      </c>
      <c r="F217" s="11" t="s">
        <v>796</v>
      </c>
      <c r="G217" s="11" t="s">
        <v>797</v>
      </c>
      <c r="H217" s="11" t="s">
        <v>798</v>
      </c>
      <c r="I217" s="11" t="s">
        <v>65</v>
      </c>
    </row>
    <row r="218" spans="1:9" x14ac:dyDescent="0.15">
      <c r="A218" s="10">
        <v>217</v>
      </c>
      <c r="B218" s="11" t="s">
        <v>9</v>
      </c>
      <c r="C218" s="11" t="s">
        <v>152</v>
      </c>
      <c r="D218" s="11" t="s">
        <v>153</v>
      </c>
      <c r="E218" s="9" t="str">
        <f>+HYPERLINK("http://trademark.i-assist.jp/data/china/image_1906th/79305245.pdf", "79305245")</f>
        <v>79305245</v>
      </c>
      <c r="F218" s="11" t="s">
        <v>799</v>
      </c>
      <c r="G218" s="11" t="s">
        <v>800</v>
      </c>
      <c r="H218" s="11" t="s">
        <v>801</v>
      </c>
      <c r="I218" s="11" t="s">
        <v>65</v>
      </c>
    </row>
    <row r="219" spans="1:9" x14ac:dyDescent="0.15">
      <c r="A219" s="10">
        <v>218</v>
      </c>
      <c r="B219" s="11" t="s">
        <v>9</v>
      </c>
      <c r="C219" s="11" t="s">
        <v>152</v>
      </c>
      <c r="D219" s="11" t="s">
        <v>153</v>
      </c>
      <c r="E219" s="9" t="str">
        <f>+HYPERLINK("http://trademark.i-assist.jp/data/china/image_1906th/79305475.pdf", "79305475")</f>
        <v>79305475</v>
      </c>
      <c r="F219" s="11" t="s">
        <v>802</v>
      </c>
      <c r="G219" s="11" t="s">
        <v>803</v>
      </c>
      <c r="H219" s="11" t="s">
        <v>804</v>
      </c>
      <c r="I219" s="11" t="s">
        <v>65</v>
      </c>
    </row>
    <row r="220" spans="1:9" x14ac:dyDescent="0.15">
      <c r="A220" s="10">
        <v>219</v>
      </c>
      <c r="B220" s="11" t="s">
        <v>9</v>
      </c>
      <c r="C220" s="11" t="s">
        <v>152</v>
      </c>
      <c r="D220" s="11" t="s">
        <v>153</v>
      </c>
      <c r="E220" s="9" t="str">
        <f>+HYPERLINK("http://trademark.i-assist.jp/data/china/image_1906th/79309620.pdf", "79309620")</f>
        <v>79309620</v>
      </c>
      <c r="F220" s="11" t="s">
        <v>805</v>
      </c>
      <c r="G220" s="11" t="s">
        <v>806</v>
      </c>
      <c r="H220" s="11" t="s">
        <v>807</v>
      </c>
      <c r="I220" s="11" t="s">
        <v>65</v>
      </c>
    </row>
    <row r="221" spans="1:9" x14ac:dyDescent="0.15">
      <c r="A221" s="10">
        <v>220</v>
      </c>
      <c r="B221" s="11" t="s">
        <v>9</v>
      </c>
      <c r="C221" s="11" t="s">
        <v>152</v>
      </c>
      <c r="D221" s="11" t="s">
        <v>153</v>
      </c>
      <c r="E221" s="9" t="str">
        <f>+HYPERLINK("http://trademark.i-assist.jp/data/china/image_1906th/79311096.pdf", "79311096")</f>
        <v>79311096</v>
      </c>
      <c r="F221" s="11" t="s">
        <v>808</v>
      </c>
      <c r="G221" s="11" t="s">
        <v>809</v>
      </c>
      <c r="H221" s="11" t="s">
        <v>810</v>
      </c>
      <c r="I221" s="11" t="s">
        <v>65</v>
      </c>
    </row>
    <row r="222" spans="1:9" x14ac:dyDescent="0.15">
      <c r="A222" s="10">
        <v>221</v>
      </c>
      <c r="B222" s="11" t="s">
        <v>9</v>
      </c>
      <c r="C222" s="11" t="s">
        <v>152</v>
      </c>
      <c r="D222" s="11" t="s">
        <v>153</v>
      </c>
      <c r="E222" s="9" t="str">
        <f>+HYPERLINK("http://trademark.i-assist.jp/data/china/image_1906th/79314598.pdf", "79314598")</f>
        <v>79314598</v>
      </c>
      <c r="F222" s="11" t="s">
        <v>811</v>
      </c>
      <c r="G222" s="11" t="s">
        <v>812</v>
      </c>
      <c r="H222" s="11" t="s">
        <v>813</v>
      </c>
      <c r="I222" s="11" t="s">
        <v>65</v>
      </c>
    </row>
    <row r="223" spans="1:9" x14ac:dyDescent="0.15">
      <c r="A223" s="10">
        <v>222</v>
      </c>
      <c r="B223" s="11" t="s">
        <v>9</v>
      </c>
      <c r="C223" s="11" t="s">
        <v>152</v>
      </c>
      <c r="D223" s="11" t="s">
        <v>153</v>
      </c>
      <c r="E223" s="9" t="str">
        <f>+HYPERLINK("http://trademark.i-assist.jp/data/china/image_1906th/79316310.pdf", "79316310")</f>
        <v>79316310</v>
      </c>
      <c r="F223" s="11" t="s">
        <v>814</v>
      </c>
      <c r="G223" s="11" t="s">
        <v>815</v>
      </c>
      <c r="H223" s="11" t="s">
        <v>816</v>
      </c>
      <c r="I223" s="11" t="s">
        <v>65</v>
      </c>
    </row>
    <row r="224" spans="1:9" x14ac:dyDescent="0.15">
      <c r="A224" s="10">
        <v>223</v>
      </c>
      <c r="B224" s="11" t="s">
        <v>9</v>
      </c>
      <c r="C224" s="11" t="s">
        <v>152</v>
      </c>
      <c r="D224" s="11" t="s">
        <v>153</v>
      </c>
      <c r="E224" s="9" t="str">
        <f>+HYPERLINK("http://trademark.i-assist.jp/data/china/image_1906th/79316459.pdf", "79316459")</f>
        <v>79316459</v>
      </c>
      <c r="F224" s="11" t="s">
        <v>817</v>
      </c>
      <c r="G224" s="11" t="s">
        <v>792</v>
      </c>
      <c r="H224" s="11" t="s">
        <v>818</v>
      </c>
      <c r="I224" s="11" t="s">
        <v>65</v>
      </c>
    </row>
    <row r="225" spans="1:9" x14ac:dyDescent="0.15">
      <c r="A225" s="10">
        <v>224</v>
      </c>
      <c r="B225" s="11" t="s">
        <v>9</v>
      </c>
      <c r="C225" s="11" t="s">
        <v>152</v>
      </c>
      <c r="D225" s="11" t="s">
        <v>153</v>
      </c>
      <c r="E225" s="9" t="str">
        <f>+HYPERLINK("http://trademark.i-assist.jp/data/china/image_1906th/79317097.pdf", "79317097")</f>
        <v>79317097</v>
      </c>
      <c r="F225" s="11" t="s">
        <v>12</v>
      </c>
      <c r="G225" s="11" t="s">
        <v>819</v>
      </c>
      <c r="H225" s="11" t="s">
        <v>820</v>
      </c>
      <c r="I225" s="11" t="s">
        <v>65</v>
      </c>
    </row>
    <row r="226" spans="1:9" x14ac:dyDescent="0.15">
      <c r="A226" s="10">
        <v>225</v>
      </c>
      <c r="B226" s="11" t="s">
        <v>9</v>
      </c>
      <c r="C226" s="11" t="s">
        <v>152</v>
      </c>
      <c r="D226" s="11" t="s">
        <v>153</v>
      </c>
      <c r="E226" s="9" t="str">
        <f>+HYPERLINK("http://trademark.i-assist.jp/data/china/image_1906th/79317115.pdf", "79317115")</f>
        <v>79317115</v>
      </c>
      <c r="F226" s="11" t="s">
        <v>821</v>
      </c>
      <c r="G226" s="11" t="s">
        <v>822</v>
      </c>
      <c r="H226" s="11" t="s">
        <v>823</v>
      </c>
      <c r="I226" s="11" t="s">
        <v>65</v>
      </c>
    </row>
    <row r="227" spans="1:9" x14ac:dyDescent="0.15">
      <c r="A227" s="10">
        <v>226</v>
      </c>
      <c r="B227" s="11" t="s">
        <v>9</v>
      </c>
      <c r="C227" s="11" t="s">
        <v>152</v>
      </c>
      <c r="D227" s="11" t="s">
        <v>153</v>
      </c>
      <c r="E227" s="9" t="str">
        <f>+HYPERLINK("http://trademark.i-assist.jp/data/china/image_1906th/79317228.pdf", "79317228")</f>
        <v>79317228</v>
      </c>
      <c r="F227" s="11" t="s">
        <v>824</v>
      </c>
      <c r="G227" s="11" t="s">
        <v>825</v>
      </c>
      <c r="H227" s="11" t="s">
        <v>826</v>
      </c>
      <c r="I227" s="11" t="s">
        <v>65</v>
      </c>
    </row>
    <row r="228" spans="1:9" x14ac:dyDescent="0.15">
      <c r="A228" s="10">
        <v>227</v>
      </c>
      <c r="B228" s="11" t="s">
        <v>9</v>
      </c>
      <c r="C228" s="11" t="s">
        <v>152</v>
      </c>
      <c r="D228" s="11" t="s">
        <v>153</v>
      </c>
      <c r="E228" s="9" t="str">
        <f>+HYPERLINK("http://trademark.i-assist.jp/data/china/image_1906th/79318595.pdf", "79318595")</f>
        <v>79318595</v>
      </c>
      <c r="F228" s="11" t="s">
        <v>827</v>
      </c>
      <c r="G228" s="11" t="s">
        <v>828</v>
      </c>
      <c r="H228" s="11" t="s">
        <v>829</v>
      </c>
      <c r="I228" s="11" t="s">
        <v>65</v>
      </c>
    </row>
    <row r="229" spans="1:9" x14ac:dyDescent="0.15">
      <c r="A229" s="10">
        <v>228</v>
      </c>
      <c r="B229" s="11" t="s">
        <v>9</v>
      </c>
      <c r="C229" s="11" t="s">
        <v>152</v>
      </c>
      <c r="D229" s="11" t="s">
        <v>153</v>
      </c>
      <c r="E229" s="9" t="str">
        <f>+HYPERLINK("http://trademark.i-assist.jp/data/china/image_1906th/79321225.pdf", "79321225")</f>
        <v>79321225</v>
      </c>
      <c r="F229" s="11" t="s">
        <v>830</v>
      </c>
      <c r="G229" s="11" t="s">
        <v>831</v>
      </c>
      <c r="H229" s="11" t="s">
        <v>14</v>
      </c>
      <c r="I229" s="11" t="s">
        <v>14</v>
      </c>
    </row>
    <row r="230" spans="1:9" x14ac:dyDescent="0.15">
      <c r="A230" s="10">
        <v>229</v>
      </c>
      <c r="B230" s="11" t="s">
        <v>9</v>
      </c>
      <c r="C230" s="11" t="s">
        <v>152</v>
      </c>
      <c r="D230" s="11" t="s">
        <v>153</v>
      </c>
      <c r="E230" s="9" t="str">
        <f>+HYPERLINK("http://trademark.i-assist.jp/data/china/image_1906th/79322070.pdf", "79322070")</f>
        <v>79322070</v>
      </c>
      <c r="F230" s="11" t="s">
        <v>832</v>
      </c>
      <c r="G230" s="11" t="s">
        <v>833</v>
      </c>
      <c r="H230" s="11" t="s">
        <v>834</v>
      </c>
      <c r="I230" s="11" t="s">
        <v>65</v>
      </c>
    </row>
    <row r="231" spans="1:9" x14ac:dyDescent="0.15">
      <c r="A231" s="10">
        <v>230</v>
      </c>
      <c r="B231" s="11" t="s">
        <v>9</v>
      </c>
      <c r="C231" s="11" t="s">
        <v>152</v>
      </c>
      <c r="D231" s="11" t="s">
        <v>153</v>
      </c>
      <c r="E231" s="9" t="str">
        <f>+HYPERLINK("http://trademark.i-assist.jp/data/china/image_1906th/79322337.pdf", "79322337")</f>
        <v>79322337</v>
      </c>
      <c r="F231" s="11" t="s">
        <v>835</v>
      </c>
      <c r="G231" s="11" t="s">
        <v>836</v>
      </c>
      <c r="H231" s="11" t="s">
        <v>837</v>
      </c>
      <c r="I231" s="11" t="s">
        <v>65</v>
      </c>
    </row>
    <row r="232" spans="1:9" x14ac:dyDescent="0.15">
      <c r="A232" s="10">
        <v>231</v>
      </c>
      <c r="B232" s="11" t="s">
        <v>9</v>
      </c>
      <c r="C232" s="11" t="s">
        <v>152</v>
      </c>
      <c r="D232" s="11" t="s">
        <v>153</v>
      </c>
      <c r="E232" s="9" t="str">
        <f>+HYPERLINK("http://trademark.i-assist.jp/data/china/image_1906th/79322447.pdf", "79322447")</f>
        <v>79322447</v>
      </c>
      <c r="F232" s="11" t="s">
        <v>838</v>
      </c>
      <c r="G232" s="11" t="s">
        <v>839</v>
      </c>
      <c r="H232" s="11" t="s">
        <v>840</v>
      </c>
      <c r="I232" s="11" t="s">
        <v>65</v>
      </c>
    </row>
    <row r="233" spans="1:9" x14ac:dyDescent="0.15">
      <c r="A233" s="10">
        <v>232</v>
      </c>
      <c r="B233" s="11" t="s">
        <v>9</v>
      </c>
      <c r="C233" s="11" t="s">
        <v>152</v>
      </c>
      <c r="D233" s="11" t="s">
        <v>153</v>
      </c>
      <c r="E233" s="9" t="str">
        <f>+HYPERLINK("http://trademark.i-assist.jp/data/china/image_1906th/79322525.pdf", "79322525")</f>
        <v>79322525</v>
      </c>
      <c r="F233" s="11" t="s">
        <v>841</v>
      </c>
      <c r="G233" s="11" t="s">
        <v>48</v>
      </c>
      <c r="H233" s="11" t="s">
        <v>842</v>
      </c>
      <c r="I233" s="11" t="s">
        <v>65</v>
      </c>
    </row>
    <row r="234" spans="1:9" x14ac:dyDescent="0.15">
      <c r="A234" s="10">
        <v>233</v>
      </c>
      <c r="B234" s="11" t="s">
        <v>9</v>
      </c>
      <c r="C234" s="11" t="s">
        <v>152</v>
      </c>
      <c r="D234" s="11" t="s">
        <v>153</v>
      </c>
      <c r="E234" s="9" t="str">
        <f>+HYPERLINK("http://trademark.i-assist.jp/data/china/image_1906th/79322719.pdf", "79322719")</f>
        <v>79322719</v>
      </c>
      <c r="F234" s="11" t="s">
        <v>843</v>
      </c>
      <c r="G234" s="11" t="s">
        <v>789</v>
      </c>
      <c r="H234" s="11" t="s">
        <v>844</v>
      </c>
      <c r="I234" s="11" t="s">
        <v>65</v>
      </c>
    </row>
    <row r="235" spans="1:9" x14ac:dyDescent="0.15">
      <c r="A235" s="10">
        <v>234</v>
      </c>
      <c r="B235" s="11" t="s">
        <v>9</v>
      </c>
      <c r="C235" s="11" t="s">
        <v>152</v>
      </c>
      <c r="D235" s="11" t="s">
        <v>153</v>
      </c>
      <c r="E235" s="9" t="str">
        <f>+HYPERLINK("http://trademark.i-assist.jp/data/china/image_1906th/79322894.pdf", "79322894")</f>
        <v>79322894</v>
      </c>
      <c r="F235" s="11" t="s">
        <v>845</v>
      </c>
      <c r="G235" s="11" t="s">
        <v>846</v>
      </c>
      <c r="H235" s="11" t="s">
        <v>847</v>
      </c>
      <c r="I235" s="11" t="s">
        <v>65</v>
      </c>
    </row>
    <row r="236" spans="1:9" x14ac:dyDescent="0.15">
      <c r="A236" s="10">
        <v>235</v>
      </c>
      <c r="B236" s="11" t="s">
        <v>9</v>
      </c>
      <c r="C236" s="11" t="s">
        <v>152</v>
      </c>
      <c r="D236" s="11" t="s">
        <v>153</v>
      </c>
      <c r="E236" s="9" t="str">
        <f>+HYPERLINK("http://trademark.i-assist.jp/data/china/image_1906th/79328947.pdf", "79328947")</f>
        <v>79328947</v>
      </c>
      <c r="F236" s="11" t="s">
        <v>848</v>
      </c>
      <c r="G236" s="11" t="s">
        <v>849</v>
      </c>
      <c r="H236" s="11" t="s">
        <v>850</v>
      </c>
      <c r="I236" s="11" t="s">
        <v>66</v>
      </c>
    </row>
    <row r="237" spans="1:9" x14ac:dyDescent="0.15">
      <c r="A237" s="10">
        <v>236</v>
      </c>
      <c r="B237" s="11" t="s">
        <v>9</v>
      </c>
      <c r="C237" s="11" t="s">
        <v>152</v>
      </c>
      <c r="D237" s="11" t="s">
        <v>153</v>
      </c>
      <c r="E237" s="9" t="str">
        <f>+HYPERLINK("http://trademark.i-assist.jp/data/china/image_1906th/79328949.pdf", "79328949")</f>
        <v>79328949</v>
      </c>
      <c r="F237" s="11" t="s">
        <v>851</v>
      </c>
      <c r="G237" s="11" t="s">
        <v>849</v>
      </c>
      <c r="H237" s="11" t="s">
        <v>852</v>
      </c>
      <c r="I237" s="11" t="s">
        <v>66</v>
      </c>
    </row>
    <row r="238" spans="1:9" x14ac:dyDescent="0.15">
      <c r="A238" s="10">
        <v>237</v>
      </c>
      <c r="B238" s="11" t="s">
        <v>9</v>
      </c>
      <c r="C238" s="11" t="s">
        <v>152</v>
      </c>
      <c r="D238" s="11" t="s">
        <v>153</v>
      </c>
      <c r="E238" s="9" t="str">
        <f>+HYPERLINK("http://trademark.i-assist.jp/data/china/image_1906th/79331430.pdf", "79331430")</f>
        <v>79331430</v>
      </c>
      <c r="F238" s="11" t="s">
        <v>853</v>
      </c>
      <c r="G238" s="11" t="s">
        <v>854</v>
      </c>
      <c r="H238" s="11" t="s">
        <v>855</v>
      </c>
      <c r="I238" s="11" t="s">
        <v>66</v>
      </c>
    </row>
    <row r="239" spans="1:9" x14ac:dyDescent="0.15">
      <c r="A239" s="10">
        <v>238</v>
      </c>
      <c r="B239" s="11" t="s">
        <v>9</v>
      </c>
      <c r="C239" s="11" t="s">
        <v>152</v>
      </c>
      <c r="D239" s="11" t="s">
        <v>153</v>
      </c>
      <c r="E239" s="9" t="str">
        <f>+HYPERLINK("http://trademark.i-assist.jp/data/china/image_1906th/79331444.pdf", "79331444")</f>
        <v>79331444</v>
      </c>
      <c r="F239" s="11" t="s">
        <v>856</v>
      </c>
      <c r="G239" s="11" t="s">
        <v>777</v>
      </c>
      <c r="H239" s="11" t="s">
        <v>857</v>
      </c>
      <c r="I239" s="11" t="s">
        <v>66</v>
      </c>
    </row>
    <row r="240" spans="1:9" x14ac:dyDescent="0.15">
      <c r="A240" s="10">
        <v>239</v>
      </c>
      <c r="B240" s="11" t="s">
        <v>9</v>
      </c>
      <c r="C240" s="11" t="s">
        <v>152</v>
      </c>
      <c r="D240" s="11" t="s">
        <v>153</v>
      </c>
      <c r="E240" s="9" t="str">
        <f>+HYPERLINK("http://trademark.i-assist.jp/data/china/image_1906th/79332721.pdf", "79332721")</f>
        <v>79332721</v>
      </c>
      <c r="F240" s="11" t="s">
        <v>12</v>
      </c>
      <c r="G240" s="11" t="s">
        <v>858</v>
      </c>
      <c r="H240" s="11" t="s">
        <v>14</v>
      </c>
      <c r="I240" s="11" t="s">
        <v>14</v>
      </c>
    </row>
    <row r="241" spans="1:9" x14ac:dyDescent="0.15">
      <c r="A241" s="10">
        <v>240</v>
      </c>
      <c r="B241" s="11" t="s">
        <v>9</v>
      </c>
      <c r="C241" s="11" t="s">
        <v>152</v>
      </c>
      <c r="D241" s="11" t="s">
        <v>153</v>
      </c>
      <c r="E241" s="9" t="str">
        <f>+HYPERLINK("http://trademark.i-assist.jp/data/china/image_1906th/79333968.pdf", "79333968")</f>
        <v>79333968</v>
      </c>
      <c r="F241" s="11" t="s">
        <v>859</v>
      </c>
      <c r="G241" s="11" t="s">
        <v>860</v>
      </c>
      <c r="H241" s="11" t="s">
        <v>861</v>
      </c>
      <c r="I241" s="11" t="s">
        <v>66</v>
      </c>
    </row>
    <row r="242" spans="1:9" x14ac:dyDescent="0.15">
      <c r="A242" s="10">
        <v>241</v>
      </c>
      <c r="B242" s="11" t="s">
        <v>9</v>
      </c>
      <c r="C242" s="11" t="s">
        <v>152</v>
      </c>
      <c r="D242" s="11" t="s">
        <v>153</v>
      </c>
      <c r="E242" s="9" t="str">
        <f>+HYPERLINK("http://trademark.i-assist.jp/data/china/image_1906th/79338199.pdf", "79338199")</f>
        <v>79338199</v>
      </c>
      <c r="F242" s="11" t="s">
        <v>862</v>
      </c>
      <c r="G242" s="11" t="s">
        <v>863</v>
      </c>
      <c r="H242" s="11" t="s">
        <v>864</v>
      </c>
      <c r="I242" s="11" t="s">
        <v>66</v>
      </c>
    </row>
    <row r="243" spans="1:9" x14ac:dyDescent="0.15">
      <c r="A243" s="10">
        <v>242</v>
      </c>
      <c r="B243" s="11" t="s">
        <v>9</v>
      </c>
      <c r="C243" s="11" t="s">
        <v>152</v>
      </c>
      <c r="D243" s="11" t="s">
        <v>153</v>
      </c>
      <c r="E243" s="9" t="str">
        <f>+HYPERLINK("http://trademark.i-assist.jp/data/china/image_1906th/79338412.pdf", "79338412")</f>
        <v>79338412</v>
      </c>
      <c r="F243" s="11" t="s">
        <v>865</v>
      </c>
      <c r="G243" s="11" t="s">
        <v>866</v>
      </c>
      <c r="H243" s="11" t="s">
        <v>867</v>
      </c>
      <c r="I243" s="11" t="s">
        <v>66</v>
      </c>
    </row>
    <row r="244" spans="1:9" x14ac:dyDescent="0.15">
      <c r="A244" s="10">
        <v>243</v>
      </c>
      <c r="B244" s="11" t="s">
        <v>9</v>
      </c>
      <c r="C244" s="11" t="s">
        <v>152</v>
      </c>
      <c r="D244" s="11" t="s">
        <v>153</v>
      </c>
      <c r="E244" s="9" t="str">
        <f>+HYPERLINK("http://trademark.i-assist.jp/data/china/image_1906th/79339743.pdf", "79339743")</f>
        <v>79339743</v>
      </c>
      <c r="F244" s="11" t="s">
        <v>868</v>
      </c>
      <c r="G244" s="11" t="s">
        <v>869</v>
      </c>
      <c r="H244" s="11" t="s">
        <v>870</v>
      </c>
      <c r="I244" s="11" t="s">
        <v>66</v>
      </c>
    </row>
    <row r="245" spans="1:9" x14ac:dyDescent="0.15">
      <c r="A245" s="10">
        <v>244</v>
      </c>
      <c r="B245" s="11" t="s">
        <v>9</v>
      </c>
      <c r="C245" s="11" t="s">
        <v>152</v>
      </c>
      <c r="D245" s="11" t="s">
        <v>153</v>
      </c>
      <c r="E245" s="9" t="str">
        <f>+HYPERLINK("http://trademark.i-assist.jp/data/china/image_1906th/79340119.pdf", "79340119")</f>
        <v>79340119</v>
      </c>
      <c r="F245" s="11" t="s">
        <v>871</v>
      </c>
      <c r="G245" s="11" t="s">
        <v>854</v>
      </c>
      <c r="H245" s="11" t="s">
        <v>872</v>
      </c>
      <c r="I245" s="11" t="s">
        <v>66</v>
      </c>
    </row>
    <row r="246" spans="1:9" x14ac:dyDescent="0.15">
      <c r="A246" s="10">
        <v>245</v>
      </c>
      <c r="B246" s="11" t="s">
        <v>9</v>
      </c>
      <c r="C246" s="11" t="s">
        <v>152</v>
      </c>
      <c r="D246" s="11" t="s">
        <v>153</v>
      </c>
      <c r="E246" s="9" t="str">
        <f>+HYPERLINK("http://trademark.i-assist.jp/data/china/image_1906th/79340262.pdf", "79340262")</f>
        <v>79340262</v>
      </c>
      <c r="F246" s="11" t="s">
        <v>873</v>
      </c>
      <c r="G246" s="11" t="s">
        <v>874</v>
      </c>
      <c r="H246" s="11" t="s">
        <v>875</v>
      </c>
      <c r="I246" s="11" t="s">
        <v>66</v>
      </c>
    </row>
    <row r="247" spans="1:9" x14ac:dyDescent="0.15">
      <c r="A247" s="10">
        <v>246</v>
      </c>
      <c r="B247" s="11" t="s">
        <v>9</v>
      </c>
      <c r="C247" s="11" t="s">
        <v>152</v>
      </c>
      <c r="D247" s="11" t="s">
        <v>153</v>
      </c>
      <c r="E247" s="9" t="str">
        <f>+HYPERLINK("http://trademark.i-assist.jp/data/china/image_1906th/79341324.pdf", "79341324")</f>
        <v>79341324</v>
      </c>
      <c r="F247" s="11" t="s">
        <v>876</v>
      </c>
      <c r="G247" s="11" t="s">
        <v>854</v>
      </c>
      <c r="H247" s="11" t="s">
        <v>877</v>
      </c>
      <c r="I247" s="11" t="s">
        <v>66</v>
      </c>
    </row>
    <row r="248" spans="1:9" x14ac:dyDescent="0.15">
      <c r="A248" s="10">
        <v>247</v>
      </c>
      <c r="B248" s="11" t="s">
        <v>9</v>
      </c>
      <c r="C248" s="11" t="s">
        <v>152</v>
      </c>
      <c r="D248" s="11" t="s">
        <v>153</v>
      </c>
      <c r="E248" s="9" t="str">
        <f>+HYPERLINK("http://trademark.i-assist.jp/data/china/image_1906th/79343600.pdf", "79343600")</f>
        <v>79343600</v>
      </c>
      <c r="F248" s="11" t="s">
        <v>878</v>
      </c>
      <c r="G248" s="11" t="s">
        <v>879</v>
      </c>
      <c r="H248" s="11" t="s">
        <v>880</v>
      </c>
      <c r="I248" s="11" t="s">
        <v>66</v>
      </c>
    </row>
    <row r="249" spans="1:9" x14ac:dyDescent="0.15">
      <c r="A249" s="10">
        <v>248</v>
      </c>
      <c r="B249" s="11" t="s">
        <v>9</v>
      </c>
      <c r="C249" s="11" t="s">
        <v>152</v>
      </c>
      <c r="D249" s="11" t="s">
        <v>153</v>
      </c>
      <c r="E249" s="9" t="str">
        <f>+HYPERLINK("http://trademark.i-assist.jp/data/china/image_1906th/79344358.pdf", "79344358")</f>
        <v>79344358</v>
      </c>
      <c r="F249" s="11" t="s">
        <v>881</v>
      </c>
      <c r="G249" s="11" t="s">
        <v>863</v>
      </c>
      <c r="H249" s="11" t="s">
        <v>882</v>
      </c>
      <c r="I249" s="11" t="s">
        <v>66</v>
      </c>
    </row>
    <row r="250" spans="1:9" x14ac:dyDescent="0.15">
      <c r="A250" s="10">
        <v>249</v>
      </c>
      <c r="B250" s="11" t="s">
        <v>9</v>
      </c>
      <c r="C250" s="11" t="s">
        <v>152</v>
      </c>
      <c r="D250" s="11" t="s">
        <v>153</v>
      </c>
      <c r="E250" s="9" t="str">
        <f>+HYPERLINK("http://trademark.i-assist.jp/data/china/image_1906th/79344735.pdf", "79344735")</f>
        <v>79344735</v>
      </c>
      <c r="F250" s="11" t="s">
        <v>883</v>
      </c>
      <c r="G250" s="11" t="s">
        <v>884</v>
      </c>
      <c r="H250" s="11" t="s">
        <v>885</v>
      </c>
      <c r="I250" s="11" t="s">
        <v>66</v>
      </c>
    </row>
    <row r="251" spans="1:9" x14ac:dyDescent="0.15">
      <c r="A251" s="10">
        <v>250</v>
      </c>
      <c r="B251" s="11" t="s">
        <v>9</v>
      </c>
      <c r="C251" s="11" t="s">
        <v>152</v>
      </c>
      <c r="D251" s="11" t="s">
        <v>153</v>
      </c>
      <c r="E251" s="9" t="str">
        <f>+HYPERLINK("http://trademark.i-assist.jp/data/china/image_1906th/79346117.pdf", "79346117")</f>
        <v>79346117</v>
      </c>
      <c r="F251" s="11" t="s">
        <v>886</v>
      </c>
      <c r="G251" s="11" t="s">
        <v>887</v>
      </c>
      <c r="H251" s="11" t="s">
        <v>888</v>
      </c>
      <c r="I251" s="11" t="s">
        <v>66</v>
      </c>
    </row>
    <row r="252" spans="1:9" x14ac:dyDescent="0.15">
      <c r="A252" s="10">
        <v>251</v>
      </c>
      <c r="B252" s="11" t="s">
        <v>9</v>
      </c>
      <c r="C252" s="11" t="s">
        <v>152</v>
      </c>
      <c r="D252" s="11" t="s">
        <v>153</v>
      </c>
      <c r="E252" s="9" t="str">
        <f>+HYPERLINK("http://trademark.i-assist.jp/data/china/image_1906th/79348436.pdf", "79348436")</f>
        <v>79348436</v>
      </c>
      <c r="F252" s="11" t="s">
        <v>889</v>
      </c>
      <c r="G252" s="11" t="s">
        <v>890</v>
      </c>
      <c r="H252" s="11" t="s">
        <v>891</v>
      </c>
      <c r="I252" s="11" t="s">
        <v>66</v>
      </c>
    </row>
    <row r="253" spans="1:9" x14ac:dyDescent="0.15">
      <c r="A253" s="10">
        <v>252</v>
      </c>
      <c r="B253" s="11" t="s">
        <v>9</v>
      </c>
      <c r="C253" s="11" t="s">
        <v>152</v>
      </c>
      <c r="D253" s="11" t="s">
        <v>153</v>
      </c>
      <c r="E253" s="9" t="str">
        <f>+HYPERLINK("http://trademark.i-assist.jp/data/china/image_1906th/79348795.pdf", "79348795")</f>
        <v>79348795</v>
      </c>
      <c r="F253" s="11" t="s">
        <v>892</v>
      </c>
      <c r="G253" s="11" t="s">
        <v>893</v>
      </c>
      <c r="H253" s="11" t="s">
        <v>894</v>
      </c>
      <c r="I253" s="11" t="s">
        <v>66</v>
      </c>
    </row>
    <row r="254" spans="1:9" x14ac:dyDescent="0.15">
      <c r="A254" s="10">
        <v>253</v>
      </c>
      <c r="B254" s="11" t="s">
        <v>9</v>
      </c>
      <c r="C254" s="11" t="s">
        <v>152</v>
      </c>
      <c r="D254" s="11" t="s">
        <v>153</v>
      </c>
      <c r="E254" s="9" t="str">
        <f>+HYPERLINK("http://trademark.i-assist.jp/data/china/image_1906th/79351144.pdf", "79351144")</f>
        <v>79351144</v>
      </c>
      <c r="F254" s="11" t="s">
        <v>895</v>
      </c>
      <c r="G254" s="11" t="s">
        <v>896</v>
      </c>
      <c r="H254" s="11" t="s">
        <v>897</v>
      </c>
      <c r="I254" s="11" t="s">
        <v>102</v>
      </c>
    </row>
    <row r="255" spans="1:9" x14ac:dyDescent="0.15">
      <c r="A255" s="10">
        <v>254</v>
      </c>
      <c r="B255" s="11" t="s">
        <v>9</v>
      </c>
      <c r="C255" s="11" t="s">
        <v>152</v>
      </c>
      <c r="D255" s="11" t="s">
        <v>153</v>
      </c>
      <c r="E255" s="9" t="str">
        <f>+HYPERLINK("http://trademark.i-assist.jp/data/china/image_1906th/79351773.pdf", "79351773")</f>
        <v>79351773</v>
      </c>
      <c r="F255" s="11" t="s">
        <v>898</v>
      </c>
      <c r="G255" s="11" t="s">
        <v>136</v>
      </c>
      <c r="H255" s="11" t="s">
        <v>899</v>
      </c>
      <c r="I255" s="11" t="s">
        <v>102</v>
      </c>
    </row>
    <row r="256" spans="1:9" x14ac:dyDescent="0.15">
      <c r="A256" s="10">
        <v>255</v>
      </c>
      <c r="B256" s="11" t="s">
        <v>9</v>
      </c>
      <c r="C256" s="11" t="s">
        <v>152</v>
      </c>
      <c r="D256" s="11" t="s">
        <v>153</v>
      </c>
      <c r="E256" s="9" t="str">
        <f>+HYPERLINK("http://trademark.i-assist.jp/data/china/image_1906th/79354802.pdf", "79354802")</f>
        <v>79354802</v>
      </c>
      <c r="F256" s="11" t="s">
        <v>900</v>
      </c>
      <c r="G256" s="11" t="s">
        <v>901</v>
      </c>
      <c r="H256" s="11" t="s">
        <v>902</v>
      </c>
      <c r="I256" s="11" t="s">
        <v>102</v>
      </c>
    </row>
    <row r="257" spans="1:9" x14ac:dyDescent="0.15">
      <c r="A257" s="10">
        <v>256</v>
      </c>
      <c r="B257" s="11" t="s">
        <v>9</v>
      </c>
      <c r="C257" s="11" t="s">
        <v>152</v>
      </c>
      <c r="D257" s="11" t="s">
        <v>153</v>
      </c>
      <c r="E257" s="9" t="str">
        <f>+HYPERLINK("http://trademark.i-assist.jp/data/china/image_1906th/79357851.pdf", "79357851")</f>
        <v>79357851</v>
      </c>
      <c r="F257" s="11" t="s">
        <v>903</v>
      </c>
      <c r="G257" s="11" t="s">
        <v>904</v>
      </c>
      <c r="H257" s="11" t="s">
        <v>905</v>
      </c>
      <c r="I257" s="11" t="s">
        <v>102</v>
      </c>
    </row>
    <row r="258" spans="1:9" x14ac:dyDescent="0.15">
      <c r="A258" s="10">
        <v>257</v>
      </c>
      <c r="B258" s="11" t="s">
        <v>9</v>
      </c>
      <c r="C258" s="11" t="s">
        <v>152</v>
      </c>
      <c r="D258" s="11" t="s">
        <v>153</v>
      </c>
      <c r="E258" s="9" t="str">
        <f>+HYPERLINK("http://trademark.i-assist.jp/data/china/image_1906th/79360143.pdf", "79360143")</f>
        <v>79360143</v>
      </c>
      <c r="F258" s="11" t="s">
        <v>906</v>
      </c>
      <c r="G258" s="11" t="s">
        <v>907</v>
      </c>
      <c r="H258" s="11" t="s">
        <v>908</v>
      </c>
      <c r="I258" s="11" t="s">
        <v>102</v>
      </c>
    </row>
    <row r="259" spans="1:9" x14ac:dyDescent="0.15">
      <c r="A259" s="10">
        <v>258</v>
      </c>
      <c r="B259" s="11" t="s">
        <v>9</v>
      </c>
      <c r="C259" s="11" t="s">
        <v>152</v>
      </c>
      <c r="D259" s="11" t="s">
        <v>153</v>
      </c>
      <c r="E259" s="9" t="str">
        <f>+HYPERLINK("http://trademark.i-assist.jp/data/china/image_1906th/79363440.pdf", "79363440")</f>
        <v>79363440</v>
      </c>
      <c r="F259" s="11" t="s">
        <v>909</v>
      </c>
      <c r="G259" s="11" t="s">
        <v>910</v>
      </c>
      <c r="H259" s="11" t="s">
        <v>911</v>
      </c>
      <c r="I259" s="11" t="s">
        <v>102</v>
      </c>
    </row>
    <row r="260" spans="1:9" x14ac:dyDescent="0.15">
      <c r="A260" s="10">
        <v>259</v>
      </c>
      <c r="B260" s="11" t="s">
        <v>9</v>
      </c>
      <c r="C260" s="11" t="s">
        <v>152</v>
      </c>
      <c r="D260" s="11" t="s">
        <v>153</v>
      </c>
      <c r="E260" s="9" t="str">
        <f>+HYPERLINK("http://trademark.i-assist.jp/data/china/image_1906th/79365666.pdf", "79365666")</f>
        <v>79365666</v>
      </c>
      <c r="F260" s="11" t="s">
        <v>912</v>
      </c>
      <c r="G260" s="11" t="s">
        <v>913</v>
      </c>
      <c r="H260" s="11" t="s">
        <v>914</v>
      </c>
      <c r="I260" s="11" t="s">
        <v>102</v>
      </c>
    </row>
    <row r="261" spans="1:9" x14ac:dyDescent="0.15">
      <c r="A261" s="10">
        <v>260</v>
      </c>
      <c r="B261" s="11" t="s">
        <v>9</v>
      </c>
      <c r="C261" s="11" t="s">
        <v>152</v>
      </c>
      <c r="D261" s="11" t="s">
        <v>153</v>
      </c>
      <c r="E261" s="9" t="str">
        <f>+HYPERLINK("http://trademark.i-assist.jp/data/china/image_1906th/79366001.pdf", "79366001")</f>
        <v>79366001</v>
      </c>
      <c r="F261" s="11" t="s">
        <v>915</v>
      </c>
      <c r="G261" s="11" t="s">
        <v>916</v>
      </c>
      <c r="H261" s="11" t="s">
        <v>917</v>
      </c>
      <c r="I261" s="11" t="s">
        <v>102</v>
      </c>
    </row>
    <row r="262" spans="1:9" x14ac:dyDescent="0.15">
      <c r="A262" s="10">
        <v>261</v>
      </c>
      <c r="B262" s="11" t="s">
        <v>9</v>
      </c>
      <c r="C262" s="11" t="s">
        <v>152</v>
      </c>
      <c r="D262" s="11" t="s">
        <v>153</v>
      </c>
      <c r="E262" s="9" t="str">
        <f>+HYPERLINK("http://trademark.i-assist.jp/data/china/image_1906th/79366529.pdf", "79366529")</f>
        <v>79366529</v>
      </c>
      <c r="F262" s="11" t="s">
        <v>918</v>
      </c>
      <c r="G262" s="11" t="s">
        <v>904</v>
      </c>
      <c r="H262" s="11" t="s">
        <v>919</v>
      </c>
      <c r="I262" s="11" t="s">
        <v>102</v>
      </c>
    </row>
    <row r="263" spans="1:9" x14ac:dyDescent="0.15">
      <c r="A263" s="10">
        <v>262</v>
      </c>
      <c r="B263" s="11" t="s">
        <v>9</v>
      </c>
      <c r="C263" s="11" t="s">
        <v>152</v>
      </c>
      <c r="D263" s="11" t="s">
        <v>153</v>
      </c>
      <c r="E263" s="9" t="str">
        <f>+HYPERLINK("http://trademark.i-assist.jp/data/china/image_1906th/79366576.pdf", "79366576")</f>
        <v>79366576</v>
      </c>
      <c r="F263" s="11" t="s">
        <v>12</v>
      </c>
      <c r="G263" s="11" t="s">
        <v>920</v>
      </c>
      <c r="H263" s="11" t="s">
        <v>921</v>
      </c>
      <c r="I263" s="11" t="s">
        <v>102</v>
      </c>
    </row>
    <row r="264" spans="1:9" x14ac:dyDescent="0.15">
      <c r="A264" s="10">
        <v>263</v>
      </c>
      <c r="B264" s="11" t="s">
        <v>9</v>
      </c>
      <c r="C264" s="11" t="s">
        <v>152</v>
      </c>
      <c r="D264" s="11" t="s">
        <v>153</v>
      </c>
      <c r="E264" s="9" t="str">
        <f>+HYPERLINK("http://trademark.i-assist.jp/data/china/image_1906th/79367740.pdf", "79367740")</f>
        <v>79367740</v>
      </c>
      <c r="F264" s="11" t="s">
        <v>12</v>
      </c>
      <c r="G264" s="11" t="s">
        <v>922</v>
      </c>
      <c r="H264" s="11" t="s">
        <v>923</v>
      </c>
      <c r="I264" s="11" t="s">
        <v>102</v>
      </c>
    </row>
    <row r="265" spans="1:9" x14ac:dyDescent="0.15">
      <c r="A265" s="10">
        <v>264</v>
      </c>
      <c r="B265" s="11" t="s">
        <v>9</v>
      </c>
      <c r="C265" s="11" t="s">
        <v>152</v>
      </c>
      <c r="D265" s="11" t="s">
        <v>153</v>
      </c>
      <c r="E265" s="9" t="str">
        <f>+HYPERLINK("http://trademark.i-assist.jp/data/china/image_1906th/79367752.pdf", "79367752")</f>
        <v>79367752</v>
      </c>
      <c r="F265" s="11" t="s">
        <v>924</v>
      </c>
      <c r="G265" s="11" t="s">
        <v>925</v>
      </c>
      <c r="H265" s="11" t="s">
        <v>926</v>
      </c>
      <c r="I265" s="11" t="s">
        <v>102</v>
      </c>
    </row>
    <row r="266" spans="1:9" x14ac:dyDescent="0.15">
      <c r="A266" s="10">
        <v>265</v>
      </c>
      <c r="B266" s="11" t="s">
        <v>9</v>
      </c>
      <c r="C266" s="11" t="s">
        <v>152</v>
      </c>
      <c r="D266" s="11" t="s">
        <v>153</v>
      </c>
      <c r="E266" s="9" t="str">
        <f>+HYPERLINK("http://trademark.i-assist.jp/data/china/image_1906th/79368050.pdf", "79368050")</f>
        <v>79368050</v>
      </c>
      <c r="F266" s="11" t="s">
        <v>927</v>
      </c>
      <c r="G266" s="11" t="s">
        <v>928</v>
      </c>
      <c r="H266" s="11" t="s">
        <v>929</v>
      </c>
      <c r="I266" s="11" t="s">
        <v>102</v>
      </c>
    </row>
    <row r="267" spans="1:9" x14ac:dyDescent="0.15">
      <c r="A267" s="10">
        <v>266</v>
      </c>
      <c r="B267" s="11" t="s">
        <v>9</v>
      </c>
      <c r="C267" s="11" t="s">
        <v>152</v>
      </c>
      <c r="D267" s="11" t="s">
        <v>153</v>
      </c>
      <c r="E267" s="9" t="str">
        <f>+HYPERLINK("http://trademark.i-assist.jp/data/china/image_1906th/79368789.pdf", "79368789")</f>
        <v>79368789</v>
      </c>
      <c r="F267" s="11" t="s">
        <v>930</v>
      </c>
      <c r="G267" s="11" t="s">
        <v>931</v>
      </c>
      <c r="H267" s="11" t="s">
        <v>932</v>
      </c>
      <c r="I267" s="11" t="s">
        <v>102</v>
      </c>
    </row>
    <row r="268" spans="1:9" x14ac:dyDescent="0.15">
      <c r="A268" s="10">
        <v>267</v>
      </c>
      <c r="B268" s="11" t="s">
        <v>9</v>
      </c>
      <c r="C268" s="11" t="s">
        <v>152</v>
      </c>
      <c r="D268" s="11" t="s">
        <v>153</v>
      </c>
      <c r="E268" s="9" t="str">
        <f>+HYPERLINK("http://trademark.i-assist.jp/data/china/image_1906th/79370276.pdf", "79370276")</f>
        <v>79370276</v>
      </c>
      <c r="F268" s="11" t="s">
        <v>933</v>
      </c>
      <c r="G268" s="11" t="s">
        <v>934</v>
      </c>
      <c r="H268" s="11" t="s">
        <v>935</v>
      </c>
      <c r="I268" s="11" t="s">
        <v>102</v>
      </c>
    </row>
    <row r="269" spans="1:9" x14ac:dyDescent="0.15">
      <c r="A269" s="10">
        <v>268</v>
      </c>
      <c r="B269" s="11" t="s">
        <v>9</v>
      </c>
      <c r="C269" s="11" t="s">
        <v>152</v>
      </c>
      <c r="D269" s="11" t="s">
        <v>153</v>
      </c>
      <c r="E269" s="9" t="str">
        <f>+HYPERLINK("http://trademark.i-assist.jp/data/china/image_1906th/79371835.pdf", "79371835")</f>
        <v>79371835</v>
      </c>
      <c r="F269" s="11" t="s">
        <v>936</v>
      </c>
      <c r="G269" s="11" t="s">
        <v>937</v>
      </c>
      <c r="H269" s="11" t="s">
        <v>938</v>
      </c>
      <c r="I269" s="11" t="s">
        <v>102</v>
      </c>
    </row>
    <row r="270" spans="1:9" x14ac:dyDescent="0.15">
      <c r="A270" s="10">
        <v>269</v>
      </c>
      <c r="B270" s="11" t="s">
        <v>9</v>
      </c>
      <c r="C270" s="11" t="s">
        <v>152</v>
      </c>
      <c r="D270" s="11" t="s">
        <v>153</v>
      </c>
      <c r="E270" s="9" t="str">
        <f>+HYPERLINK("http://trademark.i-assist.jp/data/china/image_1906th/79374313.pdf", "79374313")</f>
        <v>79374313</v>
      </c>
      <c r="F270" s="11" t="s">
        <v>939</v>
      </c>
      <c r="G270" s="11" t="s">
        <v>940</v>
      </c>
      <c r="H270" s="11" t="s">
        <v>941</v>
      </c>
      <c r="I270" s="11" t="s">
        <v>102</v>
      </c>
    </row>
    <row r="271" spans="1:9" x14ac:dyDescent="0.15">
      <c r="A271" s="10">
        <v>270</v>
      </c>
      <c r="B271" s="11" t="s">
        <v>9</v>
      </c>
      <c r="C271" s="11" t="s">
        <v>152</v>
      </c>
      <c r="D271" s="11" t="s">
        <v>153</v>
      </c>
      <c r="E271" s="9" t="str">
        <f>+HYPERLINK("http://trademark.i-assist.jp/data/china/image_1906th/79374334.pdf", "79374334")</f>
        <v>79374334</v>
      </c>
      <c r="F271" s="11" t="s">
        <v>942</v>
      </c>
      <c r="G271" s="11" t="s">
        <v>943</v>
      </c>
      <c r="H271" s="11" t="s">
        <v>944</v>
      </c>
      <c r="I271" s="11" t="s">
        <v>102</v>
      </c>
    </row>
    <row r="272" spans="1:9" x14ac:dyDescent="0.15">
      <c r="A272" s="10">
        <v>271</v>
      </c>
      <c r="B272" s="11" t="s">
        <v>9</v>
      </c>
      <c r="C272" s="11" t="s">
        <v>152</v>
      </c>
      <c r="D272" s="11" t="s">
        <v>153</v>
      </c>
      <c r="E272" s="9" t="str">
        <f>+HYPERLINK("http://trademark.i-assist.jp/data/china/image_1906th/79376447.pdf", "79376447")</f>
        <v>79376447</v>
      </c>
      <c r="F272" s="11" t="s">
        <v>945</v>
      </c>
      <c r="G272" s="11" t="s">
        <v>946</v>
      </c>
      <c r="H272" s="11" t="s">
        <v>947</v>
      </c>
      <c r="I272" s="11" t="s">
        <v>103</v>
      </c>
    </row>
    <row r="273" spans="1:9" x14ac:dyDescent="0.15">
      <c r="A273" s="10">
        <v>272</v>
      </c>
      <c r="B273" s="11" t="s">
        <v>9</v>
      </c>
      <c r="C273" s="11" t="s">
        <v>152</v>
      </c>
      <c r="D273" s="11" t="s">
        <v>153</v>
      </c>
      <c r="E273" s="9" t="str">
        <f>+HYPERLINK("http://trademark.i-assist.jp/data/china/image_1906th/79381336.pdf", "79381336")</f>
        <v>79381336</v>
      </c>
      <c r="F273" s="11" t="s">
        <v>945</v>
      </c>
      <c r="G273" s="11" t="s">
        <v>946</v>
      </c>
      <c r="H273" s="11" t="s">
        <v>948</v>
      </c>
      <c r="I273" s="11" t="s">
        <v>103</v>
      </c>
    </row>
    <row r="274" spans="1:9" x14ac:dyDescent="0.15">
      <c r="A274" s="10">
        <v>273</v>
      </c>
      <c r="B274" s="11" t="s">
        <v>9</v>
      </c>
      <c r="C274" s="11" t="s">
        <v>152</v>
      </c>
      <c r="D274" s="11" t="s">
        <v>153</v>
      </c>
      <c r="E274" s="9" t="str">
        <f>+HYPERLINK("http://trademark.i-assist.jp/data/china/image_1906th/79381866.pdf", "79381866")</f>
        <v>79381866</v>
      </c>
      <c r="F274" s="11" t="s">
        <v>949</v>
      </c>
      <c r="G274" s="11" t="s">
        <v>106</v>
      </c>
      <c r="H274" s="11" t="s">
        <v>950</v>
      </c>
      <c r="I274" s="11" t="s">
        <v>951</v>
      </c>
    </row>
    <row r="275" spans="1:9" x14ac:dyDescent="0.15">
      <c r="A275" s="10">
        <v>274</v>
      </c>
      <c r="B275" s="11" t="s">
        <v>9</v>
      </c>
      <c r="C275" s="11" t="s">
        <v>152</v>
      </c>
      <c r="D275" s="11" t="s">
        <v>153</v>
      </c>
      <c r="E275" s="9" t="str">
        <f>+HYPERLINK("http://trademark.i-assist.jp/data/china/image_1906th/79382965.pdf", "79382965")</f>
        <v>79382965</v>
      </c>
      <c r="F275" s="11" t="s">
        <v>952</v>
      </c>
      <c r="G275" s="11" t="s">
        <v>953</v>
      </c>
      <c r="H275" s="11" t="s">
        <v>954</v>
      </c>
      <c r="I275" s="11" t="s">
        <v>951</v>
      </c>
    </row>
    <row r="276" spans="1:9" x14ac:dyDescent="0.15">
      <c r="A276" s="10">
        <v>275</v>
      </c>
      <c r="B276" s="11" t="s">
        <v>9</v>
      </c>
      <c r="C276" s="11" t="s">
        <v>152</v>
      </c>
      <c r="D276" s="11" t="s">
        <v>153</v>
      </c>
      <c r="E276" s="9" t="str">
        <f>+HYPERLINK("http://trademark.i-assist.jp/data/china/image_1906th/79384119.pdf", "79384119")</f>
        <v>79384119</v>
      </c>
      <c r="F276" s="11" t="s">
        <v>955</v>
      </c>
      <c r="G276" s="11" t="s">
        <v>956</v>
      </c>
      <c r="H276" s="11" t="s">
        <v>957</v>
      </c>
      <c r="I276" s="11" t="s">
        <v>951</v>
      </c>
    </row>
    <row r="277" spans="1:9" x14ac:dyDescent="0.15">
      <c r="A277" s="10">
        <v>276</v>
      </c>
      <c r="B277" s="11" t="s">
        <v>9</v>
      </c>
      <c r="C277" s="11" t="s">
        <v>152</v>
      </c>
      <c r="D277" s="11" t="s">
        <v>153</v>
      </c>
      <c r="E277" s="9" t="str">
        <f>+HYPERLINK("http://trademark.i-assist.jp/data/china/image_1906th/79384302.pdf", "79384302")</f>
        <v>79384302</v>
      </c>
      <c r="F277" s="11" t="s">
        <v>958</v>
      </c>
      <c r="G277" s="11" t="s">
        <v>959</v>
      </c>
      <c r="H277" s="11" t="s">
        <v>960</v>
      </c>
      <c r="I277" s="11" t="s">
        <v>951</v>
      </c>
    </row>
    <row r="278" spans="1:9" x14ac:dyDescent="0.15">
      <c r="A278" s="10">
        <v>277</v>
      </c>
      <c r="B278" s="11" t="s">
        <v>9</v>
      </c>
      <c r="C278" s="11" t="s">
        <v>152</v>
      </c>
      <c r="D278" s="11" t="s">
        <v>153</v>
      </c>
      <c r="E278" s="9" t="str">
        <f>+HYPERLINK("http://trademark.i-assist.jp/data/china/image_1906th/79388490.pdf", "79388490")</f>
        <v>79388490</v>
      </c>
      <c r="F278" s="11" t="s">
        <v>961</v>
      </c>
      <c r="G278" s="11" t="s">
        <v>962</v>
      </c>
      <c r="H278" s="11" t="s">
        <v>963</v>
      </c>
      <c r="I278" s="11" t="s">
        <v>105</v>
      </c>
    </row>
    <row r="279" spans="1:9" x14ac:dyDescent="0.15">
      <c r="A279" s="10">
        <v>278</v>
      </c>
      <c r="B279" s="11" t="s">
        <v>9</v>
      </c>
      <c r="C279" s="11" t="s">
        <v>152</v>
      </c>
      <c r="D279" s="11" t="s">
        <v>153</v>
      </c>
      <c r="E279" s="9" t="str">
        <f>+HYPERLINK("http://trademark.i-assist.jp/data/china/image_1906th/79388805.pdf", "79388805")</f>
        <v>79388805</v>
      </c>
      <c r="F279" s="11" t="s">
        <v>964</v>
      </c>
      <c r="G279" s="11" t="s">
        <v>965</v>
      </c>
      <c r="H279" s="11" t="s">
        <v>966</v>
      </c>
      <c r="I279" s="11" t="s">
        <v>105</v>
      </c>
    </row>
    <row r="280" spans="1:9" x14ac:dyDescent="0.15">
      <c r="A280" s="10">
        <v>279</v>
      </c>
      <c r="B280" s="11" t="s">
        <v>9</v>
      </c>
      <c r="C280" s="11" t="s">
        <v>152</v>
      </c>
      <c r="D280" s="11" t="s">
        <v>153</v>
      </c>
      <c r="E280" s="9" t="str">
        <f>+HYPERLINK("http://trademark.i-assist.jp/data/china/image_1906th/79392622.pdf", "79392622")</f>
        <v>79392622</v>
      </c>
      <c r="F280" s="11" t="s">
        <v>967</v>
      </c>
      <c r="G280" s="11" t="s">
        <v>968</v>
      </c>
      <c r="H280" s="11" t="s">
        <v>969</v>
      </c>
      <c r="I280" s="11" t="s">
        <v>105</v>
      </c>
    </row>
    <row r="281" spans="1:9" x14ac:dyDescent="0.15">
      <c r="A281" s="10">
        <v>280</v>
      </c>
      <c r="B281" s="11" t="s">
        <v>9</v>
      </c>
      <c r="C281" s="11" t="s">
        <v>152</v>
      </c>
      <c r="D281" s="11" t="s">
        <v>153</v>
      </c>
      <c r="E281" s="9" t="str">
        <f>+HYPERLINK("http://trademark.i-assist.jp/data/china/image_1906th/79393942.pdf", "79393942")</f>
        <v>79393942</v>
      </c>
      <c r="F281" s="11" t="s">
        <v>970</v>
      </c>
      <c r="G281" s="11" t="s">
        <v>971</v>
      </c>
      <c r="H281" s="11" t="s">
        <v>972</v>
      </c>
      <c r="I281" s="11" t="s">
        <v>105</v>
      </c>
    </row>
    <row r="282" spans="1:9" x14ac:dyDescent="0.15">
      <c r="A282" s="10">
        <v>281</v>
      </c>
      <c r="B282" s="11" t="s">
        <v>9</v>
      </c>
      <c r="C282" s="11" t="s">
        <v>152</v>
      </c>
      <c r="D282" s="11" t="s">
        <v>153</v>
      </c>
      <c r="E282" s="9" t="str">
        <f>+HYPERLINK("http://trademark.i-assist.jp/data/china/image_1906th/79395354.pdf", "79395354")</f>
        <v>79395354</v>
      </c>
      <c r="F282" s="11" t="s">
        <v>973</v>
      </c>
      <c r="G282" s="11" t="s">
        <v>974</v>
      </c>
      <c r="H282" s="11" t="s">
        <v>975</v>
      </c>
      <c r="I282" s="11" t="s">
        <v>105</v>
      </c>
    </row>
    <row r="283" spans="1:9" x14ac:dyDescent="0.15">
      <c r="A283" s="10">
        <v>282</v>
      </c>
      <c r="B283" s="11" t="s">
        <v>9</v>
      </c>
      <c r="C283" s="11" t="s">
        <v>152</v>
      </c>
      <c r="D283" s="11" t="s">
        <v>153</v>
      </c>
      <c r="E283" s="9" t="str">
        <f>+HYPERLINK("http://trademark.i-assist.jp/data/china/image_1906th/79398577.pdf", "79398577")</f>
        <v>79398577</v>
      </c>
      <c r="F283" s="11" t="s">
        <v>976</v>
      </c>
      <c r="G283" s="11" t="s">
        <v>977</v>
      </c>
      <c r="H283" s="11" t="s">
        <v>978</v>
      </c>
      <c r="I283" s="11" t="s">
        <v>105</v>
      </c>
    </row>
    <row r="284" spans="1:9" x14ac:dyDescent="0.15">
      <c r="A284" s="10">
        <v>283</v>
      </c>
      <c r="B284" s="11" t="s">
        <v>9</v>
      </c>
      <c r="C284" s="11" t="s">
        <v>152</v>
      </c>
      <c r="D284" s="11" t="s">
        <v>153</v>
      </c>
      <c r="E284" s="9" t="str">
        <f>+HYPERLINK("http://trademark.i-assist.jp/data/china/image_1906th/79400039.pdf", "79400039")</f>
        <v>79400039</v>
      </c>
      <c r="F284" s="11" t="s">
        <v>979</v>
      </c>
      <c r="G284" s="11" t="s">
        <v>980</v>
      </c>
      <c r="H284" s="11" t="s">
        <v>981</v>
      </c>
      <c r="I284" s="11" t="s">
        <v>105</v>
      </c>
    </row>
    <row r="285" spans="1:9" x14ac:dyDescent="0.15">
      <c r="A285" s="10">
        <v>284</v>
      </c>
      <c r="B285" s="11" t="s">
        <v>9</v>
      </c>
      <c r="C285" s="11" t="s">
        <v>152</v>
      </c>
      <c r="D285" s="11" t="s">
        <v>153</v>
      </c>
      <c r="E285" s="9" t="str">
        <f>+HYPERLINK("http://trademark.i-assist.jp/data/china/image_1906th/79401462.pdf", "79401462")</f>
        <v>79401462</v>
      </c>
      <c r="F285" s="11" t="s">
        <v>982</v>
      </c>
      <c r="G285" s="11" t="s">
        <v>983</v>
      </c>
      <c r="H285" s="11" t="s">
        <v>984</v>
      </c>
      <c r="I285" s="11" t="s">
        <v>105</v>
      </c>
    </row>
    <row r="286" spans="1:9" x14ac:dyDescent="0.15">
      <c r="A286" s="10">
        <v>285</v>
      </c>
      <c r="B286" s="11" t="s">
        <v>9</v>
      </c>
      <c r="C286" s="11" t="s">
        <v>152</v>
      </c>
      <c r="D286" s="11" t="s">
        <v>153</v>
      </c>
      <c r="E286" s="9" t="str">
        <f>+HYPERLINK("http://trademark.i-assist.jp/data/china/image_1906th/79402016.pdf", "79402016")</f>
        <v>79402016</v>
      </c>
      <c r="F286" s="11" t="s">
        <v>985</v>
      </c>
      <c r="G286" s="11" t="s">
        <v>986</v>
      </c>
      <c r="H286" s="11" t="s">
        <v>987</v>
      </c>
      <c r="I286" s="11" t="s">
        <v>105</v>
      </c>
    </row>
    <row r="287" spans="1:9" x14ac:dyDescent="0.15">
      <c r="A287" s="10">
        <v>286</v>
      </c>
      <c r="B287" s="11" t="s">
        <v>9</v>
      </c>
      <c r="C287" s="11" t="s">
        <v>152</v>
      </c>
      <c r="D287" s="11" t="s">
        <v>153</v>
      </c>
      <c r="E287" s="9" t="str">
        <f>+HYPERLINK("http://trademark.i-assist.jp/data/china/image_1906th/79403312.pdf", "79403312")</f>
        <v>79403312</v>
      </c>
      <c r="F287" s="11" t="s">
        <v>988</v>
      </c>
      <c r="G287" s="11" t="s">
        <v>96</v>
      </c>
      <c r="H287" s="11" t="s">
        <v>989</v>
      </c>
      <c r="I287" s="11" t="s">
        <v>105</v>
      </c>
    </row>
    <row r="288" spans="1:9" x14ac:dyDescent="0.15">
      <c r="A288" s="10">
        <v>287</v>
      </c>
      <c r="B288" s="11" t="s">
        <v>9</v>
      </c>
      <c r="C288" s="11" t="s">
        <v>152</v>
      </c>
      <c r="D288" s="11" t="s">
        <v>153</v>
      </c>
      <c r="E288" s="9" t="str">
        <f>+HYPERLINK("http://trademark.i-assist.jp/data/china/image_1906th/79403510.pdf", "79403510")</f>
        <v>79403510</v>
      </c>
      <c r="F288" s="11" t="s">
        <v>990</v>
      </c>
      <c r="G288" s="11" t="s">
        <v>991</v>
      </c>
      <c r="H288" s="11" t="s">
        <v>992</v>
      </c>
      <c r="I288" s="11" t="s">
        <v>105</v>
      </c>
    </row>
    <row r="289" spans="1:9" x14ac:dyDescent="0.15">
      <c r="A289" s="10">
        <v>288</v>
      </c>
      <c r="B289" s="11" t="s">
        <v>9</v>
      </c>
      <c r="C289" s="11" t="s">
        <v>152</v>
      </c>
      <c r="D289" s="11" t="s">
        <v>153</v>
      </c>
      <c r="E289" s="9" t="str">
        <f>+HYPERLINK("http://trademark.i-assist.jp/data/china/image_1906th/79404621.pdf", "79404621")</f>
        <v>79404621</v>
      </c>
      <c r="F289" s="11" t="s">
        <v>993</v>
      </c>
      <c r="G289" s="11" t="s">
        <v>994</v>
      </c>
      <c r="H289" s="11" t="s">
        <v>995</v>
      </c>
      <c r="I289" s="11" t="s">
        <v>105</v>
      </c>
    </row>
    <row r="290" spans="1:9" x14ac:dyDescent="0.15">
      <c r="A290" s="10">
        <v>289</v>
      </c>
      <c r="B290" s="11" t="s">
        <v>9</v>
      </c>
      <c r="C290" s="11" t="s">
        <v>152</v>
      </c>
      <c r="D290" s="11" t="s">
        <v>153</v>
      </c>
      <c r="E290" s="9" t="str">
        <f>+HYPERLINK("http://trademark.i-assist.jp/data/china/image_1906th/79405290.pdf", "79405290")</f>
        <v>79405290</v>
      </c>
      <c r="F290" s="11" t="s">
        <v>996</v>
      </c>
      <c r="G290" s="11" t="s">
        <v>997</v>
      </c>
      <c r="H290" s="11" t="s">
        <v>998</v>
      </c>
      <c r="I290" s="11" t="s">
        <v>105</v>
      </c>
    </row>
    <row r="291" spans="1:9" x14ac:dyDescent="0.15">
      <c r="A291" s="10">
        <v>290</v>
      </c>
      <c r="B291" s="11" t="s">
        <v>9</v>
      </c>
      <c r="C291" s="11" t="s">
        <v>152</v>
      </c>
      <c r="D291" s="11" t="s">
        <v>153</v>
      </c>
      <c r="E291" s="9" t="str">
        <f>+HYPERLINK("http://trademark.i-assist.jp/data/china/image_1906th/79405339.pdf", "79405339")</f>
        <v>79405339</v>
      </c>
      <c r="F291" s="11" t="s">
        <v>999</v>
      </c>
      <c r="G291" s="11" t="s">
        <v>1000</v>
      </c>
      <c r="H291" s="11" t="s">
        <v>1001</v>
      </c>
      <c r="I291" s="11" t="s">
        <v>105</v>
      </c>
    </row>
    <row r="292" spans="1:9" x14ac:dyDescent="0.15">
      <c r="A292" s="10">
        <v>291</v>
      </c>
      <c r="B292" s="11" t="s">
        <v>9</v>
      </c>
      <c r="C292" s="11" t="s">
        <v>152</v>
      </c>
      <c r="D292" s="11" t="s">
        <v>153</v>
      </c>
      <c r="E292" s="9" t="str">
        <f>+HYPERLINK("http://trademark.i-assist.jp/data/china/image_1906th/79405776.pdf", "79405776")</f>
        <v>79405776</v>
      </c>
      <c r="F292" s="11" t="s">
        <v>1002</v>
      </c>
      <c r="G292" s="11" t="s">
        <v>144</v>
      </c>
      <c r="H292" s="11" t="s">
        <v>1003</v>
      </c>
      <c r="I292" s="11" t="s">
        <v>105</v>
      </c>
    </row>
    <row r="293" spans="1:9" x14ac:dyDescent="0.15">
      <c r="A293" s="10">
        <v>292</v>
      </c>
      <c r="B293" s="11" t="s">
        <v>9</v>
      </c>
      <c r="C293" s="11" t="s">
        <v>152</v>
      </c>
      <c r="D293" s="11" t="s">
        <v>153</v>
      </c>
      <c r="E293" s="9" t="str">
        <f>+HYPERLINK("http://trademark.i-assist.jp/data/china/image_1906th/79408141.pdf", "79408141")</f>
        <v>79408141</v>
      </c>
      <c r="F293" s="11" t="s">
        <v>1004</v>
      </c>
      <c r="G293" s="11" t="s">
        <v>1005</v>
      </c>
      <c r="H293" s="11" t="s">
        <v>1006</v>
      </c>
      <c r="I293" s="11" t="s">
        <v>105</v>
      </c>
    </row>
    <row r="294" spans="1:9" x14ac:dyDescent="0.15">
      <c r="A294" s="10">
        <v>293</v>
      </c>
      <c r="B294" s="11" t="s">
        <v>9</v>
      </c>
      <c r="C294" s="11" t="s">
        <v>152</v>
      </c>
      <c r="D294" s="11" t="s">
        <v>153</v>
      </c>
      <c r="E294" s="9" t="str">
        <f>+HYPERLINK("http://trademark.i-assist.jp/data/china/image_1906th/79408152.pdf", "79408152")</f>
        <v>79408152</v>
      </c>
      <c r="F294" s="11" t="s">
        <v>1007</v>
      </c>
      <c r="G294" s="11" t="s">
        <v>1008</v>
      </c>
      <c r="H294" s="11" t="s">
        <v>1009</v>
      </c>
      <c r="I294" s="11" t="s">
        <v>105</v>
      </c>
    </row>
    <row r="295" spans="1:9" x14ac:dyDescent="0.15">
      <c r="A295" s="10">
        <v>294</v>
      </c>
      <c r="B295" s="11" t="s">
        <v>9</v>
      </c>
      <c r="C295" s="11" t="s">
        <v>152</v>
      </c>
      <c r="D295" s="11" t="s">
        <v>153</v>
      </c>
      <c r="E295" s="9" t="str">
        <f>+HYPERLINK("http://trademark.i-assist.jp/data/china/image_1906th/79408555.pdf", "79408555")</f>
        <v>79408555</v>
      </c>
      <c r="F295" s="11" t="s">
        <v>1010</v>
      </c>
      <c r="G295" s="11" t="s">
        <v>1011</v>
      </c>
      <c r="H295" s="11" t="s">
        <v>1012</v>
      </c>
      <c r="I295" s="11" t="s">
        <v>105</v>
      </c>
    </row>
    <row r="296" spans="1:9" x14ac:dyDescent="0.15">
      <c r="A296" s="10">
        <v>295</v>
      </c>
      <c r="B296" s="11" t="s">
        <v>9</v>
      </c>
      <c r="C296" s="11" t="s">
        <v>152</v>
      </c>
      <c r="D296" s="11" t="s">
        <v>153</v>
      </c>
      <c r="E296" s="9" t="str">
        <f>+HYPERLINK("http://trademark.i-assist.jp/data/china/image_1906th/79409400.pdf", "79409400")</f>
        <v>79409400</v>
      </c>
      <c r="F296" s="11" t="s">
        <v>1013</v>
      </c>
      <c r="G296" s="11" t="s">
        <v>1014</v>
      </c>
      <c r="H296" s="11" t="s">
        <v>1015</v>
      </c>
      <c r="I296" s="11" t="s">
        <v>105</v>
      </c>
    </row>
    <row r="297" spans="1:9" x14ac:dyDescent="0.15">
      <c r="A297" s="10">
        <v>296</v>
      </c>
      <c r="B297" s="11" t="s">
        <v>9</v>
      </c>
      <c r="C297" s="11" t="s">
        <v>152</v>
      </c>
      <c r="D297" s="11" t="s">
        <v>153</v>
      </c>
      <c r="E297" s="9" t="str">
        <f>+HYPERLINK("http://trademark.i-assist.jp/data/china/image_1906th/79409638.pdf", "79409638")</f>
        <v>79409638</v>
      </c>
      <c r="F297" s="11" t="s">
        <v>1016</v>
      </c>
      <c r="G297" s="11" t="s">
        <v>1017</v>
      </c>
      <c r="H297" s="11" t="s">
        <v>1018</v>
      </c>
      <c r="I297" s="11" t="s">
        <v>105</v>
      </c>
    </row>
    <row r="298" spans="1:9" x14ac:dyDescent="0.15">
      <c r="A298" s="10">
        <v>297</v>
      </c>
      <c r="B298" s="11" t="s">
        <v>9</v>
      </c>
      <c r="C298" s="11" t="s">
        <v>152</v>
      </c>
      <c r="D298" s="11" t="s">
        <v>153</v>
      </c>
      <c r="E298" s="9" t="str">
        <f>+HYPERLINK("http://trademark.i-assist.jp/data/china/image_1906th/79410736.pdf", "79410736")</f>
        <v>79410736</v>
      </c>
      <c r="F298" s="11" t="s">
        <v>1019</v>
      </c>
      <c r="G298" s="11" t="s">
        <v>1020</v>
      </c>
      <c r="H298" s="11" t="s">
        <v>1021</v>
      </c>
      <c r="I298" s="11" t="s">
        <v>105</v>
      </c>
    </row>
    <row r="299" spans="1:9" x14ac:dyDescent="0.15">
      <c r="A299" s="10">
        <v>298</v>
      </c>
      <c r="B299" s="11" t="s">
        <v>9</v>
      </c>
      <c r="C299" s="11" t="s">
        <v>152</v>
      </c>
      <c r="D299" s="11" t="s">
        <v>153</v>
      </c>
      <c r="E299" s="9" t="str">
        <f>+HYPERLINK("http://trademark.i-assist.jp/data/china/image_1906th/79411155.pdf", "79411155")</f>
        <v>79411155</v>
      </c>
      <c r="F299" s="11" t="s">
        <v>1022</v>
      </c>
      <c r="G299" s="11" t="s">
        <v>1023</v>
      </c>
      <c r="H299" s="11" t="s">
        <v>1024</v>
      </c>
      <c r="I299" s="11" t="s">
        <v>105</v>
      </c>
    </row>
    <row r="300" spans="1:9" x14ac:dyDescent="0.15">
      <c r="A300" s="10">
        <v>299</v>
      </c>
      <c r="B300" s="11" t="s">
        <v>9</v>
      </c>
      <c r="C300" s="11" t="s">
        <v>152</v>
      </c>
      <c r="D300" s="11" t="s">
        <v>153</v>
      </c>
      <c r="E300" s="9" t="str">
        <f>+HYPERLINK("http://trademark.i-assist.jp/data/china/image_1906th/79412889.pdf", "79412889")</f>
        <v>79412889</v>
      </c>
      <c r="F300" s="11" t="s">
        <v>1025</v>
      </c>
      <c r="G300" s="11" t="s">
        <v>1026</v>
      </c>
      <c r="H300" s="11" t="s">
        <v>1027</v>
      </c>
      <c r="I300" s="11" t="s">
        <v>109</v>
      </c>
    </row>
    <row r="301" spans="1:9" x14ac:dyDescent="0.15">
      <c r="A301" s="10">
        <v>300</v>
      </c>
      <c r="B301" s="11" t="s">
        <v>9</v>
      </c>
      <c r="C301" s="11" t="s">
        <v>152</v>
      </c>
      <c r="D301" s="11" t="s">
        <v>153</v>
      </c>
      <c r="E301" s="9" t="str">
        <f>+HYPERLINK("http://trademark.i-assist.jp/data/china/image_1906th/79415887.pdf", "79415887")</f>
        <v>79415887</v>
      </c>
      <c r="F301" s="11" t="s">
        <v>1028</v>
      </c>
      <c r="G301" s="11" t="s">
        <v>1029</v>
      </c>
      <c r="H301" s="11" t="s">
        <v>1030</v>
      </c>
      <c r="I301" s="11" t="s">
        <v>109</v>
      </c>
    </row>
    <row r="302" spans="1:9" x14ac:dyDescent="0.15">
      <c r="A302" s="10">
        <v>301</v>
      </c>
      <c r="B302" s="11" t="s">
        <v>9</v>
      </c>
      <c r="C302" s="11" t="s">
        <v>152</v>
      </c>
      <c r="D302" s="11" t="s">
        <v>153</v>
      </c>
      <c r="E302" s="9" t="str">
        <f>+HYPERLINK("http://trademark.i-assist.jp/data/china/image_1906th/79416017.pdf", "79416017")</f>
        <v>79416017</v>
      </c>
      <c r="F302" s="11" t="s">
        <v>1031</v>
      </c>
      <c r="G302" s="11" t="s">
        <v>1032</v>
      </c>
      <c r="H302" s="11" t="s">
        <v>1033</v>
      </c>
      <c r="I302" s="11" t="s">
        <v>109</v>
      </c>
    </row>
    <row r="303" spans="1:9" x14ac:dyDescent="0.15">
      <c r="A303" s="10">
        <v>302</v>
      </c>
      <c r="B303" s="11" t="s">
        <v>9</v>
      </c>
      <c r="C303" s="11" t="s">
        <v>152</v>
      </c>
      <c r="D303" s="11" t="s">
        <v>153</v>
      </c>
      <c r="E303" s="9" t="str">
        <f>+HYPERLINK("http://trademark.i-assist.jp/data/china/image_1906th/79416447.pdf", "79416447")</f>
        <v>79416447</v>
      </c>
      <c r="F303" s="11" t="s">
        <v>1034</v>
      </c>
      <c r="G303" s="11" t="s">
        <v>1035</v>
      </c>
      <c r="H303" s="11" t="s">
        <v>1036</v>
      </c>
      <c r="I303" s="11" t="s">
        <v>109</v>
      </c>
    </row>
    <row r="304" spans="1:9" x14ac:dyDescent="0.15">
      <c r="A304" s="10">
        <v>303</v>
      </c>
      <c r="B304" s="11" t="s">
        <v>9</v>
      </c>
      <c r="C304" s="11" t="s">
        <v>152</v>
      </c>
      <c r="D304" s="11" t="s">
        <v>153</v>
      </c>
      <c r="E304" s="9" t="str">
        <f>+HYPERLINK("http://trademark.i-assist.jp/data/china/image_1906th/79418915.pdf", "79418915")</f>
        <v>79418915</v>
      </c>
      <c r="F304" s="11" t="s">
        <v>1037</v>
      </c>
      <c r="G304" s="11" t="s">
        <v>1038</v>
      </c>
      <c r="H304" s="11" t="s">
        <v>1039</v>
      </c>
      <c r="I304" s="11" t="s">
        <v>109</v>
      </c>
    </row>
    <row r="305" spans="1:9" x14ac:dyDescent="0.15">
      <c r="A305" s="10">
        <v>304</v>
      </c>
      <c r="B305" s="11" t="s">
        <v>9</v>
      </c>
      <c r="C305" s="11" t="s">
        <v>152</v>
      </c>
      <c r="D305" s="11" t="s">
        <v>153</v>
      </c>
      <c r="E305" s="9" t="str">
        <f>+HYPERLINK("http://trademark.i-assist.jp/data/china/image_1906th/79418966.pdf", "79418966")</f>
        <v>79418966</v>
      </c>
      <c r="F305" s="11" t="s">
        <v>1040</v>
      </c>
      <c r="G305" s="11" t="s">
        <v>1041</v>
      </c>
      <c r="H305" s="11" t="s">
        <v>1042</v>
      </c>
      <c r="I305" s="11" t="s">
        <v>109</v>
      </c>
    </row>
    <row r="306" spans="1:9" x14ac:dyDescent="0.15">
      <c r="A306" s="10">
        <v>305</v>
      </c>
      <c r="B306" s="11" t="s">
        <v>9</v>
      </c>
      <c r="C306" s="11" t="s">
        <v>152</v>
      </c>
      <c r="D306" s="11" t="s">
        <v>153</v>
      </c>
      <c r="E306" s="9" t="str">
        <f>+HYPERLINK("http://trademark.i-assist.jp/data/china/image_1906th/79419678.pdf", "79419678")</f>
        <v>79419678</v>
      </c>
      <c r="F306" s="11" t="s">
        <v>1043</v>
      </c>
      <c r="G306" s="11" t="s">
        <v>1044</v>
      </c>
      <c r="H306" s="11" t="s">
        <v>1045</v>
      </c>
      <c r="I306" s="11" t="s">
        <v>109</v>
      </c>
    </row>
    <row r="307" spans="1:9" x14ac:dyDescent="0.15">
      <c r="A307" s="10">
        <v>306</v>
      </c>
      <c r="B307" s="11" t="s">
        <v>9</v>
      </c>
      <c r="C307" s="11" t="s">
        <v>152</v>
      </c>
      <c r="D307" s="11" t="s">
        <v>153</v>
      </c>
      <c r="E307" s="9" t="str">
        <f>+HYPERLINK("http://trademark.i-assist.jp/data/china/image_1906th/79420643.pdf", "79420643")</f>
        <v>79420643</v>
      </c>
      <c r="F307" s="11" t="s">
        <v>1046</v>
      </c>
      <c r="G307" s="11" t="s">
        <v>1047</v>
      </c>
      <c r="H307" s="11" t="s">
        <v>1048</v>
      </c>
      <c r="I307" s="11" t="s">
        <v>109</v>
      </c>
    </row>
    <row r="308" spans="1:9" x14ac:dyDescent="0.15">
      <c r="A308" s="10">
        <v>307</v>
      </c>
      <c r="B308" s="11" t="s">
        <v>9</v>
      </c>
      <c r="C308" s="11" t="s">
        <v>152</v>
      </c>
      <c r="D308" s="11" t="s">
        <v>153</v>
      </c>
      <c r="E308" s="9" t="str">
        <f>+HYPERLINK("http://trademark.i-assist.jp/data/china/image_1906th/79421385.pdf", "79421385")</f>
        <v>79421385</v>
      </c>
      <c r="F308" s="11" t="s">
        <v>1049</v>
      </c>
      <c r="G308" s="11" t="s">
        <v>1050</v>
      </c>
      <c r="H308" s="11" t="s">
        <v>1051</v>
      </c>
      <c r="I308" s="11" t="s">
        <v>109</v>
      </c>
    </row>
    <row r="309" spans="1:9" x14ac:dyDescent="0.15">
      <c r="A309" s="10">
        <v>308</v>
      </c>
      <c r="B309" s="11" t="s">
        <v>9</v>
      </c>
      <c r="C309" s="11" t="s">
        <v>152</v>
      </c>
      <c r="D309" s="11" t="s">
        <v>153</v>
      </c>
      <c r="E309" s="9" t="str">
        <f>+HYPERLINK("http://trademark.i-assist.jp/data/china/image_1906th/79422011.pdf", "79422011")</f>
        <v>79422011</v>
      </c>
      <c r="F309" s="11" t="s">
        <v>1052</v>
      </c>
      <c r="G309" s="11" t="s">
        <v>85</v>
      </c>
      <c r="H309" s="11" t="s">
        <v>1053</v>
      </c>
      <c r="I309" s="11" t="s">
        <v>109</v>
      </c>
    </row>
    <row r="310" spans="1:9" x14ac:dyDescent="0.15">
      <c r="A310" s="10">
        <v>309</v>
      </c>
      <c r="B310" s="11" t="s">
        <v>9</v>
      </c>
      <c r="C310" s="11" t="s">
        <v>152</v>
      </c>
      <c r="D310" s="11" t="s">
        <v>153</v>
      </c>
      <c r="E310" s="9" t="str">
        <f>+HYPERLINK("http://trademark.i-assist.jp/data/china/image_1906th/79422683.pdf", "79422683")</f>
        <v>79422683</v>
      </c>
      <c r="F310" s="11" t="s">
        <v>1054</v>
      </c>
      <c r="G310" s="11" t="s">
        <v>1055</v>
      </c>
      <c r="H310" s="11" t="s">
        <v>1056</v>
      </c>
      <c r="I310" s="11" t="s">
        <v>109</v>
      </c>
    </row>
    <row r="311" spans="1:9" x14ac:dyDescent="0.15">
      <c r="A311" s="10">
        <v>310</v>
      </c>
      <c r="B311" s="11" t="s">
        <v>9</v>
      </c>
      <c r="C311" s="11" t="s">
        <v>152</v>
      </c>
      <c r="D311" s="11" t="s">
        <v>153</v>
      </c>
      <c r="E311" s="9" t="str">
        <f>+HYPERLINK("http://trademark.i-assist.jp/data/china/image_1906th/79423143.pdf", "79423143")</f>
        <v>79423143</v>
      </c>
      <c r="F311" s="11" t="s">
        <v>1057</v>
      </c>
      <c r="G311" s="11" t="s">
        <v>1058</v>
      </c>
      <c r="H311" s="11" t="s">
        <v>1059</v>
      </c>
      <c r="I311" s="11" t="s">
        <v>109</v>
      </c>
    </row>
    <row r="312" spans="1:9" x14ac:dyDescent="0.15">
      <c r="A312" s="10">
        <v>311</v>
      </c>
      <c r="B312" s="11" t="s">
        <v>9</v>
      </c>
      <c r="C312" s="11" t="s">
        <v>152</v>
      </c>
      <c r="D312" s="11" t="s">
        <v>153</v>
      </c>
      <c r="E312" s="9" t="str">
        <f>+HYPERLINK("http://trademark.i-assist.jp/data/china/image_1906th/79423411.pdf", "79423411")</f>
        <v>79423411</v>
      </c>
      <c r="F312" s="11" t="s">
        <v>1060</v>
      </c>
      <c r="G312" s="11" t="s">
        <v>1061</v>
      </c>
      <c r="H312" s="11" t="s">
        <v>1062</v>
      </c>
      <c r="I312" s="11" t="s">
        <v>109</v>
      </c>
    </row>
    <row r="313" spans="1:9" x14ac:dyDescent="0.15">
      <c r="A313" s="10">
        <v>312</v>
      </c>
      <c r="B313" s="11" t="s">
        <v>9</v>
      </c>
      <c r="C313" s="11" t="s">
        <v>152</v>
      </c>
      <c r="D313" s="11" t="s">
        <v>153</v>
      </c>
      <c r="E313" s="9" t="str">
        <f>+HYPERLINK("http://trademark.i-assist.jp/data/china/image_1906th/79423563.pdf", "79423563")</f>
        <v>79423563</v>
      </c>
      <c r="F313" s="11" t="s">
        <v>1063</v>
      </c>
      <c r="G313" s="11" t="s">
        <v>1064</v>
      </c>
      <c r="H313" s="11" t="s">
        <v>1065</v>
      </c>
      <c r="I313" s="11" t="s">
        <v>109</v>
      </c>
    </row>
    <row r="314" spans="1:9" x14ac:dyDescent="0.15">
      <c r="A314" s="10">
        <v>313</v>
      </c>
      <c r="B314" s="11" t="s">
        <v>9</v>
      </c>
      <c r="C314" s="11" t="s">
        <v>152</v>
      </c>
      <c r="D314" s="11" t="s">
        <v>153</v>
      </c>
      <c r="E314" s="9" t="str">
        <f>+HYPERLINK("http://trademark.i-assist.jp/data/china/image_1906th/79425124.pdf", "79425124")</f>
        <v>79425124</v>
      </c>
      <c r="F314" s="11" t="s">
        <v>1066</v>
      </c>
      <c r="G314" s="11" t="s">
        <v>1067</v>
      </c>
      <c r="H314" s="11" t="s">
        <v>1068</v>
      </c>
      <c r="I314" s="11" t="s">
        <v>109</v>
      </c>
    </row>
    <row r="315" spans="1:9" x14ac:dyDescent="0.15">
      <c r="A315" s="10">
        <v>314</v>
      </c>
      <c r="B315" s="11" t="s">
        <v>9</v>
      </c>
      <c r="C315" s="11" t="s">
        <v>152</v>
      </c>
      <c r="D315" s="11" t="s">
        <v>153</v>
      </c>
      <c r="E315" s="9" t="str">
        <f>+HYPERLINK("http://trademark.i-assist.jp/data/china/image_1906th/79425569.pdf", "79425569")</f>
        <v>79425569</v>
      </c>
      <c r="F315" s="11" t="s">
        <v>1069</v>
      </c>
      <c r="G315" s="11" t="s">
        <v>1070</v>
      </c>
      <c r="H315" s="11" t="s">
        <v>1071</v>
      </c>
      <c r="I315" s="11" t="s">
        <v>109</v>
      </c>
    </row>
    <row r="316" spans="1:9" x14ac:dyDescent="0.15">
      <c r="A316" s="10">
        <v>315</v>
      </c>
      <c r="B316" s="11" t="s">
        <v>9</v>
      </c>
      <c r="C316" s="11" t="s">
        <v>152</v>
      </c>
      <c r="D316" s="11" t="s">
        <v>153</v>
      </c>
      <c r="E316" s="9" t="str">
        <f>+HYPERLINK("http://trademark.i-assist.jp/data/china/image_1906th/79427900.pdf", "79427900")</f>
        <v>79427900</v>
      </c>
      <c r="F316" s="11" t="s">
        <v>1072</v>
      </c>
      <c r="G316" s="11" t="s">
        <v>1073</v>
      </c>
      <c r="H316" s="11" t="s">
        <v>1074</v>
      </c>
      <c r="I316" s="11" t="s">
        <v>109</v>
      </c>
    </row>
    <row r="317" spans="1:9" x14ac:dyDescent="0.15">
      <c r="A317" s="10">
        <v>316</v>
      </c>
      <c r="B317" s="11" t="s">
        <v>9</v>
      </c>
      <c r="C317" s="11" t="s">
        <v>152</v>
      </c>
      <c r="D317" s="11" t="s">
        <v>153</v>
      </c>
      <c r="E317" s="9" t="str">
        <f>+HYPERLINK("http://trademark.i-assist.jp/data/china/image_1906th/79430804.pdf", "79430804")</f>
        <v>79430804</v>
      </c>
      <c r="F317" s="11" t="s">
        <v>1075</v>
      </c>
      <c r="G317" s="11" t="s">
        <v>1076</v>
      </c>
      <c r="H317" s="11" t="s">
        <v>1077</v>
      </c>
      <c r="I317" s="11" t="s">
        <v>109</v>
      </c>
    </row>
    <row r="318" spans="1:9" x14ac:dyDescent="0.15">
      <c r="A318" s="10">
        <v>317</v>
      </c>
      <c r="B318" s="11" t="s">
        <v>9</v>
      </c>
      <c r="C318" s="11" t="s">
        <v>152</v>
      </c>
      <c r="D318" s="11" t="s">
        <v>153</v>
      </c>
      <c r="E318" s="9" t="str">
        <f>+HYPERLINK("http://trademark.i-assist.jp/data/china/image_1906th/79432832.pdf", "79432832")</f>
        <v>79432832</v>
      </c>
      <c r="F318" s="11" t="s">
        <v>1078</v>
      </c>
      <c r="G318" s="11" t="s">
        <v>1073</v>
      </c>
      <c r="H318" s="11" t="s">
        <v>1079</v>
      </c>
      <c r="I318" s="11" t="s">
        <v>109</v>
      </c>
    </row>
    <row r="319" spans="1:9" x14ac:dyDescent="0.15">
      <c r="A319" s="10">
        <v>318</v>
      </c>
      <c r="B319" s="11" t="s">
        <v>9</v>
      </c>
      <c r="C319" s="11" t="s">
        <v>152</v>
      </c>
      <c r="D319" s="11" t="s">
        <v>153</v>
      </c>
      <c r="E319" s="9" t="str">
        <f>+HYPERLINK("http://trademark.i-assist.jp/data/china/image_1906th/79433046.pdf", "79433046")</f>
        <v>79433046</v>
      </c>
      <c r="F319" s="11" t="s">
        <v>1080</v>
      </c>
      <c r="G319" s="11" t="s">
        <v>1081</v>
      </c>
      <c r="H319" s="11" t="s">
        <v>1082</v>
      </c>
      <c r="I319" s="11" t="s">
        <v>109</v>
      </c>
    </row>
    <row r="320" spans="1:9" x14ac:dyDescent="0.15">
      <c r="A320" s="10">
        <v>319</v>
      </c>
      <c r="B320" s="11" t="s">
        <v>9</v>
      </c>
      <c r="C320" s="11" t="s">
        <v>152</v>
      </c>
      <c r="D320" s="11" t="s">
        <v>153</v>
      </c>
      <c r="E320" s="9" t="str">
        <f>+HYPERLINK("http://trademark.i-assist.jp/data/china/image_1906th/79433300.pdf", "79433300")</f>
        <v>79433300</v>
      </c>
      <c r="F320" s="11" t="s">
        <v>1083</v>
      </c>
      <c r="G320" s="11" t="s">
        <v>1084</v>
      </c>
      <c r="H320" s="11" t="s">
        <v>1085</v>
      </c>
      <c r="I320" s="11" t="s">
        <v>109</v>
      </c>
    </row>
    <row r="321" spans="1:9" x14ac:dyDescent="0.15">
      <c r="A321" s="10">
        <v>320</v>
      </c>
      <c r="B321" s="11" t="s">
        <v>9</v>
      </c>
      <c r="C321" s="11" t="s">
        <v>152</v>
      </c>
      <c r="D321" s="11" t="s">
        <v>153</v>
      </c>
      <c r="E321" s="9" t="str">
        <f>+HYPERLINK("http://trademark.i-assist.jp/data/china/image_1906th/79434040.pdf", "79434040")</f>
        <v>79434040</v>
      </c>
      <c r="F321" s="11" t="s">
        <v>1086</v>
      </c>
      <c r="G321" s="11" t="s">
        <v>1087</v>
      </c>
      <c r="H321" s="11" t="s">
        <v>1088</v>
      </c>
      <c r="I321" s="11" t="s">
        <v>109</v>
      </c>
    </row>
    <row r="322" spans="1:9" x14ac:dyDescent="0.15">
      <c r="A322" s="10">
        <v>321</v>
      </c>
      <c r="B322" s="11" t="s">
        <v>9</v>
      </c>
      <c r="C322" s="11" t="s">
        <v>152</v>
      </c>
      <c r="D322" s="11" t="s">
        <v>153</v>
      </c>
      <c r="E322" s="9" t="str">
        <f>+HYPERLINK("http://trademark.i-assist.jp/data/china/image_1906th/79434144.pdf", "79434144")</f>
        <v>79434144</v>
      </c>
      <c r="F322" s="11" t="s">
        <v>1089</v>
      </c>
      <c r="G322" s="11" t="s">
        <v>1090</v>
      </c>
      <c r="H322" s="11" t="s">
        <v>1091</v>
      </c>
      <c r="I322" s="11" t="s">
        <v>109</v>
      </c>
    </row>
    <row r="323" spans="1:9" x14ac:dyDescent="0.15">
      <c r="A323" s="10">
        <v>322</v>
      </c>
      <c r="B323" s="11" t="s">
        <v>9</v>
      </c>
      <c r="C323" s="11" t="s">
        <v>152</v>
      </c>
      <c r="D323" s="11" t="s">
        <v>153</v>
      </c>
      <c r="E323" s="9" t="str">
        <f>+HYPERLINK("http://trademark.i-assist.jp/data/china/image_1906th/79434731.pdf", "79434731")</f>
        <v>79434731</v>
      </c>
      <c r="F323" s="11" t="s">
        <v>1092</v>
      </c>
      <c r="G323" s="11" t="s">
        <v>1093</v>
      </c>
      <c r="H323" s="11" t="s">
        <v>1094</v>
      </c>
      <c r="I323" s="11" t="s">
        <v>109</v>
      </c>
    </row>
    <row r="324" spans="1:9" x14ac:dyDescent="0.15">
      <c r="A324" s="10">
        <v>323</v>
      </c>
      <c r="B324" s="11" t="s">
        <v>9</v>
      </c>
      <c r="C324" s="11" t="s">
        <v>152</v>
      </c>
      <c r="D324" s="11" t="s">
        <v>153</v>
      </c>
      <c r="E324" s="9" t="str">
        <f>+HYPERLINK("http://trademark.i-assist.jp/data/china/image_1906th/79435674.pdf", "79435674")</f>
        <v>79435674</v>
      </c>
      <c r="F324" s="11" t="s">
        <v>1095</v>
      </c>
      <c r="G324" s="11" t="s">
        <v>1096</v>
      </c>
      <c r="H324" s="11" t="s">
        <v>1097</v>
      </c>
      <c r="I324" s="11" t="s">
        <v>109</v>
      </c>
    </row>
    <row r="325" spans="1:9" x14ac:dyDescent="0.15">
      <c r="A325" s="10">
        <v>324</v>
      </c>
      <c r="B325" s="11" t="s">
        <v>9</v>
      </c>
      <c r="C325" s="11" t="s">
        <v>152</v>
      </c>
      <c r="D325" s="11" t="s">
        <v>153</v>
      </c>
      <c r="E325" s="9" t="str">
        <f>+HYPERLINK("http://trademark.i-assist.jp/data/china/image_1906th/79435690.pdf", "79435690")</f>
        <v>79435690</v>
      </c>
      <c r="F325" s="11" t="s">
        <v>1098</v>
      </c>
      <c r="G325" s="11" t="s">
        <v>1099</v>
      </c>
      <c r="H325" s="11" t="s">
        <v>1100</v>
      </c>
      <c r="I325" s="11" t="s">
        <v>109</v>
      </c>
    </row>
    <row r="326" spans="1:9" x14ac:dyDescent="0.15">
      <c r="A326" s="10">
        <v>325</v>
      </c>
      <c r="B326" s="11" t="s">
        <v>9</v>
      </c>
      <c r="C326" s="11" t="s">
        <v>152</v>
      </c>
      <c r="D326" s="11" t="s">
        <v>153</v>
      </c>
      <c r="E326" s="9" t="str">
        <f>+HYPERLINK("http://trademark.i-assist.jp/data/china/image_1906th/79436344.pdf", "79436344")</f>
        <v>79436344</v>
      </c>
      <c r="F326" s="11" t="s">
        <v>1101</v>
      </c>
      <c r="G326" s="11" t="s">
        <v>1102</v>
      </c>
      <c r="H326" s="11" t="s">
        <v>1103</v>
      </c>
      <c r="I326" s="11" t="s">
        <v>109</v>
      </c>
    </row>
    <row r="327" spans="1:9" x14ac:dyDescent="0.15">
      <c r="A327" s="10">
        <v>326</v>
      </c>
      <c r="B327" s="11" t="s">
        <v>9</v>
      </c>
      <c r="C327" s="11" t="s">
        <v>152</v>
      </c>
      <c r="D327" s="11" t="s">
        <v>153</v>
      </c>
      <c r="E327" s="9" t="str">
        <f>+HYPERLINK("http://trademark.i-assist.jp/data/china/image_1906th/79436513.pdf", "79436513")</f>
        <v>79436513</v>
      </c>
      <c r="F327" s="11" t="s">
        <v>1104</v>
      </c>
      <c r="G327" s="11" t="s">
        <v>1105</v>
      </c>
      <c r="H327" s="11" t="s">
        <v>1106</v>
      </c>
      <c r="I327" s="11" t="s">
        <v>109</v>
      </c>
    </row>
    <row r="328" spans="1:9" x14ac:dyDescent="0.15">
      <c r="A328" s="10">
        <v>327</v>
      </c>
      <c r="B328" s="11" t="s">
        <v>9</v>
      </c>
      <c r="C328" s="11" t="s">
        <v>152</v>
      </c>
      <c r="D328" s="11" t="s">
        <v>153</v>
      </c>
      <c r="E328" s="9" t="str">
        <f>+HYPERLINK("http://trademark.i-assist.jp/data/china/image_1906th/79437210.pdf", "79437210")</f>
        <v>79437210</v>
      </c>
      <c r="F328" s="11" t="s">
        <v>1107</v>
      </c>
      <c r="G328" s="11" t="s">
        <v>1108</v>
      </c>
      <c r="H328" s="11" t="s">
        <v>1109</v>
      </c>
      <c r="I328" s="11" t="s">
        <v>109</v>
      </c>
    </row>
    <row r="329" spans="1:9" x14ac:dyDescent="0.15">
      <c r="A329" s="10">
        <v>328</v>
      </c>
      <c r="B329" s="11" t="s">
        <v>9</v>
      </c>
      <c r="C329" s="11" t="s">
        <v>152</v>
      </c>
      <c r="D329" s="11" t="s">
        <v>153</v>
      </c>
      <c r="E329" s="9" t="str">
        <f>+HYPERLINK("http://trademark.i-assist.jp/data/china/image_1906th/79439414.pdf", "79439414")</f>
        <v>79439414</v>
      </c>
      <c r="F329" s="11" t="s">
        <v>1110</v>
      </c>
      <c r="G329" s="11" t="s">
        <v>1111</v>
      </c>
      <c r="H329" s="11" t="s">
        <v>1112</v>
      </c>
      <c r="I329" s="11" t="s">
        <v>112</v>
      </c>
    </row>
    <row r="330" spans="1:9" x14ac:dyDescent="0.15">
      <c r="A330" s="10">
        <v>329</v>
      </c>
      <c r="B330" s="11" t="s">
        <v>9</v>
      </c>
      <c r="C330" s="11" t="s">
        <v>152</v>
      </c>
      <c r="D330" s="11" t="s">
        <v>153</v>
      </c>
      <c r="E330" s="9" t="str">
        <f>+HYPERLINK("http://trademark.i-assist.jp/data/china/image_1906th/79440286.pdf", "79440286")</f>
        <v>79440286</v>
      </c>
      <c r="F330" s="11" t="s">
        <v>1113</v>
      </c>
      <c r="G330" s="11" t="s">
        <v>1114</v>
      </c>
      <c r="H330" s="11" t="s">
        <v>1115</v>
      </c>
      <c r="I330" s="11" t="s">
        <v>112</v>
      </c>
    </row>
    <row r="331" spans="1:9" x14ac:dyDescent="0.15">
      <c r="A331" s="10">
        <v>330</v>
      </c>
      <c r="B331" s="11" t="s">
        <v>9</v>
      </c>
      <c r="C331" s="11" t="s">
        <v>152</v>
      </c>
      <c r="D331" s="11" t="s">
        <v>153</v>
      </c>
      <c r="E331" s="9" t="str">
        <f>+HYPERLINK("http://trademark.i-assist.jp/data/china/image_1906th/79440802.pdf", "79440802")</f>
        <v>79440802</v>
      </c>
      <c r="F331" s="11" t="s">
        <v>1116</v>
      </c>
      <c r="G331" s="11" t="s">
        <v>1117</v>
      </c>
      <c r="H331" s="11" t="s">
        <v>1118</v>
      </c>
      <c r="I331" s="11" t="s">
        <v>112</v>
      </c>
    </row>
    <row r="332" spans="1:9" x14ac:dyDescent="0.15">
      <c r="A332" s="10">
        <v>331</v>
      </c>
      <c r="B332" s="11" t="s">
        <v>9</v>
      </c>
      <c r="C332" s="11" t="s">
        <v>152</v>
      </c>
      <c r="D332" s="11" t="s">
        <v>153</v>
      </c>
      <c r="E332" s="9" t="str">
        <f>+HYPERLINK("http://trademark.i-assist.jp/data/china/image_1906th/79441301.pdf", "79441301")</f>
        <v>79441301</v>
      </c>
      <c r="F332" s="11" t="s">
        <v>1119</v>
      </c>
      <c r="G332" s="11" t="s">
        <v>1120</v>
      </c>
      <c r="H332" s="11" t="s">
        <v>1121</v>
      </c>
      <c r="I332" s="11" t="s">
        <v>112</v>
      </c>
    </row>
    <row r="333" spans="1:9" x14ac:dyDescent="0.15">
      <c r="A333" s="10">
        <v>332</v>
      </c>
      <c r="B333" s="11" t="s">
        <v>9</v>
      </c>
      <c r="C333" s="11" t="s">
        <v>152</v>
      </c>
      <c r="D333" s="11" t="s">
        <v>153</v>
      </c>
      <c r="E333" s="9" t="str">
        <f>+HYPERLINK("http://trademark.i-assist.jp/data/china/image_1906th/79441594.pdf", "79441594")</f>
        <v>79441594</v>
      </c>
      <c r="F333" s="11" t="s">
        <v>1122</v>
      </c>
      <c r="G333" s="11" t="s">
        <v>1123</v>
      </c>
      <c r="H333" s="11" t="s">
        <v>1124</v>
      </c>
      <c r="I333" s="11" t="s">
        <v>112</v>
      </c>
    </row>
    <row r="334" spans="1:9" x14ac:dyDescent="0.15">
      <c r="A334" s="10">
        <v>333</v>
      </c>
      <c r="B334" s="11" t="s">
        <v>9</v>
      </c>
      <c r="C334" s="11" t="s">
        <v>152</v>
      </c>
      <c r="D334" s="11" t="s">
        <v>153</v>
      </c>
      <c r="E334" s="9" t="str">
        <f>+HYPERLINK("http://trademark.i-assist.jp/data/china/image_1906th/79441616.pdf", "79441616")</f>
        <v>79441616</v>
      </c>
      <c r="F334" s="11" t="s">
        <v>1125</v>
      </c>
      <c r="G334" s="11" t="s">
        <v>1126</v>
      </c>
      <c r="H334" s="11" t="s">
        <v>1127</v>
      </c>
      <c r="I334" s="11" t="s">
        <v>112</v>
      </c>
    </row>
    <row r="335" spans="1:9" x14ac:dyDescent="0.15">
      <c r="A335" s="10">
        <v>334</v>
      </c>
      <c r="B335" s="11" t="s">
        <v>9</v>
      </c>
      <c r="C335" s="11" t="s">
        <v>152</v>
      </c>
      <c r="D335" s="11" t="s">
        <v>153</v>
      </c>
      <c r="E335" s="9" t="str">
        <f>+HYPERLINK("http://trademark.i-assist.jp/data/china/image_1906th/79441825.pdf", "79441825")</f>
        <v>79441825</v>
      </c>
      <c r="F335" s="11" t="s">
        <v>1128</v>
      </c>
      <c r="G335" s="11" t="s">
        <v>114</v>
      </c>
      <c r="H335" s="11" t="s">
        <v>1129</v>
      </c>
      <c r="I335" s="11" t="s">
        <v>112</v>
      </c>
    </row>
    <row r="336" spans="1:9" x14ac:dyDescent="0.15">
      <c r="A336" s="10">
        <v>335</v>
      </c>
      <c r="B336" s="11" t="s">
        <v>9</v>
      </c>
      <c r="C336" s="11" t="s">
        <v>152</v>
      </c>
      <c r="D336" s="11" t="s">
        <v>153</v>
      </c>
      <c r="E336" s="9" t="str">
        <f>+HYPERLINK("http://trademark.i-assist.jp/data/china/image_1906th/79444760.pdf", "79444760")</f>
        <v>79444760</v>
      </c>
      <c r="F336" s="11" t="s">
        <v>1130</v>
      </c>
      <c r="G336" s="11" t="s">
        <v>1131</v>
      </c>
      <c r="H336" s="11" t="s">
        <v>1132</v>
      </c>
      <c r="I336" s="11" t="s">
        <v>112</v>
      </c>
    </row>
    <row r="337" spans="1:9" x14ac:dyDescent="0.15">
      <c r="A337" s="10">
        <v>336</v>
      </c>
      <c r="B337" s="11" t="s">
        <v>9</v>
      </c>
      <c r="C337" s="11" t="s">
        <v>152</v>
      </c>
      <c r="D337" s="11" t="s">
        <v>153</v>
      </c>
      <c r="E337" s="9" t="str">
        <f>+HYPERLINK("http://trademark.i-assist.jp/data/china/image_1906th/79444816.pdf", "79444816")</f>
        <v>79444816</v>
      </c>
      <c r="F337" s="11" t="s">
        <v>1133</v>
      </c>
      <c r="G337" s="11" t="s">
        <v>1120</v>
      </c>
      <c r="H337" s="11" t="s">
        <v>1134</v>
      </c>
      <c r="I337" s="11" t="s">
        <v>112</v>
      </c>
    </row>
    <row r="338" spans="1:9" x14ac:dyDescent="0.15">
      <c r="A338" s="10">
        <v>337</v>
      </c>
      <c r="B338" s="11" t="s">
        <v>9</v>
      </c>
      <c r="C338" s="11" t="s">
        <v>152</v>
      </c>
      <c r="D338" s="11" t="s">
        <v>153</v>
      </c>
      <c r="E338" s="9" t="str">
        <f>+HYPERLINK("http://trademark.i-assist.jp/data/china/image_1906th/79445349.pdf", "79445349")</f>
        <v>79445349</v>
      </c>
      <c r="F338" s="11" t="s">
        <v>1135</v>
      </c>
      <c r="G338" s="11" t="s">
        <v>1136</v>
      </c>
      <c r="H338" s="11" t="s">
        <v>1137</v>
      </c>
      <c r="I338" s="11" t="s">
        <v>112</v>
      </c>
    </row>
    <row r="339" spans="1:9" x14ac:dyDescent="0.15">
      <c r="A339" s="10">
        <v>338</v>
      </c>
      <c r="B339" s="11" t="s">
        <v>9</v>
      </c>
      <c r="C339" s="11" t="s">
        <v>152</v>
      </c>
      <c r="D339" s="11" t="s">
        <v>153</v>
      </c>
      <c r="E339" s="9" t="str">
        <f>+HYPERLINK("http://trademark.i-assist.jp/data/china/image_1906th/79446462.pdf", "79446462")</f>
        <v>79446462</v>
      </c>
      <c r="F339" s="11" t="s">
        <v>1138</v>
      </c>
      <c r="G339" s="11" t="s">
        <v>1139</v>
      </c>
      <c r="H339" s="11" t="s">
        <v>1140</v>
      </c>
      <c r="I339" s="11" t="s">
        <v>112</v>
      </c>
    </row>
    <row r="340" spans="1:9" x14ac:dyDescent="0.15">
      <c r="A340" s="10">
        <v>339</v>
      </c>
      <c r="B340" s="11" t="s">
        <v>9</v>
      </c>
      <c r="C340" s="11" t="s">
        <v>152</v>
      </c>
      <c r="D340" s="11" t="s">
        <v>153</v>
      </c>
      <c r="E340" s="9" t="str">
        <f>+HYPERLINK("http://trademark.i-assist.jp/data/china/image_1906th/79448837.pdf", "79448837")</f>
        <v>79448837</v>
      </c>
      <c r="F340" s="11" t="s">
        <v>12</v>
      </c>
      <c r="G340" s="11" t="s">
        <v>1141</v>
      </c>
      <c r="H340" s="11" t="s">
        <v>1142</v>
      </c>
      <c r="I340" s="11" t="s">
        <v>112</v>
      </c>
    </row>
    <row r="341" spans="1:9" x14ac:dyDescent="0.15">
      <c r="A341" s="10">
        <v>340</v>
      </c>
      <c r="B341" s="11" t="s">
        <v>9</v>
      </c>
      <c r="C341" s="11" t="s">
        <v>152</v>
      </c>
      <c r="D341" s="11" t="s">
        <v>153</v>
      </c>
      <c r="E341" s="9" t="str">
        <f>+HYPERLINK("http://trademark.i-assist.jp/data/china/image_1906th/79448860.pdf", "79448860")</f>
        <v>79448860</v>
      </c>
      <c r="F341" s="11" t="s">
        <v>1143</v>
      </c>
      <c r="G341" s="11" t="s">
        <v>1144</v>
      </c>
      <c r="H341" s="11" t="s">
        <v>1145</v>
      </c>
      <c r="I341" s="11" t="s">
        <v>112</v>
      </c>
    </row>
    <row r="342" spans="1:9" x14ac:dyDescent="0.15">
      <c r="A342" s="10">
        <v>341</v>
      </c>
      <c r="B342" s="11" t="s">
        <v>9</v>
      </c>
      <c r="C342" s="11" t="s">
        <v>152</v>
      </c>
      <c r="D342" s="11" t="s">
        <v>153</v>
      </c>
      <c r="E342" s="9" t="str">
        <f>+HYPERLINK("http://trademark.i-assist.jp/data/china/image_1906th/79450002.pdf", "79450002")</f>
        <v>79450002</v>
      </c>
      <c r="F342" s="11" t="s">
        <v>1146</v>
      </c>
      <c r="G342" s="11" t="s">
        <v>1147</v>
      </c>
      <c r="H342" s="11" t="s">
        <v>1148</v>
      </c>
      <c r="I342" s="11" t="s">
        <v>112</v>
      </c>
    </row>
    <row r="343" spans="1:9" x14ac:dyDescent="0.15">
      <c r="A343" s="10">
        <v>342</v>
      </c>
      <c r="B343" s="11" t="s">
        <v>9</v>
      </c>
      <c r="C343" s="11" t="s">
        <v>152</v>
      </c>
      <c r="D343" s="11" t="s">
        <v>153</v>
      </c>
      <c r="E343" s="9" t="str">
        <f>+HYPERLINK("http://trademark.i-assist.jp/data/china/image_1906th/79451227.pdf", "79451227")</f>
        <v>79451227</v>
      </c>
      <c r="F343" s="11" t="s">
        <v>1149</v>
      </c>
      <c r="G343" s="11" t="s">
        <v>1150</v>
      </c>
      <c r="H343" s="11" t="s">
        <v>1151</v>
      </c>
      <c r="I343" s="11" t="s">
        <v>112</v>
      </c>
    </row>
    <row r="344" spans="1:9" x14ac:dyDescent="0.15">
      <c r="A344" s="10">
        <v>343</v>
      </c>
      <c r="B344" s="11" t="s">
        <v>9</v>
      </c>
      <c r="C344" s="11" t="s">
        <v>152</v>
      </c>
      <c r="D344" s="11" t="s">
        <v>153</v>
      </c>
      <c r="E344" s="9" t="str">
        <f>+HYPERLINK("http://trademark.i-assist.jp/data/china/image_1906th/79454613.pdf", "79454613")</f>
        <v>79454613</v>
      </c>
      <c r="F344" s="11" t="s">
        <v>1152</v>
      </c>
      <c r="G344" s="11" t="s">
        <v>1153</v>
      </c>
      <c r="H344" s="11" t="s">
        <v>1154</v>
      </c>
      <c r="I344" s="11" t="s">
        <v>112</v>
      </c>
    </row>
    <row r="345" spans="1:9" x14ac:dyDescent="0.15">
      <c r="A345" s="10">
        <v>344</v>
      </c>
      <c r="B345" s="11" t="s">
        <v>9</v>
      </c>
      <c r="C345" s="11" t="s">
        <v>152</v>
      </c>
      <c r="D345" s="11" t="s">
        <v>153</v>
      </c>
      <c r="E345" s="9" t="str">
        <f>+HYPERLINK("http://trademark.i-assist.jp/data/china/image_1906th/79455447.pdf", "79455447")</f>
        <v>79455447</v>
      </c>
      <c r="F345" s="11" t="s">
        <v>1155</v>
      </c>
      <c r="G345" s="11" t="s">
        <v>1156</v>
      </c>
      <c r="H345" s="11" t="s">
        <v>1157</v>
      </c>
      <c r="I345" s="11" t="s">
        <v>112</v>
      </c>
    </row>
    <row r="346" spans="1:9" x14ac:dyDescent="0.15">
      <c r="A346" s="10">
        <v>345</v>
      </c>
      <c r="B346" s="11" t="s">
        <v>9</v>
      </c>
      <c r="C346" s="11" t="s">
        <v>152</v>
      </c>
      <c r="D346" s="11" t="s">
        <v>153</v>
      </c>
      <c r="E346" s="9" t="str">
        <f>+HYPERLINK("http://trademark.i-assist.jp/data/china/image_1906th/79456870.pdf", "79456870")</f>
        <v>79456870</v>
      </c>
      <c r="F346" s="11" t="s">
        <v>1158</v>
      </c>
      <c r="G346" s="11" t="s">
        <v>82</v>
      </c>
      <c r="H346" s="11" t="s">
        <v>1159</v>
      </c>
      <c r="I346" s="11" t="s">
        <v>112</v>
      </c>
    </row>
    <row r="347" spans="1:9" x14ac:dyDescent="0.15">
      <c r="A347" s="10">
        <v>346</v>
      </c>
      <c r="B347" s="11" t="s">
        <v>9</v>
      </c>
      <c r="C347" s="11" t="s">
        <v>152</v>
      </c>
      <c r="D347" s="11" t="s">
        <v>153</v>
      </c>
      <c r="E347" s="9" t="str">
        <f>+HYPERLINK("http://trademark.i-assist.jp/data/china/image_1906th/79456951.pdf", "79456951")</f>
        <v>79456951</v>
      </c>
      <c r="F347" s="11" t="s">
        <v>1160</v>
      </c>
      <c r="G347" s="11" t="s">
        <v>1161</v>
      </c>
      <c r="H347" s="11" t="s">
        <v>1162</v>
      </c>
      <c r="I347" s="11" t="s">
        <v>112</v>
      </c>
    </row>
    <row r="348" spans="1:9" x14ac:dyDescent="0.15">
      <c r="A348" s="10">
        <v>347</v>
      </c>
      <c r="B348" s="11" t="s">
        <v>9</v>
      </c>
      <c r="C348" s="11" t="s">
        <v>152</v>
      </c>
      <c r="D348" s="11" t="s">
        <v>153</v>
      </c>
      <c r="E348" s="9" t="str">
        <f>+HYPERLINK("http://trademark.i-assist.jp/data/china/image_1906th/79457444.pdf", "79457444")</f>
        <v>79457444</v>
      </c>
      <c r="F348" s="11" t="s">
        <v>1163</v>
      </c>
      <c r="G348" s="11" t="s">
        <v>1164</v>
      </c>
      <c r="H348" s="11" t="s">
        <v>1165</v>
      </c>
      <c r="I348" s="11" t="s">
        <v>112</v>
      </c>
    </row>
    <row r="349" spans="1:9" x14ac:dyDescent="0.15">
      <c r="A349" s="10">
        <v>348</v>
      </c>
      <c r="B349" s="11" t="s">
        <v>9</v>
      </c>
      <c r="C349" s="11" t="s">
        <v>152</v>
      </c>
      <c r="D349" s="11" t="s">
        <v>153</v>
      </c>
      <c r="E349" s="9" t="str">
        <f>+HYPERLINK("http://trademark.i-assist.jp/data/china/image_1906th/79458136.pdf", "79458136")</f>
        <v>79458136</v>
      </c>
      <c r="F349" s="11" t="s">
        <v>12</v>
      </c>
      <c r="G349" s="11" t="s">
        <v>1166</v>
      </c>
      <c r="H349" s="11" t="s">
        <v>1167</v>
      </c>
      <c r="I349" s="11" t="s">
        <v>112</v>
      </c>
    </row>
    <row r="350" spans="1:9" x14ac:dyDescent="0.15">
      <c r="A350" s="10">
        <v>349</v>
      </c>
      <c r="B350" s="11" t="s">
        <v>9</v>
      </c>
      <c r="C350" s="11" t="s">
        <v>152</v>
      </c>
      <c r="D350" s="11" t="s">
        <v>153</v>
      </c>
      <c r="E350" s="9" t="str">
        <f>+HYPERLINK("http://trademark.i-assist.jp/data/china/image_1906th/79460820.pdf", "79460820")</f>
        <v>79460820</v>
      </c>
      <c r="F350" s="11" t="s">
        <v>1168</v>
      </c>
      <c r="G350" s="11" t="s">
        <v>1169</v>
      </c>
      <c r="H350" s="11" t="s">
        <v>1170</v>
      </c>
      <c r="I350" s="11" t="s">
        <v>112</v>
      </c>
    </row>
    <row r="351" spans="1:9" x14ac:dyDescent="0.15">
      <c r="A351" s="10">
        <v>350</v>
      </c>
      <c r="B351" s="11" t="s">
        <v>9</v>
      </c>
      <c r="C351" s="11" t="s">
        <v>152</v>
      </c>
      <c r="D351" s="11" t="s">
        <v>153</v>
      </c>
      <c r="E351" s="9" t="str">
        <f>+HYPERLINK("http://trademark.i-assist.jp/data/china/image_1906th/79463222.pdf", "79463222")</f>
        <v>79463222</v>
      </c>
      <c r="F351" s="11" t="s">
        <v>1171</v>
      </c>
      <c r="G351" s="11" t="s">
        <v>1123</v>
      </c>
      <c r="H351" s="11" t="s">
        <v>1172</v>
      </c>
      <c r="I351" s="11" t="s">
        <v>112</v>
      </c>
    </row>
    <row r="352" spans="1:9" x14ac:dyDescent="0.15">
      <c r="A352" s="10">
        <v>351</v>
      </c>
      <c r="B352" s="11" t="s">
        <v>9</v>
      </c>
      <c r="C352" s="11" t="s">
        <v>152</v>
      </c>
      <c r="D352" s="11" t="s">
        <v>153</v>
      </c>
      <c r="E352" s="9" t="str">
        <f>+HYPERLINK("http://trademark.i-assist.jp/data/china/image_1906th/79464908.pdf", "79464908")</f>
        <v>79464908</v>
      </c>
      <c r="F352" s="11" t="s">
        <v>1173</v>
      </c>
      <c r="G352" s="11" t="s">
        <v>22</v>
      </c>
      <c r="H352" s="11" t="s">
        <v>1174</v>
      </c>
      <c r="I352" s="11" t="s">
        <v>115</v>
      </c>
    </row>
    <row r="353" spans="1:9" x14ac:dyDescent="0.15">
      <c r="A353" s="10">
        <v>352</v>
      </c>
      <c r="B353" s="11" t="s">
        <v>9</v>
      </c>
      <c r="C353" s="11" t="s">
        <v>152</v>
      </c>
      <c r="D353" s="11" t="s">
        <v>153</v>
      </c>
      <c r="E353" s="9" t="str">
        <f>+HYPERLINK("http://trademark.i-assist.jp/data/china/image_1906th/79465537.pdf", "79465537")</f>
        <v>79465537</v>
      </c>
      <c r="F353" s="11" t="s">
        <v>1175</v>
      </c>
      <c r="G353" s="11" t="s">
        <v>1176</v>
      </c>
      <c r="H353" s="11" t="s">
        <v>1177</v>
      </c>
      <c r="I353" s="11" t="s">
        <v>115</v>
      </c>
    </row>
    <row r="354" spans="1:9" x14ac:dyDescent="0.15">
      <c r="A354" s="10">
        <v>353</v>
      </c>
      <c r="B354" s="11" t="s">
        <v>9</v>
      </c>
      <c r="C354" s="11" t="s">
        <v>152</v>
      </c>
      <c r="D354" s="11" t="s">
        <v>153</v>
      </c>
      <c r="E354" s="9" t="str">
        <f>+HYPERLINK("http://trademark.i-assist.jp/data/china/image_1906th/79466031.pdf", "79466031")</f>
        <v>79466031</v>
      </c>
      <c r="F354" s="11" t="s">
        <v>1178</v>
      </c>
      <c r="G354" s="11" t="s">
        <v>1179</v>
      </c>
      <c r="H354" s="11" t="s">
        <v>1180</v>
      </c>
      <c r="I354" s="11" t="s">
        <v>115</v>
      </c>
    </row>
    <row r="355" spans="1:9" x14ac:dyDescent="0.15">
      <c r="A355" s="10">
        <v>354</v>
      </c>
      <c r="B355" s="11" t="s">
        <v>9</v>
      </c>
      <c r="C355" s="11" t="s">
        <v>152</v>
      </c>
      <c r="D355" s="11" t="s">
        <v>153</v>
      </c>
      <c r="E355" s="9" t="str">
        <f>+HYPERLINK("http://trademark.i-assist.jp/data/china/image_1906th/79466781.pdf", "79466781")</f>
        <v>79466781</v>
      </c>
      <c r="F355" s="11" t="s">
        <v>1181</v>
      </c>
      <c r="G355" s="11" t="s">
        <v>1182</v>
      </c>
      <c r="H355" s="11" t="s">
        <v>1183</v>
      </c>
      <c r="I355" s="11" t="s">
        <v>115</v>
      </c>
    </row>
    <row r="356" spans="1:9" x14ac:dyDescent="0.15">
      <c r="A356" s="10">
        <v>355</v>
      </c>
      <c r="B356" s="11" t="s">
        <v>9</v>
      </c>
      <c r="C356" s="11" t="s">
        <v>152</v>
      </c>
      <c r="D356" s="11" t="s">
        <v>153</v>
      </c>
      <c r="E356" s="9" t="str">
        <f>+HYPERLINK("http://trademark.i-assist.jp/data/china/image_1906th/79468806.pdf", "79468806")</f>
        <v>79468806</v>
      </c>
      <c r="F356" s="11" t="s">
        <v>1184</v>
      </c>
      <c r="G356" s="11" t="s">
        <v>1185</v>
      </c>
      <c r="H356" s="11" t="s">
        <v>1186</v>
      </c>
      <c r="I356" s="11" t="s">
        <v>115</v>
      </c>
    </row>
    <row r="357" spans="1:9" x14ac:dyDescent="0.15">
      <c r="A357" s="10">
        <v>356</v>
      </c>
      <c r="B357" s="11" t="s">
        <v>9</v>
      </c>
      <c r="C357" s="11" t="s">
        <v>152</v>
      </c>
      <c r="D357" s="11" t="s">
        <v>153</v>
      </c>
      <c r="E357" s="9" t="str">
        <f>+HYPERLINK("http://trademark.i-assist.jp/data/china/image_1906th/79469300.pdf", "79469300")</f>
        <v>79469300</v>
      </c>
      <c r="F357" s="11" t="s">
        <v>1187</v>
      </c>
      <c r="G357" s="11" t="s">
        <v>1188</v>
      </c>
      <c r="H357" s="11" t="s">
        <v>1189</v>
      </c>
      <c r="I357" s="11" t="s">
        <v>115</v>
      </c>
    </row>
    <row r="358" spans="1:9" x14ac:dyDescent="0.15">
      <c r="A358" s="10">
        <v>357</v>
      </c>
      <c r="B358" s="11" t="s">
        <v>9</v>
      </c>
      <c r="C358" s="11" t="s">
        <v>152</v>
      </c>
      <c r="D358" s="11" t="s">
        <v>153</v>
      </c>
      <c r="E358" s="9" t="str">
        <f>+HYPERLINK("http://trademark.i-assist.jp/data/china/image_1906th/79469707.pdf", "79469707")</f>
        <v>79469707</v>
      </c>
      <c r="F358" s="11" t="s">
        <v>1190</v>
      </c>
      <c r="G358" s="11" t="s">
        <v>1191</v>
      </c>
      <c r="H358" s="11" t="s">
        <v>1192</v>
      </c>
      <c r="I358" s="11" t="s">
        <v>115</v>
      </c>
    </row>
    <row r="359" spans="1:9" x14ac:dyDescent="0.15">
      <c r="A359" s="10">
        <v>358</v>
      </c>
      <c r="B359" s="11" t="s">
        <v>9</v>
      </c>
      <c r="C359" s="11" t="s">
        <v>152</v>
      </c>
      <c r="D359" s="11" t="s">
        <v>153</v>
      </c>
      <c r="E359" s="9" t="str">
        <f>+HYPERLINK("http://trademark.i-assist.jp/data/china/image_1906th/79470453.pdf", "79470453")</f>
        <v>79470453</v>
      </c>
      <c r="F359" s="11" t="s">
        <v>1193</v>
      </c>
      <c r="G359" s="11" t="s">
        <v>1194</v>
      </c>
      <c r="H359" s="11" t="s">
        <v>1195</v>
      </c>
      <c r="I359" s="11" t="s">
        <v>115</v>
      </c>
    </row>
    <row r="360" spans="1:9" x14ac:dyDescent="0.15">
      <c r="A360" s="10">
        <v>359</v>
      </c>
      <c r="B360" s="11" t="s">
        <v>9</v>
      </c>
      <c r="C360" s="11" t="s">
        <v>152</v>
      </c>
      <c r="D360" s="11" t="s">
        <v>153</v>
      </c>
      <c r="E360" s="9" t="str">
        <f>+HYPERLINK("http://trademark.i-assist.jp/data/china/image_1906th/79470567.pdf", "79470567")</f>
        <v>79470567</v>
      </c>
      <c r="F360" s="11" t="s">
        <v>1196</v>
      </c>
      <c r="G360" s="11" t="s">
        <v>1197</v>
      </c>
      <c r="H360" s="11" t="s">
        <v>1198</v>
      </c>
      <c r="I360" s="11" t="s">
        <v>115</v>
      </c>
    </row>
    <row r="361" spans="1:9" x14ac:dyDescent="0.15">
      <c r="A361" s="10">
        <v>360</v>
      </c>
      <c r="B361" s="11" t="s">
        <v>9</v>
      </c>
      <c r="C361" s="11" t="s">
        <v>152</v>
      </c>
      <c r="D361" s="11" t="s">
        <v>153</v>
      </c>
      <c r="E361" s="9" t="str">
        <f>+HYPERLINK("http://trademark.i-assist.jp/data/china/image_1906th/79473014.pdf", "79473014")</f>
        <v>79473014</v>
      </c>
      <c r="F361" s="11" t="s">
        <v>1199</v>
      </c>
      <c r="G361" s="11" t="s">
        <v>1200</v>
      </c>
      <c r="H361" s="11" t="s">
        <v>1201</v>
      </c>
      <c r="I361" s="11" t="s">
        <v>115</v>
      </c>
    </row>
    <row r="362" spans="1:9" x14ac:dyDescent="0.15">
      <c r="A362" s="10">
        <v>361</v>
      </c>
      <c r="B362" s="11" t="s">
        <v>9</v>
      </c>
      <c r="C362" s="11" t="s">
        <v>152</v>
      </c>
      <c r="D362" s="11" t="s">
        <v>153</v>
      </c>
      <c r="E362" s="9" t="str">
        <f>+HYPERLINK("http://trademark.i-assist.jp/data/china/image_1906th/79473162.pdf", "79473162")</f>
        <v>79473162</v>
      </c>
      <c r="F362" s="11" t="s">
        <v>1202</v>
      </c>
      <c r="G362" s="11" t="s">
        <v>1203</v>
      </c>
      <c r="H362" s="11" t="s">
        <v>1204</v>
      </c>
      <c r="I362" s="11" t="s">
        <v>115</v>
      </c>
    </row>
    <row r="363" spans="1:9" x14ac:dyDescent="0.15">
      <c r="A363" s="10">
        <v>362</v>
      </c>
      <c r="B363" s="11" t="s">
        <v>9</v>
      </c>
      <c r="C363" s="11" t="s">
        <v>152</v>
      </c>
      <c r="D363" s="11" t="s">
        <v>153</v>
      </c>
      <c r="E363" s="9" t="str">
        <f>+HYPERLINK("http://trademark.i-assist.jp/data/china/image_1906th/79473208.pdf", "79473208")</f>
        <v>79473208</v>
      </c>
      <c r="F363" s="11" t="s">
        <v>1205</v>
      </c>
      <c r="G363" s="11" t="s">
        <v>1206</v>
      </c>
      <c r="H363" s="11" t="s">
        <v>1207</v>
      </c>
      <c r="I363" s="11" t="s">
        <v>115</v>
      </c>
    </row>
    <row r="364" spans="1:9" x14ac:dyDescent="0.15">
      <c r="A364" s="10">
        <v>363</v>
      </c>
      <c r="B364" s="11" t="s">
        <v>9</v>
      </c>
      <c r="C364" s="11" t="s">
        <v>152</v>
      </c>
      <c r="D364" s="11" t="s">
        <v>153</v>
      </c>
      <c r="E364" s="9" t="str">
        <f>+HYPERLINK("http://trademark.i-assist.jp/data/china/image_1906th/79474126.pdf", "79474126")</f>
        <v>79474126</v>
      </c>
      <c r="F364" s="11" t="s">
        <v>1208</v>
      </c>
      <c r="G364" s="11" t="s">
        <v>1209</v>
      </c>
      <c r="H364" s="11" t="s">
        <v>1210</v>
      </c>
      <c r="I364" s="11" t="s">
        <v>115</v>
      </c>
    </row>
    <row r="365" spans="1:9" x14ac:dyDescent="0.15">
      <c r="A365" s="10">
        <v>364</v>
      </c>
      <c r="B365" s="11" t="s">
        <v>9</v>
      </c>
      <c r="C365" s="11" t="s">
        <v>152</v>
      </c>
      <c r="D365" s="11" t="s">
        <v>153</v>
      </c>
      <c r="E365" s="9" t="str">
        <f>+HYPERLINK("http://trademark.i-assist.jp/data/china/image_1906th/79475827.pdf", "79475827")</f>
        <v>79475827</v>
      </c>
      <c r="F365" s="11" t="s">
        <v>1211</v>
      </c>
      <c r="G365" s="11" t="s">
        <v>1212</v>
      </c>
      <c r="H365" s="11" t="s">
        <v>1213</v>
      </c>
      <c r="I365" s="11" t="s">
        <v>115</v>
      </c>
    </row>
    <row r="366" spans="1:9" x14ac:dyDescent="0.15">
      <c r="A366" s="10">
        <v>365</v>
      </c>
      <c r="B366" s="11" t="s">
        <v>9</v>
      </c>
      <c r="C366" s="11" t="s">
        <v>152</v>
      </c>
      <c r="D366" s="11" t="s">
        <v>153</v>
      </c>
      <c r="E366" s="9" t="str">
        <f>+HYPERLINK("http://trademark.i-assist.jp/data/china/image_1906th/79476022.pdf", "79476022")</f>
        <v>79476022</v>
      </c>
      <c r="F366" s="11" t="s">
        <v>1214</v>
      </c>
      <c r="G366" s="11" t="s">
        <v>1215</v>
      </c>
      <c r="H366" s="11" t="s">
        <v>1216</v>
      </c>
      <c r="I366" s="11" t="s">
        <v>115</v>
      </c>
    </row>
    <row r="367" spans="1:9" x14ac:dyDescent="0.15">
      <c r="A367" s="10">
        <v>366</v>
      </c>
      <c r="B367" s="11" t="s">
        <v>9</v>
      </c>
      <c r="C367" s="11" t="s">
        <v>152</v>
      </c>
      <c r="D367" s="11" t="s">
        <v>153</v>
      </c>
      <c r="E367" s="9" t="str">
        <f>+HYPERLINK("http://trademark.i-assist.jp/data/china/image_1906th/79476612.pdf", "79476612")</f>
        <v>79476612</v>
      </c>
      <c r="F367" s="11" t="s">
        <v>1217</v>
      </c>
      <c r="G367" s="11" t="s">
        <v>1218</v>
      </c>
      <c r="H367" s="11" t="s">
        <v>1219</v>
      </c>
      <c r="I367" s="11" t="s">
        <v>115</v>
      </c>
    </row>
    <row r="368" spans="1:9" x14ac:dyDescent="0.15">
      <c r="A368" s="10">
        <v>367</v>
      </c>
      <c r="B368" s="11" t="s">
        <v>9</v>
      </c>
      <c r="C368" s="11" t="s">
        <v>152</v>
      </c>
      <c r="D368" s="11" t="s">
        <v>153</v>
      </c>
      <c r="E368" s="9" t="str">
        <f>+HYPERLINK("http://trademark.i-assist.jp/data/china/image_1906th/79478314.pdf", "79478314")</f>
        <v>79478314</v>
      </c>
      <c r="F368" s="11" t="s">
        <v>1220</v>
      </c>
      <c r="G368" s="11" t="s">
        <v>1221</v>
      </c>
      <c r="H368" s="11" t="s">
        <v>1222</v>
      </c>
      <c r="I368" s="11" t="s">
        <v>115</v>
      </c>
    </row>
    <row r="369" spans="1:9" x14ac:dyDescent="0.15">
      <c r="A369" s="10">
        <v>368</v>
      </c>
      <c r="B369" s="11" t="s">
        <v>9</v>
      </c>
      <c r="C369" s="11" t="s">
        <v>152</v>
      </c>
      <c r="D369" s="11" t="s">
        <v>153</v>
      </c>
      <c r="E369" s="9" t="str">
        <f>+HYPERLINK("http://trademark.i-assist.jp/data/china/image_1906th/79478569.pdf", "79478569")</f>
        <v>79478569</v>
      </c>
      <c r="F369" s="11" t="s">
        <v>1223</v>
      </c>
      <c r="G369" s="11" t="s">
        <v>1224</v>
      </c>
      <c r="H369" s="11" t="s">
        <v>1225</v>
      </c>
      <c r="I369" s="11" t="s">
        <v>115</v>
      </c>
    </row>
    <row r="370" spans="1:9" x14ac:dyDescent="0.15">
      <c r="A370" s="10">
        <v>369</v>
      </c>
      <c r="B370" s="11" t="s">
        <v>9</v>
      </c>
      <c r="C370" s="11" t="s">
        <v>152</v>
      </c>
      <c r="D370" s="11" t="s">
        <v>153</v>
      </c>
      <c r="E370" s="9" t="str">
        <f>+HYPERLINK("http://trademark.i-assist.jp/data/china/image_1906th/79481147.pdf", "79481147")</f>
        <v>79481147</v>
      </c>
      <c r="F370" s="11" t="s">
        <v>1226</v>
      </c>
      <c r="G370" s="11" t="s">
        <v>1227</v>
      </c>
      <c r="H370" s="11" t="s">
        <v>1228</v>
      </c>
      <c r="I370" s="11" t="s">
        <v>115</v>
      </c>
    </row>
    <row r="371" spans="1:9" x14ac:dyDescent="0.15">
      <c r="A371" s="10">
        <v>370</v>
      </c>
      <c r="B371" s="11" t="s">
        <v>9</v>
      </c>
      <c r="C371" s="11" t="s">
        <v>152</v>
      </c>
      <c r="D371" s="11" t="s">
        <v>153</v>
      </c>
      <c r="E371" s="9" t="str">
        <f>+HYPERLINK("http://trademark.i-assist.jp/data/china/image_1906th/79481416.pdf", "79481416")</f>
        <v>79481416</v>
      </c>
      <c r="F371" s="11" t="s">
        <v>1229</v>
      </c>
      <c r="G371" s="11" t="s">
        <v>1230</v>
      </c>
      <c r="H371" s="11" t="s">
        <v>1231</v>
      </c>
      <c r="I371" s="11" t="s">
        <v>115</v>
      </c>
    </row>
    <row r="372" spans="1:9" x14ac:dyDescent="0.15">
      <c r="A372" s="10">
        <v>371</v>
      </c>
      <c r="B372" s="11" t="s">
        <v>9</v>
      </c>
      <c r="C372" s="11" t="s">
        <v>152</v>
      </c>
      <c r="D372" s="11" t="s">
        <v>153</v>
      </c>
      <c r="E372" s="9" t="str">
        <f>+HYPERLINK("http://trademark.i-assist.jp/data/china/image_1906th/79481494.pdf", "79481494")</f>
        <v>79481494</v>
      </c>
      <c r="F372" s="11" t="s">
        <v>1232</v>
      </c>
      <c r="G372" s="11" t="s">
        <v>1233</v>
      </c>
      <c r="H372" s="11" t="s">
        <v>1234</v>
      </c>
      <c r="I372" s="11" t="s">
        <v>115</v>
      </c>
    </row>
    <row r="373" spans="1:9" x14ac:dyDescent="0.15">
      <c r="A373" s="10">
        <v>372</v>
      </c>
      <c r="B373" s="11" t="s">
        <v>9</v>
      </c>
      <c r="C373" s="11" t="s">
        <v>152</v>
      </c>
      <c r="D373" s="11" t="s">
        <v>153</v>
      </c>
      <c r="E373" s="9" t="str">
        <f>+HYPERLINK("http://trademark.i-assist.jp/data/china/image_1906th/79481543.pdf", "79481543")</f>
        <v>79481543</v>
      </c>
      <c r="F373" s="11" t="s">
        <v>1235</v>
      </c>
      <c r="G373" s="11" t="s">
        <v>1215</v>
      </c>
      <c r="H373" s="11" t="s">
        <v>1236</v>
      </c>
      <c r="I373" s="11" t="s">
        <v>115</v>
      </c>
    </row>
    <row r="374" spans="1:9" x14ac:dyDescent="0.15">
      <c r="A374" s="10">
        <v>373</v>
      </c>
      <c r="B374" s="11" t="s">
        <v>9</v>
      </c>
      <c r="C374" s="11" t="s">
        <v>152</v>
      </c>
      <c r="D374" s="11" t="s">
        <v>153</v>
      </c>
      <c r="E374" s="9" t="str">
        <f>+HYPERLINK("http://trademark.i-assist.jp/data/china/image_1906th/79482844.pdf", "79482844")</f>
        <v>79482844</v>
      </c>
      <c r="F374" s="11" t="s">
        <v>1237</v>
      </c>
      <c r="G374" s="11" t="s">
        <v>1238</v>
      </c>
      <c r="H374" s="11" t="s">
        <v>1239</v>
      </c>
      <c r="I374" s="11" t="s">
        <v>115</v>
      </c>
    </row>
    <row r="375" spans="1:9" x14ac:dyDescent="0.15">
      <c r="A375" s="10">
        <v>374</v>
      </c>
      <c r="B375" s="11" t="s">
        <v>9</v>
      </c>
      <c r="C375" s="11" t="s">
        <v>152</v>
      </c>
      <c r="D375" s="11" t="s">
        <v>153</v>
      </c>
      <c r="E375" s="9" t="str">
        <f>+HYPERLINK("http://trademark.i-assist.jp/data/china/image_1906th/79483587.pdf", "79483587")</f>
        <v>79483587</v>
      </c>
      <c r="F375" s="11" t="s">
        <v>1240</v>
      </c>
      <c r="G375" s="11" t="s">
        <v>1241</v>
      </c>
      <c r="H375" s="11" t="s">
        <v>1242</v>
      </c>
      <c r="I375" s="11" t="s">
        <v>115</v>
      </c>
    </row>
    <row r="376" spans="1:9" x14ac:dyDescent="0.15">
      <c r="A376" s="10">
        <v>375</v>
      </c>
      <c r="B376" s="11" t="s">
        <v>9</v>
      </c>
      <c r="C376" s="11" t="s">
        <v>152</v>
      </c>
      <c r="D376" s="11" t="s">
        <v>153</v>
      </c>
      <c r="E376" s="9" t="str">
        <f>+HYPERLINK("http://trademark.i-assist.jp/data/china/image_1906th/79485195.pdf", "79485195")</f>
        <v>79485195</v>
      </c>
      <c r="F376" s="11" t="s">
        <v>12</v>
      </c>
      <c r="G376" s="11" t="s">
        <v>1243</v>
      </c>
      <c r="H376" s="11" t="s">
        <v>1244</v>
      </c>
      <c r="I376" s="11" t="s">
        <v>115</v>
      </c>
    </row>
    <row r="377" spans="1:9" x14ac:dyDescent="0.15">
      <c r="A377" s="10">
        <v>376</v>
      </c>
      <c r="B377" s="11" t="s">
        <v>9</v>
      </c>
      <c r="C377" s="11" t="s">
        <v>152</v>
      </c>
      <c r="D377" s="11" t="s">
        <v>153</v>
      </c>
      <c r="E377" s="9" t="str">
        <f>+HYPERLINK("http://trademark.i-assist.jp/data/china/image_1906th/79487363.pdf", "79487363")</f>
        <v>79487363</v>
      </c>
      <c r="F377" s="11" t="s">
        <v>1245</v>
      </c>
      <c r="G377" s="11" t="s">
        <v>1246</v>
      </c>
      <c r="H377" s="11" t="s">
        <v>1247</v>
      </c>
      <c r="I377" s="11" t="s">
        <v>115</v>
      </c>
    </row>
    <row r="378" spans="1:9" x14ac:dyDescent="0.15">
      <c r="A378" s="10">
        <v>377</v>
      </c>
      <c r="B378" s="11" t="s">
        <v>9</v>
      </c>
      <c r="C378" s="11" t="s">
        <v>152</v>
      </c>
      <c r="D378" s="11" t="s">
        <v>153</v>
      </c>
      <c r="E378" s="9" t="str">
        <f>+HYPERLINK("http://trademark.i-assist.jp/data/china/image_1906th/79487640.pdf", "79487640")</f>
        <v>79487640</v>
      </c>
      <c r="F378" s="11" t="s">
        <v>1248</v>
      </c>
      <c r="G378" s="11" t="s">
        <v>1249</v>
      </c>
      <c r="H378" s="11" t="s">
        <v>1250</v>
      </c>
      <c r="I378" s="11" t="s">
        <v>115</v>
      </c>
    </row>
    <row r="379" spans="1:9" x14ac:dyDescent="0.15">
      <c r="A379" s="10">
        <v>378</v>
      </c>
      <c r="B379" s="11" t="s">
        <v>9</v>
      </c>
      <c r="C379" s="11" t="s">
        <v>152</v>
      </c>
      <c r="D379" s="11" t="s">
        <v>153</v>
      </c>
      <c r="E379" s="9" t="str">
        <f>+HYPERLINK("http://trademark.i-assist.jp/data/china/image_1906th/79487653.pdf", "79487653")</f>
        <v>79487653</v>
      </c>
      <c r="F379" s="11" t="s">
        <v>1251</v>
      </c>
      <c r="G379" s="11" t="s">
        <v>1252</v>
      </c>
      <c r="H379" s="11" t="s">
        <v>1253</v>
      </c>
      <c r="I379" s="11" t="s">
        <v>115</v>
      </c>
    </row>
    <row r="380" spans="1:9" x14ac:dyDescent="0.15">
      <c r="A380" s="10">
        <v>379</v>
      </c>
      <c r="B380" s="11" t="s">
        <v>9</v>
      </c>
      <c r="C380" s="11" t="s">
        <v>152</v>
      </c>
      <c r="D380" s="11" t="s">
        <v>153</v>
      </c>
      <c r="E380" s="9" t="str">
        <f>+HYPERLINK("http://trademark.i-assist.jp/data/china/image_1906th/79488817.pdf", "79488817")</f>
        <v>79488817</v>
      </c>
      <c r="F380" s="11" t="s">
        <v>1254</v>
      </c>
      <c r="G380" s="11" t="s">
        <v>1255</v>
      </c>
      <c r="H380" s="11" t="s">
        <v>1256</v>
      </c>
      <c r="I380" s="11" t="s">
        <v>116</v>
      </c>
    </row>
    <row r="381" spans="1:9" x14ac:dyDescent="0.15">
      <c r="A381" s="10">
        <v>380</v>
      </c>
      <c r="B381" s="11" t="s">
        <v>9</v>
      </c>
      <c r="C381" s="11" t="s">
        <v>152</v>
      </c>
      <c r="D381" s="11" t="s">
        <v>153</v>
      </c>
      <c r="E381" s="9" t="str">
        <f>+HYPERLINK("http://trademark.i-assist.jp/data/china/image_1906th/79489382.pdf", "79489382")</f>
        <v>79489382</v>
      </c>
      <c r="F381" s="11" t="s">
        <v>1257</v>
      </c>
      <c r="G381" s="11" t="s">
        <v>1258</v>
      </c>
      <c r="H381" s="11" t="s">
        <v>1259</v>
      </c>
      <c r="I381" s="11" t="s">
        <v>116</v>
      </c>
    </row>
    <row r="382" spans="1:9" x14ac:dyDescent="0.15">
      <c r="A382" s="10">
        <v>381</v>
      </c>
      <c r="B382" s="11" t="s">
        <v>9</v>
      </c>
      <c r="C382" s="11" t="s">
        <v>152</v>
      </c>
      <c r="D382" s="11" t="s">
        <v>153</v>
      </c>
      <c r="E382" s="9" t="str">
        <f>+HYPERLINK("http://trademark.i-assist.jp/data/china/image_1906th/79489577.pdf", "79489577")</f>
        <v>79489577</v>
      </c>
      <c r="F382" s="11" t="s">
        <v>1260</v>
      </c>
      <c r="G382" s="11" t="s">
        <v>67</v>
      </c>
      <c r="H382" s="11" t="s">
        <v>1261</v>
      </c>
      <c r="I382" s="11" t="s">
        <v>116</v>
      </c>
    </row>
    <row r="383" spans="1:9" x14ac:dyDescent="0.15">
      <c r="A383" s="10">
        <v>382</v>
      </c>
      <c r="B383" s="11" t="s">
        <v>9</v>
      </c>
      <c r="C383" s="11" t="s">
        <v>152</v>
      </c>
      <c r="D383" s="11" t="s">
        <v>153</v>
      </c>
      <c r="E383" s="9" t="str">
        <f>+HYPERLINK("http://trademark.i-assist.jp/data/china/image_1906th/79489830.pdf", "79489830")</f>
        <v>79489830</v>
      </c>
      <c r="F383" s="11" t="s">
        <v>1262</v>
      </c>
      <c r="G383" s="11" t="s">
        <v>110</v>
      </c>
      <c r="H383" s="11" t="s">
        <v>1263</v>
      </c>
      <c r="I383" s="11" t="s">
        <v>116</v>
      </c>
    </row>
    <row r="384" spans="1:9" x14ac:dyDescent="0.15">
      <c r="A384" s="10">
        <v>383</v>
      </c>
      <c r="B384" s="11" t="s">
        <v>9</v>
      </c>
      <c r="C384" s="11" t="s">
        <v>152</v>
      </c>
      <c r="D384" s="11" t="s">
        <v>153</v>
      </c>
      <c r="E384" s="9" t="str">
        <f>+HYPERLINK("http://trademark.i-assist.jp/data/china/image_1906th/79490944.pdf", "79490944")</f>
        <v>79490944</v>
      </c>
      <c r="F384" s="11" t="s">
        <v>1264</v>
      </c>
      <c r="G384" s="11" t="s">
        <v>110</v>
      </c>
      <c r="H384" s="11" t="s">
        <v>1265</v>
      </c>
      <c r="I384" s="11" t="s">
        <v>116</v>
      </c>
    </row>
    <row r="385" spans="1:9" x14ac:dyDescent="0.15">
      <c r="A385" s="10">
        <v>384</v>
      </c>
      <c r="B385" s="11" t="s">
        <v>9</v>
      </c>
      <c r="C385" s="11" t="s">
        <v>152</v>
      </c>
      <c r="D385" s="11" t="s">
        <v>153</v>
      </c>
      <c r="E385" s="9" t="str">
        <f>+HYPERLINK("http://trademark.i-assist.jp/data/china/image_1906th/79491313.pdf", "79491313")</f>
        <v>79491313</v>
      </c>
      <c r="F385" s="11" t="s">
        <v>1266</v>
      </c>
      <c r="G385" s="11" t="s">
        <v>1267</v>
      </c>
      <c r="H385" s="11" t="s">
        <v>1268</v>
      </c>
      <c r="I385" s="11" t="s">
        <v>116</v>
      </c>
    </row>
    <row r="386" spans="1:9" x14ac:dyDescent="0.15">
      <c r="A386" s="10">
        <v>385</v>
      </c>
      <c r="B386" s="11" t="s">
        <v>9</v>
      </c>
      <c r="C386" s="11" t="s">
        <v>152</v>
      </c>
      <c r="D386" s="11" t="s">
        <v>153</v>
      </c>
      <c r="E386" s="9" t="str">
        <f>+HYPERLINK("http://trademark.i-assist.jp/data/china/image_1906th/79491770.pdf", "79491770")</f>
        <v>79491770</v>
      </c>
      <c r="F386" s="11" t="s">
        <v>1269</v>
      </c>
      <c r="G386" s="11" t="s">
        <v>1270</v>
      </c>
      <c r="H386" s="11" t="s">
        <v>1271</v>
      </c>
      <c r="I386" s="11" t="s">
        <v>116</v>
      </c>
    </row>
    <row r="387" spans="1:9" x14ac:dyDescent="0.15">
      <c r="A387" s="10">
        <v>386</v>
      </c>
      <c r="B387" s="11" t="s">
        <v>9</v>
      </c>
      <c r="C387" s="11" t="s">
        <v>152</v>
      </c>
      <c r="D387" s="11" t="s">
        <v>153</v>
      </c>
      <c r="E387" s="9" t="str">
        <f>+HYPERLINK("http://trademark.i-assist.jp/data/china/image_1906th/79492213.pdf", "79492213")</f>
        <v>79492213</v>
      </c>
      <c r="F387" s="11" t="s">
        <v>1272</v>
      </c>
      <c r="G387" s="11" t="s">
        <v>1273</v>
      </c>
      <c r="H387" s="11" t="s">
        <v>1274</v>
      </c>
      <c r="I387" s="11" t="s">
        <v>116</v>
      </c>
    </row>
    <row r="388" spans="1:9" x14ac:dyDescent="0.15">
      <c r="A388" s="10">
        <v>387</v>
      </c>
      <c r="B388" s="11" t="s">
        <v>9</v>
      </c>
      <c r="C388" s="11" t="s">
        <v>152</v>
      </c>
      <c r="D388" s="11" t="s">
        <v>153</v>
      </c>
      <c r="E388" s="9" t="str">
        <f>+HYPERLINK("http://trademark.i-assist.jp/data/china/image_1906th/79492744.pdf", "79492744")</f>
        <v>79492744</v>
      </c>
      <c r="F388" s="11" t="s">
        <v>1275</v>
      </c>
      <c r="G388" s="11" t="s">
        <v>1276</v>
      </c>
      <c r="H388" s="11" t="s">
        <v>1277</v>
      </c>
      <c r="I388" s="11" t="s">
        <v>116</v>
      </c>
    </row>
    <row r="389" spans="1:9" x14ac:dyDescent="0.15">
      <c r="A389" s="10">
        <v>388</v>
      </c>
      <c r="B389" s="11" t="s">
        <v>9</v>
      </c>
      <c r="C389" s="11" t="s">
        <v>152</v>
      </c>
      <c r="D389" s="11" t="s">
        <v>153</v>
      </c>
      <c r="E389" s="9" t="str">
        <f>+HYPERLINK("http://trademark.i-assist.jp/data/china/image_1906th/79492919.pdf", "79492919")</f>
        <v>79492919</v>
      </c>
      <c r="F389" s="11" t="s">
        <v>1278</v>
      </c>
      <c r="G389" s="11" t="s">
        <v>1279</v>
      </c>
      <c r="H389" s="11" t="s">
        <v>1280</v>
      </c>
      <c r="I389" s="11" t="s">
        <v>116</v>
      </c>
    </row>
    <row r="390" spans="1:9" x14ac:dyDescent="0.15">
      <c r="A390" s="10">
        <v>389</v>
      </c>
      <c r="B390" s="11" t="s">
        <v>9</v>
      </c>
      <c r="C390" s="11" t="s">
        <v>152</v>
      </c>
      <c r="D390" s="11" t="s">
        <v>153</v>
      </c>
      <c r="E390" s="9" t="str">
        <f>+HYPERLINK("http://trademark.i-assist.jp/data/china/image_1906th/79494091.pdf", "79494091")</f>
        <v>79494091</v>
      </c>
      <c r="F390" s="11" t="s">
        <v>1281</v>
      </c>
      <c r="G390" s="11" t="s">
        <v>1282</v>
      </c>
      <c r="H390" s="11" t="s">
        <v>1283</v>
      </c>
      <c r="I390" s="11" t="s">
        <v>116</v>
      </c>
    </row>
    <row r="391" spans="1:9" x14ac:dyDescent="0.15">
      <c r="A391" s="10">
        <v>390</v>
      </c>
      <c r="B391" s="11" t="s">
        <v>9</v>
      </c>
      <c r="C391" s="11" t="s">
        <v>152</v>
      </c>
      <c r="D391" s="11" t="s">
        <v>153</v>
      </c>
      <c r="E391" s="9" t="str">
        <f>+HYPERLINK("http://trademark.i-assist.jp/data/china/image_1906th/79495768.pdf", "79495768")</f>
        <v>79495768</v>
      </c>
      <c r="F391" s="11" t="s">
        <v>1284</v>
      </c>
      <c r="G391" s="11" t="s">
        <v>46</v>
      </c>
      <c r="H391" s="11" t="s">
        <v>1285</v>
      </c>
      <c r="I391" s="11" t="s">
        <v>116</v>
      </c>
    </row>
    <row r="392" spans="1:9" x14ac:dyDescent="0.15">
      <c r="A392" s="10">
        <v>391</v>
      </c>
      <c r="B392" s="11" t="s">
        <v>9</v>
      </c>
      <c r="C392" s="11" t="s">
        <v>152</v>
      </c>
      <c r="D392" s="11" t="s">
        <v>153</v>
      </c>
      <c r="E392" s="9" t="str">
        <f>+HYPERLINK("http://trademark.i-assist.jp/data/china/image_1906th/79496243.pdf", "79496243")</f>
        <v>79496243</v>
      </c>
      <c r="F392" s="11" t="s">
        <v>1286</v>
      </c>
      <c r="G392" s="11" t="s">
        <v>1287</v>
      </c>
      <c r="H392" s="11" t="s">
        <v>1288</v>
      </c>
      <c r="I392" s="11" t="s">
        <v>116</v>
      </c>
    </row>
    <row r="393" spans="1:9" x14ac:dyDescent="0.15">
      <c r="A393" s="10">
        <v>392</v>
      </c>
      <c r="B393" s="11" t="s">
        <v>9</v>
      </c>
      <c r="C393" s="11" t="s">
        <v>152</v>
      </c>
      <c r="D393" s="11" t="s">
        <v>153</v>
      </c>
      <c r="E393" s="9" t="str">
        <f>+HYPERLINK("http://trademark.i-assist.jp/data/china/image_1906th/79499317.pdf", "79499317")</f>
        <v>79499317</v>
      </c>
      <c r="F393" s="11" t="s">
        <v>1289</v>
      </c>
      <c r="G393" s="11" t="s">
        <v>1276</v>
      </c>
      <c r="H393" s="11" t="s">
        <v>14</v>
      </c>
      <c r="I393" s="11" t="s">
        <v>14</v>
      </c>
    </row>
    <row r="394" spans="1:9" x14ac:dyDescent="0.15">
      <c r="A394" s="10">
        <v>393</v>
      </c>
      <c r="B394" s="11" t="s">
        <v>9</v>
      </c>
      <c r="C394" s="11" t="s">
        <v>152</v>
      </c>
      <c r="D394" s="11" t="s">
        <v>153</v>
      </c>
      <c r="E394" s="9" t="str">
        <f>+HYPERLINK("http://trademark.i-assist.jp/data/china/image_1906th/79499639.pdf", "79499639")</f>
        <v>79499639</v>
      </c>
      <c r="F394" s="11" t="s">
        <v>1290</v>
      </c>
      <c r="G394" s="11" t="s">
        <v>1291</v>
      </c>
      <c r="H394" s="11" t="s">
        <v>1292</v>
      </c>
      <c r="I394" s="11" t="s">
        <v>116</v>
      </c>
    </row>
    <row r="395" spans="1:9" x14ac:dyDescent="0.15">
      <c r="A395" s="10">
        <v>394</v>
      </c>
      <c r="B395" s="11" t="s">
        <v>9</v>
      </c>
      <c r="C395" s="11" t="s">
        <v>152</v>
      </c>
      <c r="D395" s="11" t="s">
        <v>153</v>
      </c>
      <c r="E395" s="9" t="str">
        <f>+HYPERLINK("http://trademark.i-assist.jp/data/china/image_1906th/79500198.pdf", "79500198")</f>
        <v>79500198</v>
      </c>
      <c r="F395" s="11" t="s">
        <v>1293</v>
      </c>
      <c r="G395" s="11" t="s">
        <v>1294</v>
      </c>
      <c r="H395" s="11" t="s">
        <v>1295</v>
      </c>
      <c r="I395" s="11" t="s">
        <v>116</v>
      </c>
    </row>
    <row r="396" spans="1:9" x14ac:dyDescent="0.15">
      <c r="A396" s="10">
        <v>395</v>
      </c>
      <c r="B396" s="11" t="s">
        <v>9</v>
      </c>
      <c r="C396" s="11" t="s">
        <v>152</v>
      </c>
      <c r="D396" s="11" t="s">
        <v>153</v>
      </c>
      <c r="E396" s="9" t="str">
        <f>+HYPERLINK("http://trademark.i-assist.jp/data/china/image_1906th/79500267.pdf", "79500267")</f>
        <v>79500267</v>
      </c>
      <c r="F396" s="11" t="s">
        <v>1296</v>
      </c>
      <c r="G396" s="11" t="s">
        <v>119</v>
      </c>
      <c r="H396" s="11" t="s">
        <v>1297</v>
      </c>
      <c r="I396" s="11" t="s">
        <v>116</v>
      </c>
    </row>
    <row r="397" spans="1:9" x14ac:dyDescent="0.15">
      <c r="A397" s="10">
        <v>396</v>
      </c>
      <c r="B397" s="11" t="s">
        <v>9</v>
      </c>
      <c r="C397" s="11" t="s">
        <v>152</v>
      </c>
      <c r="D397" s="11" t="s">
        <v>153</v>
      </c>
      <c r="E397" s="9" t="str">
        <f>+HYPERLINK("http://trademark.i-assist.jp/data/china/image_1906th/79500309.pdf", "79500309")</f>
        <v>79500309</v>
      </c>
      <c r="F397" s="11" t="s">
        <v>1298</v>
      </c>
      <c r="G397" s="11" t="s">
        <v>1299</v>
      </c>
      <c r="H397" s="11" t="s">
        <v>1300</v>
      </c>
      <c r="I397" s="11" t="s">
        <v>116</v>
      </c>
    </row>
    <row r="398" spans="1:9" x14ac:dyDescent="0.15">
      <c r="A398" s="10">
        <v>397</v>
      </c>
      <c r="B398" s="11" t="s">
        <v>9</v>
      </c>
      <c r="C398" s="11" t="s">
        <v>152</v>
      </c>
      <c r="D398" s="11" t="s">
        <v>153</v>
      </c>
      <c r="E398" s="9" t="str">
        <f>+HYPERLINK("http://trademark.i-assist.jp/data/china/image_1906th/79500327.pdf", "79500327")</f>
        <v>79500327</v>
      </c>
      <c r="F398" s="11" t="s">
        <v>1301</v>
      </c>
      <c r="G398" s="11" t="s">
        <v>1302</v>
      </c>
      <c r="H398" s="11" t="s">
        <v>1303</v>
      </c>
      <c r="I398" s="11" t="s">
        <v>116</v>
      </c>
    </row>
    <row r="399" spans="1:9" x14ac:dyDescent="0.15">
      <c r="A399" s="10">
        <v>398</v>
      </c>
      <c r="B399" s="11" t="s">
        <v>9</v>
      </c>
      <c r="C399" s="11" t="s">
        <v>152</v>
      </c>
      <c r="D399" s="11" t="s">
        <v>153</v>
      </c>
      <c r="E399" s="9" t="str">
        <f>+HYPERLINK("http://trademark.i-assist.jp/data/china/image_1906th/79500397.pdf", "79500397")</f>
        <v>79500397</v>
      </c>
      <c r="F399" s="11" t="s">
        <v>1304</v>
      </c>
      <c r="G399" s="11" t="s">
        <v>117</v>
      </c>
      <c r="H399" s="11" t="s">
        <v>1305</v>
      </c>
      <c r="I399" s="11" t="s">
        <v>116</v>
      </c>
    </row>
    <row r="400" spans="1:9" x14ac:dyDescent="0.15">
      <c r="A400" s="10">
        <v>399</v>
      </c>
      <c r="B400" s="11" t="s">
        <v>9</v>
      </c>
      <c r="C400" s="11" t="s">
        <v>152</v>
      </c>
      <c r="D400" s="11" t="s">
        <v>153</v>
      </c>
      <c r="E400" s="9" t="str">
        <f>+HYPERLINK("http://trademark.i-assist.jp/data/china/image_1906th/79501257.pdf", "79501257")</f>
        <v>79501257</v>
      </c>
      <c r="F400" s="11" t="s">
        <v>1306</v>
      </c>
      <c r="G400" s="11" t="s">
        <v>118</v>
      </c>
      <c r="H400" s="11" t="s">
        <v>1307</v>
      </c>
      <c r="I400" s="11" t="s">
        <v>116</v>
      </c>
    </row>
    <row r="401" spans="1:9" x14ac:dyDescent="0.15">
      <c r="A401" s="10">
        <v>400</v>
      </c>
      <c r="B401" s="11" t="s">
        <v>9</v>
      </c>
      <c r="C401" s="11" t="s">
        <v>152</v>
      </c>
      <c r="D401" s="11" t="s">
        <v>153</v>
      </c>
      <c r="E401" s="9" t="str">
        <f>+HYPERLINK("http://trademark.i-assist.jp/data/china/image_1906th/79502020.pdf", "79502020")</f>
        <v>79502020</v>
      </c>
      <c r="F401" s="11" t="s">
        <v>12</v>
      </c>
      <c r="G401" s="11" t="s">
        <v>1308</v>
      </c>
      <c r="H401" s="11" t="s">
        <v>1309</v>
      </c>
      <c r="I401" s="11" t="s">
        <v>116</v>
      </c>
    </row>
    <row r="402" spans="1:9" x14ac:dyDescent="0.15">
      <c r="A402" s="10">
        <v>401</v>
      </c>
      <c r="B402" s="11" t="s">
        <v>9</v>
      </c>
      <c r="C402" s="11" t="s">
        <v>152</v>
      </c>
      <c r="D402" s="11" t="s">
        <v>153</v>
      </c>
      <c r="E402" s="9" t="str">
        <f>+HYPERLINK("http://trademark.i-assist.jp/data/china/image_1906th/79502065.pdf", "79502065")</f>
        <v>79502065</v>
      </c>
      <c r="F402" s="11" t="s">
        <v>1310</v>
      </c>
      <c r="G402" s="11" t="s">
        <v>1311</v>
      </c>
      <c r="H402" s="11" t="s">
        <v>1312</v>
      </c>
      <c r="I402" s="11" t="s">
        <v>116</v>
      </c>
    </row>
    <row r="403" spans="1:9" x14ac:dyDescent="0.15">
      <c r="A403" s="10">
        <v>402</v>
      </c>
      <c r="B403" s="11" t="s">
        <v>9</v>
      </c>
      <c r="C403" s="11" t="s">
        <v>152</v>
      </c>
      <c r="D403" s="11" t="s">
        <v>153</v>
      </c>
      <c r="E403" s="9" t="str">
        <f>+HYPERLINK("http://trademark.i-assist.jp/data/china/image_1906th/79502807.pdf", "79502807")</f>
        <v>79502807</v>
      </c>
      <c r="F403" s="11" t="s">
        <v>1313</v>
      </c>
      <c r="G403" s="11" t="s">
        <v>1314</v>
      </c>
      <c r="H403" s="11" t="s">
        <v>1315</v>
      </c>
      <c r="I403" s="11" t="s">
        <v>116</v>
      </c>
    </row>
    <row r="404" spans="1:9" x14ac:dyDescent="0.15">
      <c r="A404" s="10">
        <v>403</v>
      </c>
      <c r="B404" s="11" t="s">
        <v>9</v>
      </c>
      <c r="C404" s="11" t="s">
        <v>152</v>
      </c>
      <c r="D404" s="11" t="s">
        <v>153</v>
      </c>
      <c r="E404" s="9" t="str">
        <f>+HYPERLINK("http://trademark.i-assist.jp/data/china/image_1906th/79503098.pdf", "79503098")</f>
        <v>79503098</v>
      </c>
      <c r="F404" s="11" t="s">
        <v>1316</v>
      </c>
      <c r="G404" s="11" t="s">
        <v>46</v>
      </c>
      <c r="H404" s="11" t="s">
        <v>1317</v>
      </c>
      <c r="I404" s="11" t="s">
        <v>116</v>
      </c>
    </row>
    <row r="405" spans="1:9" x14ac:dyDescent="0.15">
      <c r="A405" s="10">
        <v>404</v>
      </c>
      <c r="B405" s="11" t="s">
        <v>9</v>
      </c>
      <c r="C405" s="11" t="s">
        <v>152</v>
      </c>
      <c r="D405" s="11" t="s">
        <v>153</v>
      </c>
      <c r="E405" s="9" t="str">
        <f>+HYPERLINK("http://trademark.i-assist.jp/data/china/image_1906th/79504015.pdf", "79504015")</f>
        <v>79504015</v>
      </c>
      <c r="F405" s="11" t="s">
        <v>1318</v>
      </c>
      <c r="G405" s="11" t="s">
        <v>1319</v>
      </c>
      <c r="H405" s="11" t="s">
        <v>1320</v>
      </c>
      <c r="I405" s="11" t="s">
        <v>116</v>
      </c>
    </row>
    <row r="406" spans="1:9" x14ac:dyDescent="0.15">
      <c r="A406" s="10">
        <v>405</v>
      </c>
      <c r="B406" s="11" t="s">
        <v>9</v>
      </c>
      <c r="C406" s="11" t="s">
        <v>152</v>
      </c>
      <c r="D406" s="11" t="s">
        <v>153</v>
      </c>
      <c r="E406" s="9" t="str">
        <f>+HYPERLINK("http://trademark.i-assist.jp/data/china/image_1906th/79504766.pdf", "79504766")</f>
        <v>79504766</v>
      </c>
      <c r="F406" s="11" t="s">
        <v>1321</v>
      </c>
      <c r="G406" s="11" t="s">
        <v>1322</v>
      </c>
      <c r="H406" s="11" t="s">
        <v>1323</v>
      </c>
      <c r="I406" s="11" t="s">
        <v>116</v>
      </c>
    </row>
    <row r="407" spans="1:9" x14ac:dyDescent="0.15">
      <c r="A407" s="10">
        <v>406</v>
      </c>
      <c r="B407" s="11" t="s">
        <v>9</v>
      </c>
      <c r="C407" s="11" t="s">
        <v>152</v>
      </c>
      <c r="D407" s="11" t="s">
        <v>153</v>
      </c>
      <c r="E407" s="9" t="str">
        <f>+HYPERLINK("http://trademark.i-assist.jp/data/china/image_1906th/79505032.pdf", "79505032")</f>
        <v>79505032</v>
      </c>
      <c r="F407" s="11" t="s">
        <v>1324</v>
      </c>
      <c r="G407" s="11" t="s">
        <v>100</v>
      </c>
      <c r="H407" s="11" t="s">
        <v>1325</v>
      </c>
      <c r="I407" s="11" t="s">
        <v>116</v>
      </c>
    </row>
    <row r="408" spans="1:9" x14ac:dyDescent="0.15">
      <c r="A408" s="10">
        <v>407</v>
      </c>
      <c r="B408" s="11" t="s">
        <v>9</v>
      </c>
      <c r="C408" s="11" t="s">
        <v>152</v>
      </c>
      <c r="D408" s="11" t="s">
        <v>153</v>
      </c>
      <c r="E408" s="9" t="str">
        <f>+HYPERLINK("http://trademark.i-assist.jp/data/china/image_1906th/79505332.pdf", "79505332")</f>
        <v>79505332</v>
      </c>
      <c r="F408" s="11" t="s">
        <v>1326</v>
      </c>
      <c r="G408" s="11" t="s">
        <v>1327</v>
      </c>
      <c r="H408" s="11" t="s">
        <v>1328</v>
      </c>
      <c r="I408" s="11" t="s">
        <v>116</v>
      </c>
    </row>
    <row r="409" spans="1:9" x14ac:dyDescent="0.15">
      <c r="A409" s="10">
        <v>408</v>
      </c>
      <c r="B409" s="11" t="s">
        <v>9</v>
      </c>
      <c r="C409" s="11" t="s">
        <v>152</v>
      </c>
      <c r="D409" s="11" t="s">
        <v>153</v>
      </c>
      <c r="E409" s="9" t="str">
        <f>+HYPERLINK("http://trademark.i-assist.jp/data/china/image_1906th/79506132.pdf", "79506132")</f>
        <v>79506132</v>
      </c>
      <c r="F409" s="11" t="s">
        <v>1329</v>
      </c>
      <c r="G409" s="11" t="s">
        <v>1330</v>
      </c>
      <c r="H409" s="11" t="s">
        <v>1331</v>
      </c>
      <c r="I409" s="11" t="s">
        <v>116</v>
      </c>
    </row>
    <row r="410" spans="1:9" x14ac:dyDescent="0.15">
      <c r="A410" s="10">
        <v>409</v>
      </c>
      <c r="B410" s="11" t="s">
        <v>9</v>
      </c>
      <c r="C410" s="11" t="s">
        <v>152</v>
      </c>
      <c r="D410" s="11" t="s">
        <v>153</v>
      </c>
      <c r="E410" s="9" t="str">
        <f>+HYPERLINK("http://trademark.i-assist.jp/data/china/image_1906th/79506596.pdf", "79506596")</f>
        <v>79506596</v>
      </c>
      <c r="F410" s="11" t="s">
        <v>1332</v>
      </c>
      <c r="G410" s="11" t="s">
        <v>1333</v>
      </c>
      <c r="H410" s="11" t="s">
        <v>1334</v>
      </c>
      <c r="I410" s="11" t="s">
        <v>116</v>
      </c>
    </row>
    <row r="411" spans="1:9" x14ac:dyDescent="0.15">
      <c r="A411" s="10">
        <v>410</v>
      </c>
      <c r="B411" s="11" t="s">
        <v>9</v>
      </c>
      <c r="C411" s="11" t="s">
        <v>152</v>
      </c>
      <c r="D411" s="11" t="s">
        <v>153</v>
      </c>
      <c r="E411" s="9" t="str">
        <f>+HYPERLINK("http://trademark.i-assist.jp/data/china/image_1906th/79507065.pdf", "79507065")</f>
        <v>79507065</v>
      </c>
      <c r="F411" s="11" t="s">
        <v>1335</v>
      </c>
      <c r="G411" s="11" t="s">
        <v>1336</v>
      </c>
      <c r="H411" s="11" t="s">
        <v>1337</v>
      </c>
      <c r="I411" s="11" t="s">
        <v>116</v>
      </c>
    </row>
    <row r="412" spans="1:9" x14ac:dyDescent="0.15">
      <c r="A412" s="10">
        <v>411</v>
      </c>
      <c r="B412" s="11" t="s">
        <v>9</v>
      </c>
      <c r="C412" s="11" t="s">
        <v>152</v>
      </c>
      <c r="D412" s="11" t="s">
        <v>153</v>
      </c>
      <c r="E412" s="9" t="str">
        <f>+HYPERLINK("http://trademark.i-assist.jp/data/china/image_1906th/79507092.pdf", "79507092")</f>
        <v>79507092</v>
      </c>
      <c r="F412" s="11" t="s">
        <v>1338</v>
      </c>
      <c r="G412" s="11" t="s">
        <v>1339</v>
      </c>
      <c r="H412" s="11" t="s">
        <v>1340</v>
      </c>
      <c r="I412" s="11" t="s">
        <v>116</v>
      </c>
    </row>
    <row r="413" spans="1:9" x14ac:dyDescent="0.15">
      <c r="A413" s="10">
        <v>412</v>
      </c>
      <c r="B413" s="11" t="s">
        <v>9</v>
      </c>
      <c r="C413" s="11" t="s">
        <v>152</v>
      </c>
      <c r="D413" s="11" t="s">
        <v>153</v>
      </c>
      <c r="E413" s="9" t="str">
        <f>+HYPERLINK("http://trademark.i-assist.jp/data/china/image_1906th/79507197.pdf", "79507197")</f>
        <v>79507197</v>
      </c>
      <c r="F413" s="11" t="s">
        <v>1341</v>
      </c>
      <c r="G413" s="11" t="s">
        <v>1342</v>
      </c>
      <c r="H413" s="11" t="s">
        <v>1343</v>
      </c>
      <c r="I413" s="11" t="s">
        <v>116</v>
      </c>
    </row>
    <row r="414" spans="1:9" x14ac:dyDescent="0.15">
      <c r="A414" s="10">
        <v>413</v>
      </c>
      <c r="B414" s="11" t="s">
        <v>9</v>
      </c>
      <c r="C414" s="11" t="s">
        <v>152</v>
      </c>
      <c r="D414" s="11" t="s">
        <v>153</v>
      </c>
      <c r="E414" s="9" t="str">
        <f>+HYPERLINK("http://trademark.i-assist.jp/data/china/image_1906th/79507832.pdf", "79507832")</f>
        <v>79507832</v>
      </c>
      <c r="F414" s="11" t="s">
        <v>1344</v>
      </c>
      <c r="G414" s="11" t="s">
        <v>1345</v>
      </c>
      <c r="H414" s="11" t="s">
        <v>1346</v>
      </c>
      <c r="I414" s="11" t="s">
        <v>116</v>
      </c>
    </row>
    <row r="415" spans="1:9" x14ac:dyDescent="0.15">
      <c r="A415" s="10">
        <v>414</v>
      </c>
      <c r="B415" s="11" t="s">
        <v>9</v>
      </c>
      <c r="C415" s="11" t="s">
        <v>152</v>
      </c>
      <c r="D415" s="11" t="s">
        <v>153</v>
      </c>
      <c r="E415" s="9" t="str">
        <f>+HYPERLINK("http://trademark.i-assist.jp/data/china/image_1906th/79508105.pdf", "79508105")</f>
        <v>79508105</v>
      </c>
      <c r="F415" s="11" t="s">
        <v>1347</v>
      </c>
      <c r="G415" s="11" t="s">
        <v>1348</v>
      </c>
      <c r="H415" s="11" t="s">
        <v>1349</v>
      </c>
      <c r="I415" s="11" t="s">
        <v>116</v>
      </c>
    </row>
    <row r="416" spans="1:9" x14ac:dyDescent="0.15">
      <c r="A416" s="10">
        <v>415</v>
      </c>
      <c r="B416" s="11" t="s">
        <v>9</v>
      </c>
      <c r="C416" s="11" t="s">
        <v>152</v>
      </c>
      <c r="D416" s="11" t="s">
        <v>153</v>
      </c>
      <c r="E416" s="9" t="str">
        <f>+HYPERLINK("http://trademark.i-assist.jp/data/china/image_1906th/79508894.pdf", "79508894")</f>
        <v>79508894</v>
      </c>
      <c r="F416" s="11" t="s">
        <v>1350</v>
      </c>
      <c r="G416" s="11" t="s">
        <v>1351</v>
      </c>
      <c r="H416" s="11" t="s">
        <v>1352</v>
      </c>
      <c r="I416" s="11" t="s">
        <v>116</v>
      </c>
    </row>
    <row r="417" spans="1:9" x14ac:dyDescent="0.15">
      <c r="A417" s="10">
        <v>416</v>
      </c>
      <c r="B417" s="11" t="s">
        <v>9</v>
      </c>
      <c r="C417" s="11" t="s">
        <v>152</v>
      </c>
      <c r="D417" s="11" t="s">
        <v>153</v>
      </c>
      <c r="E417" s="9" t="str">
        <f>+HYPERLINK("http://trademark.i-assist.jp/data/china/image_1906th/79509116.pdf", "79509116")</f>
        <v>79509116</v>
      </c>
      <c r="F417" s="11" t="s">
        <v>1353</v>
      </c>
      <c r="G417" s="11" t="s">
        <v>1354</v>
      </c>
      <c r="H417" s="11" t="s">
        <v>1355</v>
      </c>
      <c r="I417" s="11" t="s">
        <v>116</v>
      </c>
    </row>
    <row r="418" spans="1:9" x14ac:dyDescent="0.15">
      <c r="A418" s="10">
        <v>417</v>
      </c>
      <c r="B418" s="11" t="s">
        <v>9</v>
      </c>
      <c r="C418" s="11" t="s">
        <v>152</v>
      </c>
      <c r="D418" s="11" t="s">
        <v>153</v>
      </c>
      <c r="E418" s="9" t="str">
        <f>+HYPERLINK("http://trademark.i-assist.jp/data/china/image_1906th/79509444.pdf", "79509444")</f>
        <v>79509444</v>
      </c>
      <c r="F418" s="11" t="s">
        <v>1356</v>
      </c>
      <c r="G418" s="11" t="s">
        <v>1357</v>
      </c>
      <c r="H418" s="11" t="s">
        <v>1358</v>
      </c>
      <c r="I418" s="11" t="s">
        <v>116</v>
      </c>
    </row>
    <row r="419" spans="1:9" x14ac:dyDescent="0.15">
      <c r="A419" s="10">
        <v>418</v>
      </c>
      <c r="B419" s="11" t="s">
        <v>9</v>
      </c>
      <c r="C419" s="11" t="s">
        <v>152</v>
      </c>
      <c r="D419" s="11" t="s">
        <v>153</v>
      </c>
      <c r="E419" s="9" t="str">
        <f>+HYPERLINK("http://trademark.i-assist.jp/data/china/image_1906th/79509711.pdf", "79509711")</f>
        <v>79509711</v>
      </c>
      <c r="F419" s="11" t="s">
        <v>1359</v>
      </c>
      <c r="G419" s="11" t="s">
        <v>93</v>
      </c>
      <c r="H419" s="11" t="s">
        <v>1360</v>
      </c>
      <c r="I419" s="11" t="s">
        <v>116</v>
      </c>
    </row>
    <row r="420" spans="1:9" x14ac:dyDescent="0.15">
      <c r="A420" s="10">
        <v>419</v>
      </c>
      <c r="B420" s="11" t="s">
        <v>9</v>
      </c>
      <c r="C420" s="11" t="s">
        <v>152</v>
      </c>
      <c r="D420" s="11" t="s">
        <v>153</v>
      </c>
      <c r="E420" s="9" t="str">
        <f>+HYPERLINK("http://trademark.i-assist.jp/data/china/image_1906th/79510008.pdf", "79510008")</f>
        <v>79510008</v>
      </c>
      <c r="F420" s="11" t="s">
        <v>1361</v>
      </c>
      <c r="G420" s="11" t="s">
        <v>1362</v>
      </c>
      <c r="H420" s="11" t="s">
        <v>1363</v>
      </c>
      <c r="I420" s="11" t="s">
        <v>116</v>
      </c>
    </row>
    <row r="421" spans="1:9" x14ac:dyDescent="0.15">
      <c r="A421" s="10">
        <v>420</v>
      </c>
      <c r="B421" s="11" t="s">
        <v>9</v>
      </c>
      <c r="C421" s="11" t="s">
        <v>152</v>
      </c>
      <c r="D421" s="11" t="s">
        <v>153</v>
      </c>
      <c r="E421" s="9" t="str">
        <f>+HYPERLINK("http://trademark.i-assist.jp/data/china/image_1906th/79510016.pdf", "79510016")</f>
        <v>79510016</v>
      </c>
      <c r="F421" s="11" t="s">
        <v>1364</v>
      </c>
      <c r="G421" s="11" t="s">
        <v>1294</v>
      </c>
      <c r="H421" s="11" t="s">
        <v>1365</v>
      </c>
      <c r="I421" s="11" t="s">
        <v>116</v>
      </c>
    </row>
    <row r="422" spans="1:9" x14ac:dyDescent="0.15">
      <c r="A422" s="10">
        <v>421</v>
      </c>
      <c r="B422" s="11" t="s">
        <v>9</v>
      </c>
      <c r="C422" s="11" t="s">
        <v>152</v>
      </c>
      <c r="D422" s="11" t="s">
        <v>153</v>
      </c>
      <c r="E422" s="9" t="str">
        <f>+HYPERLINK("http://trademark.i-assist.jp/data/china/image_1906th/79510097.pdf", "79510097")</f>
        <v>79510097</v>
      </c>
      <c r="F422" s="11" t="s">
        <v>1366</v>
      </c>
      <c r="G422" s="11" t="s">
        <v>1367</v>
      </c>
      <c r="H422" s="11" t="s">
        <v>1368</v>
      </c>
      <c r="I422" s="11" t="s">
        <v>116</v>
      </c>
    </row>
    <row r="423" spans="1:9" x14ac:dyDescent="0.15">
      <c r="A423" s="10">
        <v>422</v>
      </c>
      <c r="B423" s="11" t="s">
        <v>9</v>
      </c>
      <c r="C423" s="11" t="s">
        <v>152</v>
      </c>
      <c r="D423" s="11" t="s">
        <v>153</v>
      </c>
      <c r="E423" s="9" t="str">
        <f>+HYPERLINK("http://trademark.i-assist.jp/data/china/image_1906th/79510133.pdf", "79510133")</f>
        <v>79510133</v>
      </c>
      <c r="F423" s="11" t="s">
        <v>1369</v>
      </c>
      <c r="G423" s="11" t="s">
        <v>1370</v>
      </c>
      <c r="H423" s="11" t="s">
        <v>1371</v>
      </c>
      <c r="I423" s="11" t="s">
        <v>116</v>
      </c>
    </row>
    <row r="424" spans="1:9" x14ac:dyDescent="0.15">
      <c r="A424" s="10">
        <v>423</v>
      </c>
      <c r="B424" s="11" t="s">
        <v>9</v>
      </c>
      <c r="C424" s="11" t="s">
        <v>152</v>
      </c>
      <c r="D424" s="11" t="s">
        <v>153</v>
      </c>
      <c r="E424" s="9" t="str">
        <f>+HYPERLINK("http://trademark.i-assist.jp/data/china/image_1906th/79510161.pdf", "79510161")</f>
        <v>79510161</v>
      </c>
      <c r="F424" s="11" t="s">
        <v>1372</v>
      </c>
      <c r="G424" s="11" t="s">
        <v>1373</v>
      </c>
      <c r="H424" s="11" t="s">
        <v>1374</v>
      </c>
      <c r="I424" s="11" t="s">
        <v>116</v>
      </c>
    </row>
    <row r="425" spans="1:9" x14ac:dyDescent="0.15">
      <c r="A425" s="10">
        <v>424</v>
      </c>
      <c r="B425" s="11" t="s">
        <v>9</v>
      </c>
      <c r="C425" s="11" t="s">
        <v>152</v>
      </c>
      <c r="D425" s="11" t="s">
        <v>153</v>
      </c>
      <c r="E425" s="9" t="str">
        <f>+HYPERLINK("http://trademark.i-assist.jp/data/china/image_1906th/79511417.pdf", "79511417")</f>
        <v>79511417</v>
      </c>
      <c r="F425" s="11" t="s">
        <v>1375</v>
      </c>
      <c r="G425" s="11" t="s">
        <v>118</v>
      </c>
      <c r="H425" s="11" t="s">
        <v>1376</v>
      </c>
      <c r="I425" s="11" t="s">
        <v>116</v>
      </c>
    </row>
    <row r="426" spans="1:9" x14ac:dyDescent="0.15">
      <c r="A426" s="10">
        <v>425</v>
      </c>
      <c r="B426" s="11" t="s">
        <v>9</v>
      </c>
      <c r="C426" s="11" t="s">
        <v>152</v>
      </c>
      <c r="D426" s="11" t="s">
        <v>153</v>
      </c>
      <c r="E426" s="9" t="str">
        <f>+HYPERLINK("http://trademark.i-assist.jp/data/china/image_1906th/79511778.pdf", "79511778")</f>
        <v>79511778</v>
      </c>
      <c r="F426" s="11" t="s">
        <v>1377</v>
      </c>
      <c r="G426" s="11" t="s">
        <v>1378</v>
      </c>
      <c r="H426" s="11" t="s">
        <v>1379</v>
      </c>
      <c r="I426" s="11" t="s">
        <v>116</v>
      </c>
    </row>
    <row r="427" spans="1:9" x14ac:dyDescent="0.15">
      <c r="A427" s="10">
        <v>426</v>
      </c>
      <c r="B427" s="11" t="s">
        <v>9</v>
      </c>
      <c r="C427" s="11" t="s">
        <v>152</v>
      </c>
      <c r="D427" s="11" t="s">
        <v>153</v>
      </c>
      <c r="E427" s="9" t="str">
        <f>+HYPERLINK("http://trademark.i-assist.jp/data/china/image_1906th/79511998.pdf", "79511998")</f>
        <v>79511998</v>
      </c>
      <c r="F427" s="11" t="s">
        <v>1380</v>
      </c>
      <c r="G427" s="11" t="s">
        <v>17</v>
      </c>
      <c r="H427" s="11" t="s">
        <v>1381</v>
      </c>
      <c r="I427" s="11" t="s">
        <v>116</v>
      </c>
    </row>
    <row r="428" spans="1:9" x14ac:dyDescent="0.15">
      <c r="A428" s="10">
        <v>427</v>
      </c>
      <c r="B428" s="11" t="s">
        <v>9</v>
      </c>
      <c r="C428" s="11" t="s">
        <v>152</v>
      </c>
      <c r="D428" s="11" t="s">
        <v>153</v>
      </c>
      <c r="E428" s="9" t="str">
        <f>+HYPERLINK("http://trademark.i-assist.jp/data/china/image_1906th/79511999.pdf", "79511999")</f>
        <v>79511999</v>
      </c>
      <c r="F428" s="11" t="s">
        <v>1382</v>
      </c>
      <c r="G428" s="11" t="s">
        <v>1383</v>
      </c>
      <c r="H428" s="11" t="s">
        <v>1384</v>
      </c>
      <c r="I428" s="11" t="s">
        <v>116</v>
      </c>
    </row>
    <row r="429" spans="1:9" x14ac:dyDescent="0.15">
      <c r="A429" s="10">
        <v>428</v>
      </c>
      <c r="B429" s="11" t="s">
        <v>9</v>
      </c>
      <c r="C429" s="11" t="s">
        <v>152</v>
      </c>
      <c r="D429" s="11" t="s">
        <v>153</v>
      </c>
      <c r="E429" s="9" t="str">
        <f>+HYPERLINK("http://trademark.i-assist.jp/data/china/image_1906th/79512007.pdf", "79512007")</f>
        <v>79512007</v>
      </c>
      <c r="F429" s="11" t="s">
        <v>1385</v>
      </c>
      <c r="G429" s="11" t="s">
        <v>1386</v>
      </c>
      <c r="H429" s="11" t="s">
        <v>1387</v>
      </c>
      <c r="I429" s="11" t="s">
        <v>116</v>
      </c>
    </row>
    <row r="430" spans="1:9" x14ac:dyDescent="0.15">
      <c r="A430" s="10">
        <v>429</v>
      </c>
      <c r="B430" s="11" t="s">
        <v>9</v>
      </c>
      <c r="C430" s="11" t="s">
        <v>152</v>
      </c>
      <c r="D430" s="11" t="s">
        <v>153</v>
      </c>
      <c r="E430" s="9" t="str">
        <f>+HYPERLINK("http://trademark.i-assist.jp/data/china/image_1906th/79512052.pdf", "79512052")</f>
        <v>79512052</v>
      </c>
      <c r="F430" s="11" t="s">
        <v>1388</v>
      </c>
      <c r="G430" s="11" t="s">
        <v>1389</v>
      </c>
      <c r="H430" s="11" t="s">
        <v>1390</v>
      </c>
      <c r="I430" s="11" t="s">
        <v>116</v>
      </c>
    </row>
    <row r="431" spans="1:9" x14ac:dyDescent="0.15">
      <c r="A431" s="10">
        <v>430</v>
      </c>
      <c r="B431" s="11" t="s">
        <v>9</v>
      </c>
      <c r="C431" s="11" t="s">
        <v>152</v>
      </c>
      <c r="D431" s="11" t="s">
        <v>153</v>
      </c>
      <c r="E431" s="9" t="str">
        <f>+HYPERLINK("http://trademark.i-assist.jp/data/china/image_1906th/79512803.pdf", "79512803")</f>
        <v>79512803</v>
      </c>
      <c r="F431" s="11" t="s">
        <v>1391</v>
      </c>
      <c r="G431" s="11" t="s">
        <v>1392</v>
      </c>
      <c r="H431" s="11" t="s">
        <v>1393</v>
      </c>
      <c r="I431" s="11" t="s">
        <v>116</v>
      </c>
    </row>
    <row r="432" spans="1:9" x14ac:dyDescent="0.15">
      <c r="A432" s="10">
        <v>431</v>
      </c>
      <c r="B432" s="11" t="s">
        <v>9</v>
      </c>
      <c r="C432" s="11" t="s">
        <v>152</v>
      </c>
      <c r="D432" s="11" t="s">
        <v>153</v>
      </c>
      <c r="E432" s="9" t="str">
        <f>+HYPERLINK("http://trademark.i-assist.jp/data/china/image_1906th/79512871.pdf", "79512871")</f>
        <v>79512871</v>
      </c>
      <c r="F432" s="11" t="s">
        <v>1394</v>
      </c>
      <c r="G432" s="11" t="s">
        <v>1270</v>
      </c>
      <c r="H432" s="11" t="s">
        <v>1395</v>
      </c>
      <c r="I432" s="11" t="s">
        <v>116</v>
      </c>
    </row>
    <row r="433" spans="1:9" x14ac:dyDescent="0.15">
      <c r="A433" s="10">
        <v>432</v>
      </c>
      <c r="B433" s="11" t="s">
        <v>9</v>
      </c>
      <c r="C433" s="11" t="s">
        <v>152</v>
      </c>
      <c r="D433" s="11" t="s">
        <v>153</v>
      </c>
      <c r="E433" s="9" t="str">
        <f>+HYPERLINK("http://trademark.i-assist.jp/data/china/image_1906th/79513438.pdf", "79513438")</f>
        <v>79513438</v>
      </c>
      <c r="F433" s="11" t="s">
        <v>1396</v>
      </c>
      <c r="G433" s="11" t="s">
        <v>1397</v>
      </c>
      <c r="H433" s="11" t="s">
        <v>1398</v>
      </c>
      <c r="I433" s="11" t="s">
        <v>116</v>
      </c>
    </row>
    <row r="434" spans="1:9" x14ac:dyDescent="0.15">
      <c r="A434" s="10">
        <v>433</v>
      </c>
      <c r="B434" s="11" t="s">
        <v>9</v>
      </c>
      <c r="C434" s="11" t="s">
        <v>152</v>
      </c>
      <c r="D434" s="11" t="s">
        <v>153</v>
      </c>
      <c r="E434" s="9" t="str">
        <f>+HYPERLINK("http://trademark.i-assist.jp/data/china/image_1906th/79513509.pdf", "79513509")</f>
        <v>79513509</v>
      </c>
      <c r="F434" s="11" t="s">
        <v>1399</v>
      </c>
      <c r="G434" s="11" t="s">
        <v>1400</v>
      </c>
      <c r="H434" s="11" t="s">
        <v>1401</v>
      </c>
      <c r="I434" s="11" t="s">
        <v>116</v>
      </c>
    </row>
    <row r="435" spans="1:9" x14ac:dyDescent="0.15">
      <c r="A435" s="10">
        <v>434</v>
      </c>
      <c r="B435" s="11" t="s">
        <v>9</v>
      </c>
      <c r="C435" s="11" t="s">
        <v>152</v>
      </c>
      <c r="D435" s="11" t="s">
        <v>153</v>
      </c>
      <c r="E435" s="9" t="str">
        <f>+HYPERLINK("http://trademark.i-assist.jp/data/china/image_1906th/79514148.pdf", "79514148")</f>
        <v>79514148</v>
      </c>
      <c r="F435" s="11" t="s">
        <v>1402</v>
      </c>
      <c r="G435" s="11" t="s">
        <v>1403</v>
      </c>
      <c r="H435" s="11" t="s">
        <v>1404</v>
      </c>
      <c r="I435" s="11" t="s">
        <v>116</v>
      </c>
    </row>
    <row r="436" spans="1:9" x14ac:dyDescent="0.15">
      <c r="A436" s="10">
        <v>435</v>
      </c>
      <c r="B436" s="11" t="s">
        <v>9</v>
      </c>
      <c r="C436" s="11" t="s">
        <v>152</v>
      </c>
      <c r="D436" s="11" t="s">
        <v>153</v>
      </c>
      <c r="E436" s="9" t="str">
        <f>+HYPERLINK("http://trademark.i-assist.jp/data/china/image_1906th/79514428.pdf", "79514428")</f>
        <v>79514428</v>
      </c>
      <c r="F436" s="11" t="s">
        <v>1405</v>
      </c>
      <c r="G436" s="11" t="s">
        <v>1406</v>
      </c>
      <c r="H436" s="11" t="s">
        <v>14</v>
      </c>
      <c r="I436" s="11" t="s">
        <v>116</v>
      </c>
    </row>
    <row r="437" spans="1:9" x14ac:dyDescent="0.15">
      <c r="A437" s="10">
        <v>436</v>
      </c>
      <c r="B437" s="11" t="s">
        <v>9</v>
      </c>
      <c r="C437" s="11" t="s">
        <v>152</v>
      </c>
      <c r="D437" s="11" t="s">
        <v>153</v>
      </c>
      <c r="E437" s="9" t="str">
        <f>+HYPERLINK("http://trademark.i-assist.jp/data/china/image_1906th/79514467.pdf", "79514467")</f>
        <v>79514467</v>
      </c>
      <c r="F437" s="11" t="s">
        <v>1407</v>
      </c>
      <c r="G437" s="11" t="s">
        <v>1408</v>
      </c>
      <c r="H437" s="11" t="s">
        <v>1409</v>
      </c>
      <c r="I437" s="11" t="s">
        <v>116</v>
      </c>
    </row>
    <row r="438" spans="1:9" x14ac:dyDescent="0.15">
      <c r="A438" s="10">
        <v>437</v>
      </c>
      <c r="B438" s="11" t="s">
        <v>9</v>
      </c>
      <c r="C438" s="11" t="s">
        <v>152</v>
      </c>
      <c r="D438" s="11" t="s">
        <v>153</v>
      </c>
      <c r="E438" s="9" t="str">
        <f>+HYPERLINK("http://trademark.i-assist.jp/data/china/image_1906th/79514629.pdf", "79514629")</f>
        <v>79514629</v>
      </c>
      <c r="F438" s="11" t="s">
        <v>1410</v>
      </c>
      <c r="G438" s="11" t="s">
        <v>110</v>
      </c>
      <c r="H438" s="11" t="s">
        <v>1411</v>
      </c>
      <c r="I438" s="11" t="s">
        <v>116</v>
      </c>
    </row>
    <row r="439" spans="1:9" x14ac:dyDescent="0.15">
      <c r="A439" s="10">
        <v>438</v>
      </c>
      <c r="B439" s="11" t="s">
        <v>9</v>
      </c>
      <c r="C439" s="11" t="s">
        <v>152</v>
      </c>
      <c r="D439" s="11" t="s">
        <v>153</v>
      </c>
      <c r="E439" s="9" t="str">
        <f>+HYPERLINK("http://trademark.i-assist.jp/data/china/image_1906th/79516646.pdf", "79516646")</f>
        <v>79516646</v>
      </c>
      <c r="F439" s="11" t="s">
        <v>1412</v>
      </c>
      <c r="G439" s="11" t="s">
        <v>1413</v>
      </c>
      <c r="H439" s="11" t="s">
        <v>1414</v>
      </c>
      <c r="I439" s="11" t="s">
        <v>120</v>
      </c>
    </row>
    <row r="440" spans="1:9" x14ac:dyDescent="0.15">
      <c r="A440" s="10">
        <v>439</v>
      </c>
      <c r="B440" s="11" t="s">
        <v>9</v>
      </c>
      <c r="C440" s="11" t="s">
        <v>152</v>
      </c>
      <c r="D440" s="11" t="s">
        <v>153</v>
      </c>
      <c r="E440" s="9" t="str">
        <f>+HYPERLINK("http://trademark.i-assist.jp/data/china/image_1906th/79522545.pdf", "79522545")</f>
        <v>79522545</v>
      </c>
      <c r="F440" s="11" t="s">
        <v>1415</v>
      </c>
      <c r="G440" s="11" t="s">
        <v>1416</v>
      </c>
      <c r="H440" s="11" t="s">
        <v>1417</v>
      </c>
      <c r="I440" s="11" t="s">
        <v>123</v>
      </c>
    </row>
    <row r="441" spans="1:9" x14ac:dyDescent="0.15">
      <c r="A441" s="10">
        <v>440</v>
      </c>
      <c r="B441" s="11" t="s">
        <v>9</v>
      </c>
      <c r="C441" s="11" t="s">
        <v>152</v>
      </c>
      <c r="D441" s="11" t="s">
        <v>153</v>
      </c>
      <c r="E441" s="9" t="str">
        <f>+HYPERLINK("http://trademark.i-assist.jp/data/china/image_1906th/79524402.pdf", "79524402")</f>
        <v>79524402</v>
      </c>
      <c r="F441" s="11" t="s">
        <v>1418</v>
      </c>
      <c r="G441" s="11" t="s">
        <v>1419</v>
      </c>
      <c r="H441" s="11" t="s">
        <v>1420</v>
      </c>
      <c r="I441" s="11" t="s">
        <v>123</v>
      </c>
    </row>
    <row r="442" spans="1:9" x14ac:dyDescent="0.15">
      <c r="A442" s="10">
        <v>441</v>
      </c>
      <c r="B442" s="11" t="s">
        <v>9</v>
      </c>
      <c r="C442" s="11" t="s">
        <v>152</v>
      </c>
      <c r="D442" s="11" t="s">
        <v>153</v>
      </c>
      <c r="E442" s="9" t="str">
        <f>+HYPERLINK("http://trademark.i-assist.jp/data/china/image_1906th/79524768.pdf", "79524768")</f>
        <v>79524768</v>
      </c>
      <c r="F442" s="11" t="s">
        <v>1421</v>
      </c>
      <c r="G442" s="11" t="s">
        <v>1422</v>
      </c>
      <c r="H442" s="11" t="s">
        <v>1423</v>
      </c>
      <c r="I442" s="11" t="s">
        <v>123</v>
      </c>
    </row>
    <row r="443" spans="1:9" x14ac:dyDescent="0.15">
      <c r="A443" s="10">
        <v>442</v>
      </c>
      <c r="B443" s="11" t="s">
        <v>9</v>
      </c>
      <c r="C443" s="11" t="s">
        <v>152</v>
      </c>
      <c r="D443" s="11" t="s">
        <v>153</v>
      </c>
      <c r="E443" s="9" t="str">
        <f>+HYPERLINK("http://trademark.i-assist.jp/data/china/image_1906th/79525043.pdf", "79525043")</f>
        <v>79525043</v>
      </c>
      <c r="F443" s="11" t="s">
        <v>1424</v>
      </c>
      <c r="G443" s="11" t="s">
        <v>1425</v>
      </c>
      <c r="H443" s="11" t="s">
        <v>1426</v>
      </c>
      <c r="I443" s="11" t="s">
        <v>123</v>
      </c>
    </row>
    <row r="444" spans="1:9" x14ac:dyDescent="0.15">
      <c r="A444" s="10">
        <v>443</v>
      </c>
      <c r="B444" s="11" t="s">
        <v>9</v>
      </c>
      <c r="C444" s="11" t="s">
        <v>152</v>
      </c>
      <c r="D444" s="11" t="s">
        <v>153</v>
      </c>
      <c r="E444" s="9" t="str">
        <f>+HYPERLINK("http://trademark.i-assist.jp/data/china/image_1906th/79526160.pdf", "79526160")</f>
        <v>79526160</v>
      </c>
      <c r="F444" s="11" t="s">
        <v>1427</v>
      </c>
      <c r="G444" s="11" t="s">
        <v>1428</v>
      </c>
      <c r="H444" s="11" t="s">
        <v>1429</v>
      </c>
      <c r="I444" s="11" t="s">
        <v>124</v>
      </c>
    </row>
    <row r="445" spans="1:9" x14ac:dyDescent="0.15">
      <c r="A445" s="10">
        <v>444</v>
      </c>
      <c r="B445" s="11" t="s">
        <v>9</v>
      </c>
      <c r="C445" s="11" t="s">
        <v>152</v>
      </c>
      <c r="D445" s="11" t="s">
        <v>153</v>
      </c>
      <c r="E445" s="9" t="str">
        <f>+HYPERLINK("http://trademark.i-assist.jp/data/china/image_1906th/79527020.pdf", "79527020")</f>
        <v>79527020</v>
      </c>
      <c r="F445" s="11" t="s">
        <v>1430</v>
      </c>
      <c r="G445" s="11" t="s">
        <v>1431</v>
      </c>
      <c r="H445" s="11" t="s">
        <v>1432</v>
      </c>
      <c r="I445" s="11" t="s">
        <v>124</v>
      </c>
    </row>
    <row r="446" spans="1:9" x14ac:dyDescent="0.15">
      <c r="A446" s="10">
        <v>445</v>
      </c>
      <c r="B446" s="11" t="s">
        <v>9</v>
      </c>
      <c r="C446" s="11" t="s">
        <v>152</v>
      </c>
      <c r="D446" s="11" t="s">
        <v>153</v>
      </c>
      <c r="E446" s="9" t="str">
        <f>+HYPERLINK("http://trademark.i-assist.jp/data/china/image_1906th/79527230.pdf", "79527230")</f>
        <v>79527230</v>
      </c>
      <c r="F446" s="11" t="s">
        <v>1433</v>
      </c>
      <c r="G446" s="11" t="s">
        <v>1434</v>
      </c>
      <c r="H446" s="11" t="s">
        <v>1435</v>
      </c>
      <c r="I446" s="11" t="s">
        <v>124</v>
      </c>
    </row>
    <row r="447" spans="1:9" x14ac:dyDescent="0.15">
      <c r="A447" s="10">
        <v>446</v>
      </c>
      <c r="B447" s="11" t="s">
        <v>9</v>
      </c>
      <c r="C447" s="11" t="s">
        <v>152</v>
      </c>
      <c r="D447" s="11" t="s">
        <v>153</v>
      </c>
      <c r="E447" s="9" t="str">
        <f>+HYPERLINK("http://trademark.i-assist.jp/data/china/image_1906th/79527835.pdf", "79527835")</f>
        <v>79527835</v>
      </c>
      <c r="F447" s="11" t="s">
        <v>1436</v>
      </c>
      <c r="G447" s="11" t="s">
        <v>1437</v>
      </c>
      <c r="H447" s="11" t="s">
        <v>1438</v>
      </c>
      <c r="I447" s="11" t="s">
        <v>124</v>
      </c>
    </row>
    <row r="448" spans="1:9" x14ac:dyDescent="0.15">
      <c r="A448" s="10">
        <v>447</v>
      </c>
      <c r="B448" s="11" t="s">
        <v>9</v>
      </c>
      <c r="C448" s="11" t="s">
        <v>152</v>
      </c>
      <c r="D448" s="11" t="s">
        <v>153</v>
      </c>
      <c r="E448" s="9" t="str">
        <f>+HYPERLINK("http://trademark.i-assist.jp/data/china/image_1906th/79528078.pdf", "79528078")</f>
        <v>79528078</v>
      </c>
      <c r="F448" s="11" t="s">
        <v>1439</v>
      </c>
      <c r="G448" s="11" t="s">
        <v>1440</v>
      </c>
      <c r="H448" s="11" t="s">
        <v>1441</v>
      </c>
      <c r="I448" s="11" t="s">
        <v>124</v>
      </c>
    </row>
    <row r="449" spans="1:9" x14ac:dyDescent="0.15">
      <c r="A449" s="10">
        <v>448</v>
      </c>
      <c r="B449" s="11" t="s">
        <v>9</v>
      </c>
      <c r="C449" s="11" t="s">
        <v>152</v>
      </c>
      <c r="D449" s="11" t="s">
        <v>153</v>
      </c>
      <c r="E449" s="9" t="str">
        <f>+HYPERLINK("http://trademark.i-assist.jp/data/china/image_1906th/79528259.pdf", "79528259")</f>
        <v>79528259</v>
      </c>
      <c r="F449" s="11" t="s">
        <v>12</v>
      </c>
      <c r="G449" s="11" t="s">
        <v>1442</v>
      </c>
      <c r="H449" s="11" t="s">
        <v>1443</v>
      </c>
      <c r="I449" s="11" t="s">
        <v>124</v>
      </c>
    </row>
    <row r="450" spans="1:9" x14ac:dyDescent="0.15">
      <c r="A450" s="10">
        <v>449</v>
      </c>
      <c r="B450" s="11" t="s">
        <v>9</v>
      </c>
      <c r="C450" s="11" t="s">
        <v>152</v>
      </c>
      <c r="D450" s="11" t="s">
        <v>153</v>
      </c>
      <c r="E450" s="9" t="str">
        <f>+HYPERLINK("http://trademark.i-assist.jp/data/china/image_1906th/79528648.pdf", "79528648")</f>
        <v>79528648</v>
      </c>
      <c r="F450" s="11" t="s">
        <v>1444</v>
      </c>
      <c r="G450" s="11" t="s">
        <v>1445</v>
      </c>
      <c r="H450" s="11" t="s">
        <v>1446</v>
      </c>
      <c r="I450" s="11" t="s">
        <v>124</v>
      </c>
    </row>
    <row r="451" spans="1:9" x14ac:dyDescent="0.15">
      <c r="A451" s="10">
        <v>450</v>
      </c>
      <c r="B451" s="11" t="s">
        <v>9</v>
      </c>
      <c r="C451" s="11" t="s">
        <v>152</v>
      </c>
      <c r="D451" s="11" t="s">
        <v>153</v>
      </c>
      <c r="E451" s="9" t="str">
        <f>+HYPERLINK("http://trademark.i-assist.jp/data/china/image_1906th/79528814.pdf", "79528814")</f>
        <v>79528814</v>
      </c>
      <c r="F451" s="11" t="s">
        <v>1447</v>
      </c>
      <c r="G451" s="11" t="s">
        <v>1448</v>
      </c>
      <c r="H451" s="11" t="s">
        <v>1449</v>
      </c>
      <c r="I451" s="11" t="s">
        <v>124</v>
      </c>
    </row>
    <row r="452" spans="1:9" x14ac:dyDescent="0.15">
      <c r="A452" s="10">
        <v>451</v>
      </c>
      <c r="B452" s="11" t="s">
        <v>9</v>
      </c>
      <c r="C452" s="11" t="s">
        <v>152</v>
      </c>
      <c r="D452" s="11" t="s">
        <v>153</v>
      </c>
      <c r="E452" s="9" t="str">
        <f>+HYPERLINK("http://trademark.i-assist.jp/data/china/image_1906th/79529963.pdf", "79529963")</f>
        <v>79529963</v>
      </c>
      <c r="F452" s="11" t="s">
        <v>1450</v>
      </c>
      <c r="G452" s="11" t="s">
        <v>1451</v>
      </c>
      <c r="H452" s="11" t="s">
        <v>1452</v>
      </c>
      <c r="I452" s="11" t="s">
        <v>124</v>
      </c>
    </row>
    <row r="453" spans="1:9" x14ac:dyDescent="0.15">
      <c r="A453" s="10">
        <v>452</v>
      </c>
      <c r="B453" s="11" t="s">
        <v>9</v>
      </c>
      <c r="C453" s="11" t="s">
        <v>152</v>
      </c>
      <c r="D453" s="11" t="s">
        <v>153</v>
      </c>
      <c r="E453" s="9" t="str">
        <f>+HYPERLINK("http://trademark.i-assist.jp/data/china/image_1906th/79531355.pdf", "79531355")</f>
        <v>79531355</v>
      </c>
      <c r="F453" s="11" t="s">
        <v>1453</v>
      </c>
      <c r="G453" s="11" t="s">
        <v>1454</v>
      </c>
      <c r="H453" s="11" t="s">
        <v>1455</v>
      </c>
      <c r="I453" s="11" t="s">
        <v>124</v>
      </c>
    </row>
    <row r="454" spans="1:9" x14ac:dyDescent="0.15">
      <c r="A454" s="10">
        <v>453</v>
      </c>
      <c r="B454" s="11" t="s">
        <v>9</v>
      </c>
      <c r="C454" s="11" t="s">
        <v>152</v>
      </c>
      <c r="D454" s="11" t="s">
        <v>153</v>
      </c>
      <c r="E454" s="9" t="str">
        <f>+HYPERLINK("http://trademark.i-assist.jp/data/china/image_1906th/79532638.pdf", "79532638")</f>
        <v>79532638</v>
      </c>
      <c r="F454" s="11" t="s">
        <v>1456</v>
      </c>
      <c r="G454" s="11" t="s">
        <v>1457</v>
      </c>
      <c r="H454" s="11" t="s">
        <v>1458</v>
      </c>
      <c r="I454" s="11" t="s">
        <v>124</v>
      </c>
    </row>
    <row r="455" spans="1:9" x14ac:dyDescent="0.15">
      <c r="A455" s="10">
        <v>454</v>
      </c>
      <c r="B455" s="11" t="s">
        <v>9</v>
      </c>
      <c r="C455" s="11" t="s">
        <v>152</v>
      </c>
      <c r="D455" s="11" t="s">
        <v>153</v>
      </c>
      <c r="E455" s="9" t="str">
        <f>+HYPERLINK("http://trademark.i-assist.jp/data/china/image_1906th/79532815.pdf", "79532815")</f>
        <v>79532815</v>
      </c>
      <c r="F455" s="11" t="s">
        <v>1459</v>
      </c>
      <c r="G455" s="11" t="s">
        <v>1460</v>
      </c>
      <c r="H455" s="11" t="s">
        <v>1461</v>
      </c>
      <c r="I455" s="11" t="s">
        <v>124</v>
      </c>
    </row>
    <row r="456" spans="1:9" x14ac:dyDescent="0.15">
      <c r="A456" s="10">
        <v>455</v>
      </c>
      <c r="B456" s="11" t="s">
        <v>9</v>
      </c>
      <c r="C456" s="11" t="s">
        <v>152</v>
      </c>
      <c r="D456" s="11" t="s">
        <v>153</v>
      </c>
      <c r="E456" s="9" t="str">
        <f>+HYPERLINK("http://trademark.i-assist.jp/data/china/image_1906th/79532822.pdf", "79532822")</f>
        <v>79532822</v>
      </c>
      <c r="F456" s="11" t="s">
        <v>1462</v>
      </c>
      <c r="G456" s="11" t="s">
        <v>1463</v>
      </c>
      <c r="H456" s="11" t="s">
        <v>1464</v>
      </c>
      <c r="I456" s="11" t="s">
        <v>124</v>
      </c>
    </row>
    <row r="457" spans="1:9" x14ac:dyDescent="0.15">
      <c r="A457" s="10">
        <v>456</v>
      </c>
      <c r="B457" s="11" t="s">
        <v>9</v>
      </c>
      <c r="C457" s="11" t="s">
        <v>152</v>
      </c>
      <c r="D457" s="11" t="s">
        <v>153</v>
      </c>
      <c r="E457" s="9" t="str">
        <f>+HYPERLINK("http://trademark.i-assist.jp/data/china/image_1906th/79534434.pdf", "79534434")</f>
        <v>79534434</v>
      </c>
      <c r="F457" s="11" t="s">
        <v>1465</v>
      </c>
      <c r="G457" s="11" t="s">
        <v>111</v>
      </c>
      <c r="H457" s="11" t="s">
        <v>1466</v>
      </c>
      <c r="I457" s="11" t="s">
        <v>124</v>
      </c>
    </row>
    <row r="458" spans="1:9" x14ac:dyDescent="0.15">
      <c r="A458" s="10">
        <v>457</v>
      </c>
      <c r="B458" s="11" t="s">
        <v>9</v>
      </c>
      <c r="C458" s="11" t="s">
        <v>152</v>
      </c>
      <c r="D458" s="11" t="s">
        <v>153</v>
      </c>
      <c r="E458" s="9" t="str">
        <f>+HYPERLINK("http://trademark.i-assist.jp/data/china/image_1906th/79534786.pdf", "79534786")</f>
        <v>79534786</v>
      </c>
      <c r="F458" s="11" t="s">
        <v>1467</v>
      </c>
      <c r="G458" s="11" t="s">
        <v>1468</v>
      </c>
      <c r="H458" s="11" t="s">
        <v>1469</v>
      </c>
      <c r="I458" s="11" t="s">
        <v>124</v>
      </c>
    </row>
    <row r="459" spans="1:9" x14ac:dyDescent="0.15">
      <c r="A459" s="10">
        <v>458</v>
      </c>
      <c r="B459" s="11" t="s">
        <v>9</v>
      </c>
      <c r="C459" s="11" t="s">
        <v>152</v>
      </c>
      <c r="D459" s="11" t="s">
        <v>153</v>
      </c>
      <c r="E459" s="9" t="str">
        <f>+HYPERLINK("http://trademark.i-assist.jp/data/china/image_1906th/79534808.pdf", "79534808")</f>
        <v>79534808</v>
      </c>
      <c r="F459" s="11" t="s">
        <v>1470</v>
      </c>
      <c r="G459" s="11" t="s">
        <v>1437</v>
      </c>
      <c r="H459" s="11" t="s">
        <v>1471</v>
      </c>
      <c r="I459" s="11" t="s">
        <v>124</v>
      </c>
    </row>
    <row r="460" spans="1:9" x14ac:dyDescent="0.15">
      <c r="A460" s="10">
        <v>459</v>
      </c>
      <c r="B460" s="11" t="s">
        <v>9</v>
      </c>
      <c r="C460" s="11" t="s">
        <v>152</v>
      </c>
      <c r="D460" s="11" t="s">
        <v>153</v>
      </c>
      <c r="E460" s="9" t="str">
        <f>+HYPERLINK("http://trademark.i-assist.jp/data/china/image_1906th/79535254.pdf", "79535254")</f>
        <v>79535254</v>
      </c>
      <c r="F460" s="11" t="s">
        <v>1472</v>
      </c>
      <c r="G460" s="11" t="s">
        <v>1473</v>
      </c>
      <c r="H460" s="11" t="s">
        <v>1474</v>
      </c>
      <c r="I460" s="11" t="s">
        <v>124</v>
      </c>
    </row>
    <row r="461" spans="1:9" x14ac:dyDescent="0.15">
      <c r="A461" s="10">
        <v>460</v>
      </c>
      <c r="B461" s="11" t="s">
        <v>9</v>
      </c>
      <c r="C461" s="11" t="s">
        <v>152</v>
      </c>
      <c r="D461" s="11" t="s">
        <v>153</v>
      </c>
      <c r="E461" s="9" t="str">
        <f>+HYPERLINK("http://trademark.i-assist.jp/data/china/image_1906th/79535303.pdf", "79535303")</f>
        <v>79535303</v>
      </c>
      <c r="F461" s="11" t="s">
        <v>1475</v>
      </c>
      <c r="G461" s="11" t="s">
        <v>1476</v>
      </c>
      <c r="H461" s="11" t="s">
        <v>1477</v>
      </c>
      <c r="I461" s="11" t="s">
        <v>124</v>
      </c>
    </row>
    <row r="462" spans="1:9" x14ac:dyDescent="0.15">
      <c r="A462" s="10">
        <v>461</v>
      </c>
      <c r="B462" s="11" t="s">
        <v>9</v>
      </c>
      <c r="C462" s="11" t="s">
        <v>152</v>
      </c>
      <c r="D462" s="11" t="s">
        <v>153</v>
      </c>
      <c r="E462" s="9" t="str">
        <f>+HYPERLINK("http://trademark.i-assist.jp/data/china/image_1906th/79536489.pdf", "79536489")</f>
        <v>79536489</v>
      </c>
      <c r="F462" s="11" t="s">
        <v>1478</v>
      </c>
      <c r="G462" s="11" t="s">
        <v>1434</v>
      </c>
      <c r="H462" s="11" t="s">
        <v>1479</v>
      </c>
      <c r="I462" s="11" t="s">
        <v>124</v>
      </c>
    </row>
    <row r="463" spans="1:9" x14ac:dyDescent="0.15">
      <c r="A463" s="10">
        <v>462</v>
      </c>
      <c r="B463" s="11" t="s">
        <v>9</v>
      </c>
      <c r="C463" s="11" t="s">
        <v>152</v>
      </c>
      <c r="D463" s="11" t="s">
        <v>153</v>
      </c>
      <c r="E463" s="9" t="str">
        <f>+HYPERLINK("http://trademark.i-assist.jp/data/china/image_1906th/79536770.pdf", "79536770")</f>
        <v>79536770</v>
      </c>
      <c r="F463" s="11" t="s">
        <v>1480</v>
      </c>
      <c r="G463" s="11" t="s">
        <v>1481</v>
      </c>
      <c r="H463" s="11" t="s">
        <v>1482</v>
      </c>
      <c r="I463" s="11" t="s">
        <v>124</v>
      </c>
    </row>
    <row r="464" spans="1:9" x14ac:dyDescent="0.15">
      <c r="A464" s="10">
        <v>463</v>
      </c>
      <c r="B464" s="11" t="s">
        <v>9</v>
      </c>
      <c r="C464" s="11" t="s">
        <v>152</v>
      </c>
      <c r="D464" s="11" t="s">
        <v>153</v>
      </c>
      <c r="E464" s="9" t="str">
        <f>+HYPERLINK("http://trademark.i-assist.jp/data/china/image_1906th/79538749.pdf", "79538749")</f>
        <v>79538749</v>
      </c>
      <c r="F464" s="11" t="s">
        <v>1483</v>
      </c>
      <c r="G464" s="11" t="s">
        <v>54</v>
      </c>
      <c r="H464" s="11" t="s">
        <v>1484</v>
      </c>
      <c r="I464" s="11" t="s">
        <v>124</v>
      </c>
    </row>
    <row r="465" spans="1:9" x14ac:dyDescent="0.15">
      <c r="A465" s="10">
        <v>464</v>
      </c>
      <c r="B465" s="11" t="s">
        <v>9</v>
      </c>
      <c r="C465" s="11" t="s">
        <v>152</v>
      </c>
      <c r="D465" s="11" t="s">
        <v>153</v>
      </c>
      <c r="E465" s="9" t="str">
        <f>+HYPERLINK("http://trademark.i-assist.jp/data/china/image_1906th/79538943.pdf", "79538943")</f>
        <v>79538943</v>
      </c>
      <c r="F465" s="11" t="s">
        <v>1485</v>
      </c>
      <c r="G465" s="11" t="s">
        <v>1486</v>
      </c>
      <c r="H465" s="11" t="s">
        <v>1487</v>
      </c>
      <c r="I465" s="11" t="s">
        <v>124</v>
      </c>
    </row>
    <row r="466" spans="1:9" x14ac:dyDescent="0.15">
      <c r="A466" s="10">
        <v>465</v>
      </c>
      <c r="B466" s="11" t="s">
        <v>9</v>
      </c>
      <c r="C466" s="11" t="s">
        <v>152</v>
      </c>
      <c r="D466" s="11" t="s">
        <v>153</v>
      </c>
      <c r="E466" s="9" t="str">
        <f>+HYPERLINK("http://trademark.i-assist.jp/data/china/image_1906th/79539434.pdf", "79539434")</f>
        <v>79539434</v>
      </c>
      <c r="F466" s="11" t="s">
        <v>12</v>
      </c>
      <c r="G466" s="11" t="s">
        <v>1488</v>
      </c>
      <c r="H466" s="11" t="s">
        <v>1489</v>
      </c>
      <c r="I466" s="11" t="s">
        <v>124</v>
      </c>
    </row>
    <row r="467" spans="1:9" x14ac:dyDescent="0.15">
      <c r="A467" s="10">
        <v>466</v>
      </c>
      <c r="B467" s="11" t="s">
        <v>9</v>
      </c>
      <c r="C467" s="11" t="s">
        <v>152</v>
      </c>
      <c r="D467" s="11" t="s">
        <v>153</v>
      </c>
      <c r="E467" s="9" t="str">
        <f>+HYPERLINK("http://trademark.i-assist.jp/data/china/image_1906th/79539471.pdf", "79539471")</f>
        <v>79539471</v>
      </c>
      <c r="F467" s="11" t="s">
        <v>1490</v>
      </c>
      <c r="G467" s="11" t="s">
        <v>1491</v>
      </c>
      <c r="H467" s="11" t="s">
        <v>1492</v>
      </c>
      <c r="I467" s="11" t="s">
        <v>124</v>
      </c>
    </row>
    <row r="468" spans="1:9" x14ac:dyDescent="0.15">
      <c r="A468" s="10">
        <v>467</v>
      </c>
      <c r="B468" s="11" t="s">
        <v>9</v>
      </c>
      <c r="C468" s="11" t="s">
        <v>152</v>
      </c>
      <c r="D468" s="11" t="s">
        <v>153</v>
      </c>
      <c r="E468" s="9" t="str">
        <f>+HYPERLINK("http://trademark.i-assist.jp/data/china/image_1906th/79539508.pdf", "79539508")</f>
        <v>79539508</v>
      </c>
      <c r="F468" s="11" t="s">
        <v>12</v>
      </c>
      <c r="G468" s="11" t="s">
        <v>1493</v>
      </c>
      <c r="H468" s="11" t="s">
        <v>1494</v>
      </c>
      <c r="I468" s="11" t="s">
        <v>124</v>
      </c>
    </row>
    <row r="469" spans="1:9" x14ac:dyDescent="0.15">
      <c r="A469" s="10">
        <v>468</v>
      </c>
      <c r="B469" s="11" t="s">
        <v>9</v>
      </c>
      <c r="C469" s="11" t="s">
        <v>152</v>
      </c>
      <c r="D469" s="11" t="s">
        <v>153</v>
      </c>
      <c r="E469" s="9" t="str">
        <f>+HYPERLINK("http://trademark.i-assist.jp/data/china/image_1906th/79539536.pdf", "79539536")</f>
        <v>79539536</v>
      </c>
      <c r="F469" s="11" t="s">
        <v>1495</v>
      </c>
      <c r="G469" s="11" t="s">
        <v>1496</v>
      </c>
      <c r="H469" s="11" t="s">
        <v>1497</v>
      </c>
      <c r="I469" s="11" t="s">
        <v>124</v>
      </c>
    </row>
    <row r="470" spans="1:9" x14ac:dyDescent="0.15">
      <c r="A470" s="10">
        <v>469</v>
      </c>
      <c r="B470" s="11" t="s">
        <v>9</v>
      </c>
      <c r="C470" s="11" t="s">
        <v>152</v>
      </c>
      <c r="D470" s="11" t="s">
        <v>153</v>
      </c>
      <c r="E470" s="9" t="str">
        <f>+HYPERLINK("http://trademark.i-assist.jp/data/china/image_1906th/79539574.pdf", "79539574")</f>
        <v>79539574</v>
      </c>
      <c r="F470" s="11" t="s">
        <v>1498</v>
      </c>
      <c r="G470" s="11" t="s">
        <v>1499</v>
      </c>
      <c r="H470" s="11" t="s">
        <v>1500</v>
      </c>
      <c r="I470" s="11" t="s">
        <v>124</v>
      </c>
    </row>
    <row r="471" spans="1:9" x14ac:dyDescent="0.15">
      <c r="A471" s="10">
        <v>470</v>
      </c>
      <c r="B471" s="11" t="s">
        <v>9</v>
      </c>
      <c r="C471" s="11" t="s">
        <v>152</v>
      </c>
      <c r="D471" s="11" t="s">
        <v>153</v>
      </c>
      <c r="E471" s="9" t="str">
        <f>+HYPERLINK("http://trademark.i-assist.jp/data/china/image_1906th/79540039.pdf", "79540039")</f>
        <v>79540039</v>
      </c>
      <c r="F471" s="11" t="s">
        <v>1501</v>
      </c>
      <c r="G471" s="11" t="s">
        <v>1502</v>
      </c>
      <c r="H471" s="11" t="s">
        <v>1503</v>
      </c>
      <c r="I471" s="11" t="s">
        <v>124</v>
      </c>
    </row>
    <row r="472" spans="1:9" x14ac:dyDescent="0.15">
      <c r="A472" s="10">
        <v>471</v>
      </c>
      <c r="B472" s="11" t="s">
        <v>9</v>
      </c>
      <c r="C472" s="11" t="s">
        <v>152</v>
      </c>
      <c r="D472" s="11" t="s">
        <v>153</v>
      </c>
      <c r="E472" s="9" t="str">
        <f>+HYPERLINK("http://trademark.i-assist.jp/data/china/image_1906th/79542875.pdf", "79542875")</f>
        <v>79542875</v>
      </c>
      <c r="F472" s="11" t="s">
        <v>1504</v>
      </c>
      <c r="G472" s="11" t="s">
        <v>1505</v>
      </c>
      <c r="H472" s="11" t="s">
        <v>1506</v>
      </c>
      <c r="I472" s="11" t="s">
        <v>124</v>
      </c>
    </row>
    <row r="473" spans="1:9" x14ac:dyDescent="0.15">
      <c r="A473" s="10">
        <v>472</v>
      </c>
      <c r="B473" s="11" t="s">
        <v>9</v>
      </c>
      <c r="C473" s="11" t="s">
        <v>152</v>
      </c>
      <c r="D473" s="11" t="s">
        <v>153</v>
      </c>
      <c r="E473" s="9" t="str">
        <f>+HYPERLINK("http://trademark.i-assist.jp/data/china/image_1906th/79544976.pdf", "79544976")</f>
        <v>79544976</v>
      </c>
      <c r="F473" s="11" t="s">
        <v>1507</v>
      </c>
      <c r="G473" s="11" t="s">
        <v>1508</v>
      </c>
      <c r="H473" s="11" t="s">
        <v>1509</v>
      </c>
      <c r="I473" s="11" t="s">
        <v>124</v>
      </c>
    </row>
    <row r="474" spans="1:9" x14ac:dyDescent="0.15">
      <c r="A474" s="10">
        <v>473</v>
      </c>
      <c r="B474" s="11" t="s">
        <v>9</v>
      </c>
      <c r="C474" s="11" t="s">
        <v>152</v>
      </c>
      <c r="D474" s="11" t="s">
        <v>153</v>
      </c>
      <c r="E474" s="9" t="str">
        <f>+HYPERLINK("http://trademark.i-assist.jp/data/china/image_1906th/79545053.pdf", "79545053")</f>
        <v>79545053</v>
      </c>
      <c r="F474" s="11" t="s">
        <v>1510</v>
      </c>
      <c r="G474" s="11" t="s">
        <v>1511</v>
      </c>
      <c r="H474" s="11" t="s">
        <v>1512</v>
      </c>
      <c r="I474" s="11" t="s">
        <v>124</v>
      </c>
    </row>
    <row r="475" spans="1:9" x14ac:dyDescent="0.15">
      <c r="A475" s="10">
        <v>474</v>
      </c>
      <c r="B475" s="11" t="s">
        <v>9</v>
      </c>
      <c r="C475" s="11" t="s">
        <v>152</v>
      </c>
      <c r="D475" s="11" t="s">
        <v>153</v>
      </c>
      <c r="E475" s="9" t="str">
        <f>+HYPERLINK("http://trademark.i-assist.jp/data/china/image_1906th/79545310.pdf", "79545310")</f>
        <v>79545310</v>
      </c>
      <c r="F475" s="11" t="s">
        <v>1513</v>
      </c>
      <c r="G475" s="11" t="s">
        <v>111</v>
      </c>
      <c r="H475" s="11" t="s">
        <v>1514</v>
      </c>
      <c r="I475" s="11" t="s">
        <v>124</v>
      </c>
    </row>
    <row r="476" spans="1:9" x14ac:dyDescent="0.15">
      <c r="A476" s="10">
        <v>475</v>
      </c>
      <c r="B476" s="11" t="s">
        <v>9</v>
      </c>
      <c r="C476" s="11" t="s">
        <v>152</v>
      </c>
      <c r="D476" s="11" t="s">
        <v>153</v>
      </c>
      <c r="E476" s="9" t="str">
        <f>+HYPERLINK("http://trademark.i-assist.jp/data/china/image_1906th/79545904.pdf", "79545904")</f>
        <v>79545904</v>
      </c>
      <c r="F476" s="11" t="s">
        <v>1515</v>
      </c>
      <c r="G476" s="11" t="s">
        <v>1505</v>
      </c>
      <c r="H476" s="11" t="s">
        <v>1516</v>
      </c>
      <c r="I476" s="11" t="s">
        <v>124</v>
      </c>
    </row>
    <row r="477" spans="1:9" x14ac:dyDescent="0.15">
      <c r="A477" s="10">
        <v>476</v>
      </c>
      <c r="B477" s="11" t="s">
        <v>9</v>
      </c>
      <c r="C477" s="11" t="s">
        <v>152</v>
      </c>
      <c r="D477" s="11" t="s">
        <v>153</v>
      </c>
      <c r="E477" s="9" t="str">
        <f>+HYPERLINK("http://trademark.i-assist.jp/data/china/image_1906th/79546456.pdf", "79546456")</f>
        <v>79546456</v>
      </c>
      <c r="F477" s="11" t="s">
        <v>1517</v>
      </c>
      <c r="G477" s="11" t="s">
        <v>1518</v>
      </c>
      <c r="H477" s="11" t="s">
        <v>1519</v>
      </c>
      <c r="I477" s="11" t="s">
        <v>124</v>
      </c>
    </row>
    <row r="478" spans="1:9" x14ac:dyDescent="0.15">
      <c r="A478" s="10">
        <v>477</v>
      </c>
      <c r="B478" s="11" t="s">
        <v>9</v>
      </c>
      <c r="C478" s="11" t="s">
        <v>152</v>
      </c>
      <c r="D478" s="11" t="s">
        <v>153</v>
      </c>
      <c r="E478" s="9" t="str">
        <f>+HYPERLINK("http://trademark.i-assist.jp/data/china/image_1906th/79546465.pdf", "79546465")</f>
        <v>79546465</v>
      </c>
      <c r="F478" s="11" t="s">
        <v>1520</v>
      </c>
      <c r="G478" s="11" t="s">
        <v>1521</v>
      </c>
      <c r="H478" s="11" t="s">
        <v>1522</v>
      </c>
      <c r="I478" s="11" t="s">
        <v>124</v>
      </c>
    </row>
    <row r="479" spans="1:9" x14ac:dyDescent="0.15">
      <c r="A479" s="10">
        <v>478</v>
      </c>
      <c r="B479" s="11" t="s">
        <v>9</v>
      </c>
      <c r="C479" s="11" t="s">
        <v>152</v>
      </c>
      <c r="D479" s="11" t="s">
        <v>153</v>
      </c>
      <c r="E479" s="9" t="str">
        <f>+HYPERLINK("http://trademark.i-assist.jp/data/china/image_1906th/79546917.pdf", "79546917")</f>
        <v>79546917</v>
      </c>
      <c r="F479" s="11" t="s">
        <v>1523</v>
      </c>
      <c r="G479" s="11" t="s">
        <v>1524</v>
      </c>
      <c r="H479" s="11" t="s">
        <v>1525</v>
      </c>
      <c r="I479" s="11" t="s">
        <v>124</v>
      </c>
    </row>
    <row r="480" spans="1:9" x14ac:dyDescent="0.15">
      <c r="A480" s="10">
        <v>479</v>
      </c>
      <c r="B480" s="11" t="s">
        <v>9</v>
      </c>
      <c r="C480" s="11" t="s">
        <v>152</v>
      </c>
      <c r="D480" s="11" t="s">
        <v>153</v>
      </c>
      <c r="E480" s="9" t="str">
        <f>+HYPERLINK("http://trademark.i-assist.jp/data/china/image_1906th/79547106.pdf", "79547106")</f>
        <v>79547106</v>
      </c>
      <c r="F480" s="11" t="s">
        <v>1526</v>
      </c>
      <c r="G480" s="11" t="s">
        <v>1527</v>
      </c>
      <c r="H480" s="11" t="s">
        <v>1528</v>
      </c>
      <c r="I480" s="11" t="s">
        <v>124</v>
      </c>
    </row>
    <row r="481" spans="1:9" x14ac:dyDescent="0.15">
      <c r="A481" s="10">
        <v>480</v>
      </c>
      <c r="B481" s="11" t="s">
        <v>9</v>
      </c>
      <c r="C481" s="11" t="s">
        <v>152</v>
      </c>
      <c r="D481" s="11" t="s">
        <v>153</v>
      </c>
      <c r="E481" s="9" t="str">
        <f>+HYPERLINK("http://trademark.i-assist.jp/data/china/image_1906th/79547245.pdf", "79547245")</f>
        <v>79547245</v>
      </c>
      <c r="F481" s="11" t="s">
        <v>1529</v>
      </c>
      <c r="G481" s="11" t="s">
        <v>1530</v>
      </c>
      <c r="H481" s="11" t="s">
        <v>1531</v>
      </c>
      <c r="I481" s="11" t="s">
        <v>124</v>
      </c>
    </row>
    <row r="482" spans="1:9" x14ac:dyDescent="0.15">
      <c r="A482" s="10">
        <v>481</v>
      </c>
      <c r="B482" s="11" t="s">
        <v>9</v>
      </c>
      <c r="C482" s="11" t="s">
        <v>152</v>
      </c>
      <c r="D482" s="11" t="s">
        <v>153</v>
      </c>
      <c r="E482" s="9" t="str">
        <f>+HYPERLINK("http://trademark.i-assist.jp/data/china/image_1906th/79549135.pdf", "79549135")</f>
        <v>79549135</v>
      </c>
      <c r="F482" s="11" t="s">
        <v>1532</v>
      </c>
      <c r="G482" s="11" t="s">
        <v>1448</v>
      </c>
      <c r="H482" s="11" t="s">
        <v>1533</v>
      </c>
      <c r="I482" s="11" t="s">
        <v>124</v>
      </c>
    </row>
    <row r="483" spans="1:9" x14ac:dyDescent="0.15">
      <c r="A483" s="10">
        <v>482</v>
      </c>
      <c r="B483" s="11" t="s">
        <v>9</v>
      </c>
      <c r="C483" s="11" t="s">
        <v>152</v>
      </c>
      <c r="D483" s="11" t="s">
        <v>153</v>
      </c>
      <c r="E483" s="9" t="str">
        <f>+HYPERLINK("http://trademark.i-assist.jp/data/china/image_1906th/79549985.pdf", "79549985")</f>
        <v>79549985</v>
      </c>
      <c r="F483" s="11" t="s">
        <v>1534</v>
      </c>
      <c r="G483" s="11" t="s">
        <v>1535</v>
      </c>
      <c r="H483" s="11" t="s">
        <v>1536</v>
      </c>
      <c r="I483" s="11" t="s">
        <v>124</v>
      </c>
    </row>
    <row r="484" spans="1:9" x14ac:dyDescent="0.15">
      <c r="A484" s="10">
        <v>483</v>
      </c>
      <c r="B484" s="11" t="s">
        <v>9</v>
      </c>
      <c r="C484" s="11" t="s">
        <v>152</v>
      </c>
      <c r="D484" s="11" t="s">
        <v>153</v>
      </c>
      <c r="E484" s="9" t="str">
        <f>+HYPERLINK("http://trademark.i-assist.jp/data/china/image_1906th/79550170.pdf", "79550170")</f>
        <v>79550170</v>
      </c>
      <c r="F484" s="11" t="s">
        <v>1537</v>
      </c>
      <c r="G484" s="11" t="s">
        <v>1538</v>
      </c>
      <c r="H484" s="11" t="s">
        <v>1539</v>
      </c>
      <c r="I484" s="11" t="s">
        <v>124</v>
      </c>
    </row>
    <row r="485" spans="1:9" x14ac:dyDescent="0.15">
      <c r="A485" s="10">
        <v>484</v>
      </c>
      <c r="B485" s="11" t="s">
        <v>9</v>
      </c>
      <c r="C485" s="11" t="s">
        <v>152</v>
      </c>
      <c r="D485" s="11" t="s">
        <v>153</v>
      </c>
      <c r="E485" s="9" t="str">
        <f>+HYPERLINK("http://trademark.i-assist.jp/data/china/image_1906th/79550255.pdf", "79550255")</f>
        <v>79550255</v>
      </c>
      <c r="F485" s="11" t="s">
        <v>1540</v>
      </c>
      <c r="G485" s="11" t="s">
        <v>1541</v>
      </c>
      <c r="H485" s="11" t="s">
        <v>1542</v>
      </c>
      <c r="I485" s="11" t="s">
        <v>124</v>
      </c>
    </row>
    <row r="486" spans="1:9" x14ac:dyDescent="0.15">
      <c r="A486" s="10">
        <v>485</v>
      </c>
      <c r="B486" s="11" t="s">
        <v>9</v>
      </c>
      <c r="C486" s="11" t="s">
        <v>152</v>
      </c>
      <c r="D486" s="11" t="s">
        <v>153</v>
      </c>
      <c r="E486" s="9" t="str">
        <f>+HYPERLINK("http://trademark.i-assist.jp/data/china/image_1906th/79550593.pdf", "79550593")</f>
        <v>79550593</v>
      </c>
      <c r="F486" s="11" t="s">
        <v>1543</v>
      </c>
      <c r="G486" s="11" t="s">
        <v>1544</v>
      </c>
      <c r="H486" s="11" t="s">
        <v>1545</v>
      </c>
      <c r="I486" s="11" t="s">
        <v>124</v>
      </c>
    </row>
    <row r="487" spans="1:9" x14ac:dyDescent="0.15">
      <c r="A487" s="10">
        <v>486</v>
      </c>
      <c r="B487" s="11" t="s">
        <v>9</v>
      </c>
      <c r="C487" s="11" t="s">
        <v>152</v>
      </c>
      <c r="D487" s="11" t="s">
        <v>153</v>
      </c>
      <c r="E487" s="9" t="str">
        <f>+HYPERLINK("http://trademark.i-assist.jp/data/china/image_1906th/79550866.pdf", "79550866")</f>
        <v>79550866</v>
      </c>
      <c r="F487" s="11" t="s">
        <v>12</v>
      </c>
      <c r="G487" s="11" t="s">
        <v>1546</v>
      </c>
      <c r="H487" s="11" t="s">
        <v>1547</v>
      </c>
      <c r="I487" s="11" t="s">
        <v>124</v>
      </c>
    </row>
    <row r="488" spans="1:9" x14ac:dyDescent="0.15">
      <c r="A488" s="10">
        <v>487</v>
      </c>
      <c r="B488" s="11" t="s">
        <v>9</v>
      </c>
      <c r="C488" s="11" t="s">
        <v>152</v>
      </c>
      <c r="D488" s="11" t="s">
        <v>153</v>
      </c>
      <c r="E488" s="9" t="str">
        <f>+HYPERLINK("http://trademark.i-assist.jp/data/china/image_1906th/79551343.pdf", "79551343")</f>
        <v>79551343</v>
      </c>
      <c r="F488" s="11" t="s">
        <v>1548</v>
      </c>
      <c r="G488" s="11" t="s">
        <v>1549</v>
      </c>
      <c r="H488" s="11" t="s">
        <v>1550</v>
      </c>
      <c r="I488" s="11" t="s">
        <v>127</v>
      </c>
    </row>
    <row r="489" spans="1:9" x14ac:dyDescent="0.15">
      <c r="A489" s="10">
        <v>488</v>
      </c>
      <c r="B489" s="11" t="s">
        <v>9</v>
      </c>
      <c r="C489" s="11" t="s">
        <v>152</v>
      </c>
      <c r="D489" s="11" t="s">
        <v>153</v>
      </c>
      <c r="E489" s="9" t="str">
        <f>+HYPERLINK("http://trademark.i-assist.jp/data/china/image_1906th/79551991.pdf", "79551991")</f>
        <v>79551991</v>
      </c>
      <c r="F489" s="11" t="s">
        <v>1551</v>
      </c>
      <c r="G489" s="11" t="s">
        <v>1552</v>
      </c>
      <c r="H489" s="11" t="s">
        <v>1553</v>
      </c>
      <c r="I489" s="11" t="s">
        <v>127</v>
      </c>
    </row>
    <row r="490" spans="1:9" x14ac:dyDescent="0.15">
      <c r="A490" s="10">
        <v>489</v>
      </c>
      <c r="B490" s="11" t="s">
        <v>9</v>
      </c>
      <c r="C490" s="11" t="s">
        <v>152</v>
      </c>
      <c r="D490" s="11" t="s">
        <v>153</v>
      </c>
      <c r="E490" s="9" t="str">
        <f>+HYPERLINK("http://trademark.i-assist.jp/data/china/image_1906th/79553327.pdf", "79553327")</f>
        <v>79553327</v>
      </c>
      <c r="F490" s="11" t="s">
        <v>12</v>
      </c>
      <c r="G490" s="11" t="s">
        <v>1554</v>
      </c>
      <c r="H490" s="11" t="s">
        <v>1555</v>
      </c>
      <c r="I490" s="11" t="s">
        <v>127</v>
      </c>
    </row>
    <row r="491" spans="1:9" x14ac:dyDescent="0.15">
      <c r="A491" s="10">
        <v>490</v>
      </c>
      <c r="B491" s="11" t="s">
        <v>9</v>
      </c>
      <c r="C491" s="11" t="s">
        <v>152</v>
      </c>
      <c r="D491" s="11" t="s">
        <v>153</v>
      </c>
      <c r="E491" s="9" t="str">
        <f>+HYPERLINK("http://trademark.i-assist.jp/data/china/image_1906th/79554103.pdf", "79554103")</f>
        <v>79554103</v>
      </c>
      <c r="F491" s="11" t="s">
        <v>1556</v>
      </c>
      <c r="G491" s="11" t="s">
        <v>1557</v>
      </c>
      <c r="H491" s="11" t="s">
        <v>1558</v>
      </c>
      <c r="I491" s="11" t="s">
        <v>127</v>
      </c>
    </row>
    <row r="492" spans="1:9" x14ac:dyDescent="0.15">
      <c r="A492" s="10">
        <v>491</v>
      </c>
      <c r="B492" s="11" t="s">
        <v>9</v>
      </c>
      <c r="C492" s="11" t="s">
        <v>152</v>
      </c>
      <c r="D492" s="11" t="s">
        <v>153</v>
      </c>
      <c r="E492" s="9" t="str">
        <f>+HYPERLINK("http://trademark.i-assist.jp/data/china/image_1906th/79554123.pdf", "79554123")</f>
        <v>79554123</v>
      </c>
      <c r="F492" s="11" t="s">
        <v>1559</v>
      </c>
      <c r="G492" s="11" t="s">
        <v>1560</v>
      </c>
      <c r="H492" s="11" t="s">
        <v>1561</v>
      </c>
      <c r="I492" s="11" t="s">
        <v>127</v>
      </c>
    </row>
    <row r="493" spans="1:9" x14ac:dyDescent="0.15">
      <c r="A493" s="10">
        <v>492</v>
      </c>
      <c r="B493" s="11" t="s">
        <v>9</v>
      </c>
      <c r="C493" s="11" t="s">
        <v>152</v>
      </c>
      <c r="D493" s="11" t="s">
        <v>153</v>
      </c>
      <c r="E493" s="9" t="str">
        <f>+HYPERLINK("http://trademark.i-assist.jp/data/china/image_1906th/79554260.pdf", "79554260")</f>
        <v>79554260</v>
      </c>
      <c r="F493" s="11" t="s">
        <v>1562</v>
      </c>
      <c r="G493" s="11" t="s">
        <v>1563</v>
      </c>
      <c r="H493" s="11" t="s">
        <v>1564</v>
      </c>
      <c r="I493" s="11" t="s">
        <v>127</v>
      </c>
    </row>
    <row r="494" spans="1:9" x14ac:dyDescent="0.15">
      <c r="A494" s="10">
        <v>493</v>
      </c>
      <c r="B494" s="11" t="s">
        <v>9</v>
      </c>
      <c r="C494" s="11" t="s">
        <v>152</v>
      </c>
      <c r="D494" s="11" t="s">
        <v>153</v>
      </c>
      <c r="E494" s="9" t="str">
        <f>+HYPERLINK("http://trademark.i-assist.jp/data/china/image_1906th/79554474.pdf", "79554474")</f>
        <v>79554474</v>
      </c>
      <c r="F494" s="11" t="s">
        <v>1565</v>
      </c>
      <c r="G494" s="11" t="s">
        <v>1566</v>
      </c>
      <c r="H494" s="11" t="s">
        <v>1567</v>
      </c>
      <c r="I494" s="11" t="s">
        <v>127</v>
      </c>
    </row>
    <row r="495" spans="1:9" x14ac:dyDescent="0.15">
      <c r="A495" s="10">
        <v>494</v>
      </c>
      <c r="B495" s="11" t="s">
        <v>9</v>
      </c>
      <c r="C495" s="11" t="s">
        <v>152</v>
      </c>
      <c r="D495" s="11" t="s">
        <v>153</v>
      </c>
      <c r="E495" s="9" t="str">
        <f>+HYPERLINK("http://trademark.i-assist.jp/data/china/image_1906th/79555135.pdf", "79555135")</f>
        <v>79555135</v>
      </c>
      <c r="F495" s="11" t="s">
        <v>1568</v>
      </c>
      <c r="G495" s="11" t="s">
        <v>1569</v>
      </c>
      <c r="H495" s="11" t="s">
        <v>1570</v>
      </c>
      <c r="I495" s="11" t="s">
        <v>127</v>
      </c>
    </row>
    <row r="496" spans="1:9" x14ac:dyDescent="0.15">
      <c r="A496" s="10">
        <v>495</v>
      </c>
      <c r="B496" s="11" t="s">
        <v>9</v>
      </c>
      <c r="C496" s="11" t="s">
        <v>152</v>
      </c>
      <c r="D496" s="11" t="s">
        <v>153</v>
      </c>
      <c r="E496" s="9" t="str">
        <f>+HYPERLINK("http://trademark.i-assist.jp/data/china/image_1906th/79556619.pdf", "79556619")</f>
        <v>79556619</v>
      </c>
      <c r="F496" s="11" t="s">
        <v>1571</v>
      </c>
      <c r="G496" s="11" t="s">
        <v>1572</v>
      </c>
      <c r="H496" s="11" t="s">
        <v>1573</v>
      </c>
      <c r="I496" s="11" t="s">
        <v>127</v>
      </c>
    </row>
    <row r="497" spans="1:9" x14ac:dyDescent="0.15">
      <c r="A497" s="10">
        <v>496</v>
      </c>
      <c r="B497" s="11" t="s">
        <v>9</v>
      </c>
      <c r="C497" s="11" t="s">
        <v>152</v>
      </c>
      <c r="D497" s="11" t="s">
        <v>153</v>
      </c>
      <c r="E497" s="9" t="str">
        <f>+HYPERLINK("http://trademark.i-assist.jp/data/china/image_1906th/79557821.pdf", "79557821")</f>
        <v>79557821</v>
      </c>
      <c r="F497" s="11" t="s">
        <v>1574</v>
      </c>
      <c r="G497" s="11" t="s">
        <v>1575</v>
      </c>
      <c r="H497" s="11" t="s">
        <v>1576</v>
      </c>
      <c r="I497" s="11" t="s">
        <v>127</v>
      </c>
    </row>
    <row r="498" spans="1:9" x14ac:dyDescent="0.15">
      <c r="A498" s="10">
        <v>497</v>
      </c>
      <c r="B498" s="11" t="s">
        <v>9</v>
      </c>
      <c r="C498" s="11" t="s">
        <v>152</v>
      </c>
      <c r="D498" s="11" t="s">
        <v>153</v>
      </c>
      <c r="E498" s="9" t="str">
        <f>+HYPERLINK("http://trademark.i-assist.jp/data/china/image_1906th/79558421.pdf", "79558421")</f>
        <v>79558421</v>
      </c>
      <c r="F498" s="11" t="s">
        <v>1577</v>
      </c>
      <c r="G498" s="11" t="s">
        <v>139</v>
      </c>
      <c r="H498" s="11" t="s">
        <v>1578</v>
      </c>
      <c r="I498" s="11" t="s">
        <v>127</v>
      </c>
    </row>
    <row r="499" spans="1:9" x14ac:dyDescent="0.15">
      <c r="A499" s="10">
        <v>498</v>
      </c>
      <c r="B499" s="11" t="s">
        <v>9</v>
      </c>
      <c r="C499" s="11" t="s">
        <v>152</v>
      </c>
      <c r="D499" s="11" t="s">
        <v>153</v>
      </c>
      <c r="E499" s="9" t="str">
        <f>+HYPERLINK("http://trademark.i-assist.jp/data/china/image_1906th/79559914.pdf", "79559914")</f>
        <v>79559914</v>
      </c>
      <c r="F499" s="11" t="s">
        <v>1579</v>
      </c>
      <c r="G499" s="11" t="s">
        <v>1552</v>
      </c>
      <c r="H499" s="11" t="s">
        <v>1580</v>
      </c>
      <c r="I499" s="11" t="s">
        <v>127</v>
      </c>
    </row>
    <row r="500" spans="1:9" x14ac:dyDescent="0.15">
      <c r="A500" s="10">
        <v>499</v>
      </c>
      <c r="B500" s="11" t="s">
        <v>9</v>
      </c>
      <c r="C500" s="11" t="s">
        <v>152</v>
      </c>
      <c r="D500" s="11" t="s">
        <v>153</v>
      </c>
      <c r="E500" s="9" t="str">
        <f>+HYPERLINK("http://trademark.i-assist.jp/data/china/image_1906th/79560296.pdf", "79560296")</f>
        <v>79560296</v>
      </c>
      <c r="F500" s="11" t="s">
        <v>1581</v>
      </c>
      <c r="G500" s="11" t="s">
        <v>1582</v>
      </c>
      <c r="H500" s="11" t="s">
        <v>1583</v>
      </c>
      <c r="I500" s="11" t="s">
        <v>127</v>
      </c>
    </row>
    <row r="501" spans="1:9" x14ac:dyDescent="0.15">
      <c r="A501" s="10">
        <v>500</v>
      </c>
      <c r="B501" s="11" t="s">
        <v>9</v>
      </c>
      <c r="C501" s="11" t="s">
        <v>152</v>
      </c>
      <c r="D501" s="11" t="s">
        <v>153</v>
      </c>
      <c r="E501" s="9" t="str">
        <f>+HYPERLINK("http://trademark.i-assist.jp/data/china/image_1906th/79561683.pdf", "79561683")</f>
        <v>79561683</v>
      </c>
      <c r="F501" s="11" t="s">
        <v>1584</v>
      </c>
      <c r="G501" s="11" t="s">
        <v>1585</v>
      </c>
      <c r="H501" s="11" t="s">
        <v>1586</v>
      </c>
      <c r="I501" s="11" t="s">
        <v>127</v>
      </c>
    </row>
    <row r="502" spans="1:9" x14ac:dyDescent="0.15">
      <c r="A502" s="10">
        <v>501</v>
      </c>
      <c r="B502" s="11" t="s">
        <v>9</v>
      </c>
      <c r="C502" s="11" t="s">
        <v>152</v>
      </c>
      <c r="D502" s="11" t="s">
        <v>153</v>
      </c>
      <c r="E502" s="9" t="str">
        <f>+HYPERLINK("http://trademark.i-assist.jp/data/china/image_1906th/79562782.pdf", "79562782")</f>
        <v>79562782</v>
      </c>
      <c r="F502" s="11" t="s">
        <v>1587</v>
      </c>
      <c r="G502" s="11" t="s">
        <v>1588</v>
      </c>
      <c r="H502" s="11" t="s">
        <v>1589</v>
      </c>
      <c r="I502" s="11" t="s">
        <v>127</v>
      </c>
    </row>
    <row r="503" spans="1:9" x14ac:dyDescent="0.15">
      <c r="A503" s="10">
        <v>502</v>
      </c>
      <c r="B503" s="11" t="s">
        <v>9</v>
      </c>
      <c r="C503" s="11" t="s">
        <v>152</v>
      </c>
      <c r="D503" s="11" t="s">
        <v>153</v>
      </c>
      <c r="E503" s="9" t="str">
        <f>+HYPERLINK("http://trademark.i-assist.jp/data/china/image_1906th/79563960.pdf", "79563960")</f>
        <v>79563960</v>
      </c>
      <c r="F503" s="11" t="s">
        <v>1590</v>
      </c>
      <c r="G503" s="11" t="s">
        <v>1591</v>
      </c>
      <c r="H503" s="11" t="s">
        <v>1592</v>
      </c>
      <c r="I503" s="11" t="s">
        <v>127</v>
      </c>
    </row>
    <row r="504" spans="1:9" x14ac:dyDescent="0.15">
      <c r="A504" s="10">
        <v>503</v>
      </c>
      <c r="B504" s="11" t="s">
        <v>9</v>
      </c>
      <c r="C504" s="11" t="s">
        <v>152</v>
      </c>
      <c r="D504" s="11" t="s">
        <v>153</v>
      </c>
      <c r="E504" s="9" t="str">
        <f>+HYPERLINK("http://trademark.i-assist.jp/data/china/image_1906th/79564334.pdf", "79564334")</f>
        <v>79564334</v>
      </c>
      <c r="F504" s="11" t="s">
        <v>1593</v>
      </c>
      <c r="G504" s="11" t="s">
        <v>1594</v>
      </c>
      <c r="H504" s="11" t="s">
        <v>1595</v>
      </c>
      <c r="I504" s="11" t="s">
        <v>127</v>
      </c>
    </row>
    <row r="505" spans="1:9" x14ac:dyDescent="0.15">
      <c r="A505" s="10">
        <v>504</v>
      </c>
      <c r="B505" s="11" t="s">
        <v>9</v>
      </c>
      <c r="C505" s="11" t="s">
        <v>152</v>
      </c>
      <c r="D505" s="11" t="s">
        <v>153</v>
      </c>
      <c r="E505" s="9" t="str">
        <f>+HYPERLINK("http://trademark.i-assist.jp/data/china/image_1906th/79564354.pdf", "79564354")</f>
        <v>79564354</v>
      </c>
      <c r="F505" s="11" t="s">
        <v>1596</v>
      </c>
      <c r="G505" s="11" t="s">
        <v>121</v>
      </c>
      <c r="H505" s="11" t="s">
        <v>1597</v>
      </c>
      <c r="I505" s="11" t="s">
        <v>127</v>
      </c>
    </row>
    <row r="506" spans="1:9" x14ac:dyDescent="0.15">
      <c r="A506" s="10">
        <v>505</v>
      </c>
      <c r="B506" s="11" t="s">
        <v>9</v>
      </c>
      <c r="C506" s="11" t="s">
        <v>152</v>
      </c>
      <c r="D506" s="11" t="s">
        <v>153</v>
      </c>
      <c r="E506" s="9" t="str">
        <f>+HYPERLINK("http://trademark.i-assist.jp/data/china/image_1906th/79564442.pdf", "79564442")</f>
        <v>79564442</v>
      </c>
      <c r="F506" s="11" t="s">
        <v>1598</v>
      </c>
      <c r="G506" s="11" t="s">
        <v>806</v>
      </c>
      <c r="H506" s="11" t="s">
        <v>1599</v>
      </c>
      <c r="I506" s="11" t="s">
        <v>127</v>
      </c>
    </row>
    <row r="507" spans="1:9" x14ac:dyDescent="0.15">
      <c r="A507" s="10">
        <v>506</v>
      </c>
      <c r="B507" s="11" t="s">
        <v>9</v>
      </c>
      <c r="C507" s="11" t="s">
        <v>152</v>
      </c>
      <c r="D507" s="11" t="s">
        <v>153</v>
      </c>
      <c r="E507" s="9" t="str">
        <f>+HYPERLINK("http://trademark.i-assist.jp/data/china/image_1906th/79564765.pdf", "79564765")</f>
        <v>79564765</v>
      </c>
      <c r="F507" s="11" t="s">
        <v>1600</v>
      </c>
      <c r="G507" s="11" t="s">
        <v>1601</v>
      </c>
      <c r="H507" s="11" t="s">
        <v>1602</v>
      </c>
      <c r="I507" s="11" t="s">
        <v>127</v>
      </c>
    </row>
    <row r="508" spans="1:9" x14ac:dyDescent="0.15">
      <c r="A508" s="10">
        <v>507</v>
      </c>
      <c r="B508" s="11" t="s">
        <v>9</v>
      </c>
      <c r="C508" s="11" t="s">
        <v>152</v>
      </c>
      <c r="D508" s="11" t="s">
        <v>153</v>
      </c>
      <c r="E508" s="9" t="str">
        <f>+HYPERLINK("http://trademark.i-assist.jp/data/china/image_1906th/79566161.pdf", "79566161")</f>
        <v>79566161</v>
      </c>
      <c r="F508" s="11" t="s">
        <v>1603</v>
      </c>
      <c r="G508" s="11" t="s">
        <v>1604</v>
      </c>
      <c r="H508" s="11" t="s">
        <v>1605</v>
      </c>
      <c r="I508" s="11" t="s">
        <v>127</v>
      </c>
    </row>
    <row r="509" spans="1:9" x14ac:dyDescent="0.15">
      <c r="A509" s="10">
        <v>508</v>
      </c>
      <c r="B509" s="11" t="s">
        <v>9</v>
      </c>
      <c r="C509" s="11" t="s">
        <v>152</v>
      </c>
      <c r="D509" s="11" t="s">
        <v>153</v>
      </c>
      <c r="E509" s="9" t="str">
        <f>+HYPERLINK("http://trademark.i-assist.jp/data/china/image_1906th/79566263.pdf", "79566263")</f>
        <v>79566263</v>
      </c>
      <c r="F509" s="11" t="s">
        <v>1606</v>
      </c>
      <c r="G509" s="11" t="s">
        <v>1607</v>
      </c>
      <c r="H509" s="11" t="s">
        <v>1608</v>
      </c>
      <c r="I509" s="11" t="s">
        <v>127</v>
      </c>
    </row>
    <row r="510" spans="1:9" x14ac:dyDescent="0.15">
      <c r="A510" s="10">
        <v>509</v>
      </c>
      <c r="B510" s="11" t="s">
        <v>9</v>
      </c>
      <c r="C510" s="11" t="s">
        <v>152</v>
      </c>
      <c r="D510" s="11" t="s">
        <v>153</v>
      </c>
      <c r="E510" s="9" t="str">
        <f>+HYPERLINK("http://trademark.i-assist.jp/data/china/image_1906th/79566609.pdf", "79566609")</f>
        <v>79566609</v>
      </c>
      <c r="F510" s="11" t="s">
        <v>1609</v>
      </c>
      <c r="G510" s="11" t="s">
        <v>1610</v>
      </c>
      <c r="H510" s="11" t="s">
        <v>1611</v>
      </c>
      <c r="I510" s="11" t="s">
        <v>127</v>
      </c>
    </row>
    <row r="511" spans="1:9" x14ac:dyDescent="0.15">
      <c r="A511" s="10">
        <v>510</v>
      </c>
      <c r="B511" s="11" t="s">
        <v>9</v>
      </c>
      <c r="C511" s="11" t="s">
        <v>152</v>
      </c>
      <c r="D511" s="11" t="s">
        <v>153</v>
      </c>
      <c r="E511" s="9" t="str">
        <f>+HYPERLINK("http://trademark.i-assist.jp/data/china/image_1906th/79567557.pdf", "79567557")</f>
        <v>79567557</v>
      </c>
      <c r="F511" s="11" t="s">
        <v>1612</v>
      </c>
      <c r="G511" s="11" t="s">
        <v>1588</v>
      </c>
      <c r="H511" s="11" t="s">
        <v>1613</v>
      </c>
      <c r="I511" s="11" t="s">
        <v>127</v>
      </c>
    </row>
    <row r="512" spans="1:9" x14ac:dyDescent="0.15">
      <c r="A512" s="10">
        <v>511</v>
      </c>
      <c r="B512" s="11" t="s">
        <v>9</v>
      </c>
      <c r="C512" s="11" t="s">
        <v>152</v>
      </c>
      <c r="D512" s="11" t="s">
        <v>153</v>
      </c>
      <c r="E512" s="9" t="str">
        <f>+HYPERLINK("http://trademark.i-assist.jp/data/china/image_1906th/79567926.pdf", "79567926")</f>
        <v>79567926</v>
      </c>
      <c r="F512" s="11" t="s">
        <v>1614</v>
      </c>
      <c r="G512" s="11" t="s">
        <v>1615</v>
      </c>
      <c r="H512" s="11" t="s">
        <v>1616</v>
      </c>
      <c r="I512" s="11" t="s">
        <v>127</v>
      </c>
    </row>
    <row r="513" spans="1:9" x14ac:dyDescent="0.15">
      <c r="A513" s="10">
        <v>512</v>
      </c>
      <c r="B513" s="11" t="s">
        <v>9</v>
      </c>
      <c r="C513" s="11" t="s">
        <v>152</v>
      </c>
      <c r="D513" s="11" t="s">
        <v>153</v>
      </c>
      <c r="E513" s="9" t="str">
        <f>+HYPERLINK("http://trademark.i-assist.jp/data/china/image_1906th/79568117.pdf", "79568117")</f>
        <v>79568117</v>
      </c>
      <c r="F513" s="11" t="s">
        <v>1617</v>
      </c>
      <c r="G513" s="11" t="s">
        <v>1618</v>
      </c>
      <c r="H513" s="11" t="s">
        <v>1619</v>
      </c>
      <c r="I513" s="11" t="s">
        <v>127</v>
      </c>
    </row>
    <row r="514" spans="1:9" x14ac:dyDescent="0.15">
      <c r="A514" s="10">
        <v>513</v>
      </c>
      <c r="B514" s="11" t="s">
        <v>9</v>
      </c>
      <c r="C514" s="11" t="s">
        <v>152</v>
      </c>
      <c r="D514" s="11" t="s">
        <v>153</v>
      </c>
      <c r="E514" s="9" t="str">
        <f>+HYPERLINK("http://trademark.i-assist.jp/data/china/image_1906th/79569136.pdf", "79569136")</f>
        <v>79569136</v>
      </c>
      <c r="F514" s="11" t="s">
        <v>1620</v>
      </c>
      <c r="G514" s="11" t="s">
        <v>1445</v>
      </c>
      <c r="H514" s="11" t="s">
        <v>1621</v>
      </c>
      <c r="I514" s="11" t="s">
        <v>127</v>
      </c>
    </row>
    <row r="515" spans="1:9" x14ac:dyDescent="0.15">
      <c r="A515" s="10">
        <v>514</v>
      </c>
      <c r="B515" s="11" t="s">
        <v>9</v>
      </c>
      <c r="C515" s="11" t="s">
        <v>152</v>
      </c>
      <c r="D515" s="11" t="s">
        <v>153</v>
      </c>
      <c r="E515" s="9" t="str">
        <f>+HYPERLINK("http://trademark.i-assist.jp/data/china/image_1906th/79570558.pdf", "79570558")</f>
        <v>79570558</v>
      </c>
      <c r="F515" s="11" t="s">
        <v>1622</v>
      </c>
      <c r="G515" s="11" t="s">
        <v>1623</v>
      </c>
      <c r="H515" s="11" t="s">
        <v>1624</v>
      </c>
      <c r="I515" s="11" t="s">
        <v>127</v>
      </c>
    </row>
    <row r="516" spans="1:9" x14ac:dyDescent="0.15">
      <c r="A516" s="10">
        <v>515</v>
      </c>
      <c r="B516" s="11" t="s">
        <v>9</v>
      </c>
      <c r="C516" s="11" t="s">
        <v>152</v>
      </c>
      <c r="D516" s="11" t="s">
        <v>153</v>
      </c>
      <c r="E516" s="9" t="str">
        <f>+HYPERLINK("http://trademark.i-assist.jp/data/china/image_1906th/79570608.pdf", "79570608")</f>
        <v>79570608</v>
      </c>
      <c r="F516" s="11" t="s">
        <v>1625</v>
      </c>
      <c r="G516" s="11" t="s">
        <v>1626</v>
      </c>
      <c r="H516" s="11" t="s">
        <v>1627</v>
      </c>
      <c r="I516" s="11" t="s">
        <v>127</v>
      </c>
    </row>
    <row r="517" spans="1:9" x14ac:dyDescent="0.15">
      <c r="A517" s="10">
        <v>516</v>
      </c>
      <c r="B517" s="11" t="s">
        <v>9</v>
      </c>
      <c r="C517" s="11" t="s">
        <v>152</v>
      </c>
      <c r="D517" s="11" t="s">
        <v>153</v>
      </c>
      <c r="E517" s="9" t="str">
        <f>+HYPERLINK("http://trademark.i-assist.jp/data/china/image_1906th/79571919.pdf", "79571919")</f>
        <v>79571919</v>
      </c>
      <c r="F517" s="11" t="s">
        <v>1628</v>
      </c>
      <c r="G517" s="11" t="s">
        <v>1629</v>
      </c>
      <c r="H517" s="11" t="s">
        <v>1630</v>
      </c>
      <c r="I517" s="11" t="s">
        <v>127</v>
      </c>
    </row>
    <row r="518" spans="1:9" x14ac:dyDescent="0.15">
      <c r="A518" s="10">
        <v>517</v>
      </c>
      <c r="B518" s="11" t="s">
        <v>9</v>
      </c>
      <c r="C518" s="11" t="s">
        <v>152</v>
      </c>
      <c r="D518" s="11" t="s">
        <v>153</v>
      </c>
      <c r="E518" s="9" t="str">
        <f>+HYPERLINK("http://trademark.i-assist.jp/data/china/image_1906th/79572132.pdf", "79572132")</f>
        <v>79572132</v>
      </c>
      <c r="F518" s="11" t="s">
        <v>1631</v>
      </c>
      <c r="G518" s="11" t="s">
        <v>1632</v>
      </c>
      <c r="H518" s="11" t="s">
        <v>1633</v>
      </c>
      <c r="I518" s="11" t="s">
        <v>127</v>
      </c>
    </row>
    <row r="519" spans="1:9" x14ac:dyDescent="0.15">
      <c r="A519" s="10">
        <v>518</v>
      </c>
      <c r="B519" s="11" t="s">
        <v>9</v>
      </c>
      <c r="C519" s="11" t="s">
        <v>152</v>
      </c>
      <c r="D519" s="11" t="s">
        <v>153</v>
      </c>
      <c r="E519" s="9" t="str">
        <f>+HYPERLINK("http://trademark.i-assist.jp/data/china/image_1906th/79572167.pdf", "79572167")</f>
        <v>79572167</v>
      </c>
      <c r="F519" s="11" t="s">
        <v>1634</v>
      </c>
      <c r="G519" s="11" t="s">
        <v>1635</v>
      </c>
      <c r="H519" s="11" t="s">
        <v>1636</v>
      </c>
      <c r="I519" s="11" t="s">
        <v>127</v>
      </c>
    </row>
    <row r="520" spans="1:9" x14ac:dyDescent="0.15">
      <c r="A520" s="10">
        <v>519</v>
      </c>
      <c r="B520" s="11" t="s">
        <v>9</v>
      </c>
      <c r="C520" s="11" t="s">
        <v>152</v>
      </c>
      <c r="D520" s="11" t="s">
        <v>153</v>
      </c>
      <c r="E520" s="9" t="str">
        <f>+HYPERLINK("http://trademark.i-assist.jp/data/china/image_1906th/79572197.pdf", "79572197")</f>
        <v>79572197</v>
      </c>
      <c r="F520" s="11" t="s">
        <v>1637</v>
      </c>
      <c r="G520" s="11" t="s">
        <v>126</v>
      </c>
      <c r="H520" s="11" t="s">
        <v>1638</v>
      </c>
      <c r="I520" s="11" t="s">
        <v>127</v>
      </c>
    </row>
    <row r="521" spans="1:9" x14ac:dyDescent="0.15">
      <c r="A521" s="10">
        <v>520</v>
      </c>
      <c r="B521" s="11" t="s">
        <v>9</v>
      </c>
      <c r="C521" s="11" t="s">
        <v>152</v>
      </c>
      <c r="D521" s="11" t="s">
        <v>153</v>
      </c>
      <c r="E521" s="9" t="str">
        <f>+HYPERLINK("http://trademark.i-assist.jp/data/china/image_1906th/79573432.pdf", "79573432")</f>
        <v>79573432</v>
      </c>
      <c r="F521" s="11" t="s">
        <v>1639</v>
      </c>
      <c r="G521" s="11" t="s">
        <v>1640</v>
      </c>
      <c r="H521" s="11" t="s">
        <v>1641</v>
      </c>
      <c r="I521" s="11" t="s">
        <v>127</v>
      </c>
    </row>
    <row r="522" spans="1:9" x14ac:dyDescent="0.15">
      <c r="A522" s="10">
        <v>521</v>
      </c>
      <c r="B522" s="11" t="s">
        <v>9</v>
      </c>
      <c r="C522" s="11" t="s">
        <v>152</v>
      </c>
      <c r="D522" s="11" t="s">
        <v>153</v>
      </c>
      <c r="E522" s="9" t="str">
        <f>+HYPERLINK("http://trademark.i-assist.jp/data/china/image_1906th/79573740.pdf", "79573740")</f>
        <v>79573740</v>
      </c>
      <c r="F522" s="11" t="s">
        <v>1642</v>
      </c>
      <c r="G522" s="11" t="s">
        <v>1643</v>
      </c>
      <c r="H522" s="11" t="s">
        <v>1644</v>
      </c>
      <c r="I522" s="11" t="s">
        <v>127</v>
      </c>
    </row>
    <row r="523" spans="1:9" x14ac:dyDescent="0.15">
      <c r="A523" s="10">
        <v>522</v>
      </c>
      <c r="B523" s="11" t="s">
        <v>9</v>
      </c>
      <c r="C523" s="11" t="s">
        <v>152</v>
      </c>
      <c r="D523" s="11" t="s">
        <v>153</v>
      </c>
      <c r="E523" s="9" t="str">
        <f>+HYPERLINK("http://trademark.i-assist.jp/data/china/image_1906th/79573759.pdf", "79573759")</f>
        <v>79573759</v>
      </c>
      <c r="F523" s="11" t="s">
        <v>1645</v>
      </c>
      <c r="G523" s="11" t="s">
        <v>1563</v>
      </c>
      <c r="H523" s="11" t="s">
        <v>1646</v>
      </c>
      <c r="I523" s="11" t="s">
        <v>127</v>
      </c>
    </row>
    <row r="524" spans="1:9" x14ac:dyDescent="0.15">
      <c r="A524" s="10">
        <v>523</v>
      </c>
      <c r="B524" s="11" t="s">
        <v>9</v>
      </c>
      <c r="C524" s="11" t="s">
        <v>152</v>
      </c>
      <c r="D524" s="11" t="s">
        <v>153</v>
      </c>
      <c r="E524" s="9" t="str">
        <f>+HYPERLINK("http://trademark.i-assist.jp/data/china/image_1906th/79577486.pdf", "79577486")</f>
        <v>79577486</v>
      </c>
      <c r="F524" s="11" t="s">
        <v>1647</v>
      </c>
      <c r="G524" s="11" t="s">
        <v>95</v>
      </c>
      <c r="H524" s="11" t="s">
        <v>1648</v>
      </c>
      <c r="I524" s="11" t="s">
        <v>131</v>
      </c>
    </row>
    <row r="525" spans="1:9" x14ac:dyDescent="0.15">
      <c r="A525" s="10">
        <v>524</v>
      </c>
      <c r="B525" s="11" t="s">
        <v>9</v>
      </c>
      <c r="C525" s="11" t="s">
        <v>152</v>
      </c>
      <c r="D525" s="11" t="s">
        <v>153</v>
      </c>
      <c r="E525" s="9" t="str">
        <f>+HYPERLINK("http://trademark.i-assist.jp/data/china/image_1906th/79578987.pdf", "79578987")</f>
        <v>79578987</v>
      </c>
      <c r="F525" s="11" t="s">
        <v>1649</v>
      </c>
      <c r="G525" s="11" t="s">
        <v>1650</v>
      </c>
      <c r="H525" s="11" t="s">
        <v>1651</v>
      </c>
      <c r="I525" s="11" t="s">
        <v>131</v>
      </c>
    </row>
    <row r="526" spans="1:9" x14ac:dyDescent="0.15">
      <c r="A526" s="10">
        <v>525</v>
      </c>
      <c r="B526" s="11" t="s">
        <v>9</v>
      </c>
      <c r="C526" s="11" t="s">
        <v>152</v>
      </c>
      <c r="D526" s="11" t="s">
        <v>153</v>
      </c>
      <c r="E526" s="9" t="str">
        <f>+HYPERLINK("http://trademark.i-assist.jp/data/china/image_1906th/79580080.pdf", "79580080")</f>
        <v>79580080</v>
      </c>
      <c r="F526" s="11" t="s">
        <v>1652</v>
      </c>
      <c r="G526" s="11" t="s">
        <v>1653</v>
      </c>
      <c r="H526" s="11" t="s">
        <v>1654</v>
      </c>
      <c r="I526" s="11" t="s">
        <v>131</v>
      </c>
    </row>
    <row r="527" spans="1:9" x14ac:dyDescent="0.15">
      <c r="A527" s="10">
        <v>526</v>
      </c>
      <c r="B527" s="11" t="s">
        <v>9</v>
      </c>
      <c r="C527" s="11" t="s">
        <v>152</v>
      </c>
      <c r="D527" s="11" t="s">
        <v>153</v>
      </c>
      <c r="E527" s="9" t="str">
        <f>+HYPERLINK("http://trademark.i-assist.jp/data/china/image_1906th/79580695.pdf", "79580695")</f>
        <v>79580695</v>
      </c>
      <c r="F527" s="11" t="s">
        <v>1655</v>
      </c>
      <c r="G527" s="11" t="s">
        <v>1656</v>
      </c>
      <c r="H527" s="11" t="s">
        <v>1654</v>
      </c>
      <c r="I527" s="11" t="s">
        <v>131</v>
      </c>
    </row>
    <row r="528" spans="1:9" x14ac:dyDescent="0.15">
      <c r="A528" s="10">
        <v>527</v>
      </c>
      <c r="B528" s="11" t="s">
        <v>9</v>
      </c>
      <c r="C528" s="11" t="s">
        <v>152</v>
      </c>
      <c r="D528" s="11" t="s">
        <v>153</v>
      </c>
      <c r="E528" s="9" t="str">
        <f>+HYPERLINK("http://trademark.i-assist.jp/data/china/image_1906th/79581502.pdf", "79581502")</f>
        <v>79581502</v>
      </c>
      <c r="F528" s="11" t="s">
        <v>12</v>
      </c>
      <c r="G528" s="11" t="s">
        <v>1657</v>
      </c>
      <c r="H528" s="11" t="s">
        <v>1658</v>
      </c>
      <c r="I528" s="11" t="s">
        <v>131</v>
      </c>
    </row>
    <row r="529" spans="1:9" x14ac:dyDescent="0.15">
      <c r="A529" s="10">
        <v>528</v>
      </c>
      <c r="B529" s="11" t="s">
        <v>9</v>
      </c>
      <c r="C529" s="11" t="s">
        <v>152</v>
      </c>
      <c r="D529" s="11" t="s">
        <v>153</v>
      </c>
      <c r="E529" s="9" t="str">
        <f>+HYPERLINK("http://trademark.i-assist.jp/data/china/image_1906th/79582924.pdf", "79582924")</f>
        <v>79582924</v>
      </c>
      <c r="F529" s="11" t="s">
        <v>12</v>
      </c>
      <c r="G529" s="11" t="s">
        <v>1659</v>
      </c>
      <c r="H529" s="11" t="s">
        <v>1660</v>
      </c>
      <c r="I529" s="11" t="s">
        <v>131</v>
      </c>
    </row>
    <row r="530" spans="1:9" x14ac:dyDescent="0.15">
      <c r="A530" s="10">
        <v>529</v>
      </c>
      <c r="B530" s="11" t="s">
        <v>9</v>
      </c>
      <c r="C530" s="11" t="s">
        <v>152</v>
      </c>
      <c r="D530" s="11" t="s">
        <v>153</v>
      </c>
      <c r="E530" s="9" t="str">
        <f>+HYPERLINK("http://trademark.i-assist.jp/data/china/image_1906th/79584255.pdf", "79584255")</f>
        <v>79584255</v>
      </c>
      <c r="F530" s="11" t="s">
        <v>1661</v>
      </c>
      <c r="G530" s="11" t="s">
        <v>1662</v>
      </c>
      <c r="H530" s="11" t="s">
        <v>1663</v>
      </c>
      <c r="I530" s="11" t="s">
        <v>131</v>
      </c>
    </row>
    <row r="531" spans="1:9" x14ac:dyDescent="0.15">
      <c r="A531" s="10">
        <v>530</v>
      </c>
      <c r="B531" s="11" t="s">
        <v>9</v>
      </c>
      <c r="C531" s="11" t="s">
        <v>152</v>
      </c>
      <c r="D531" s="11" t="s">
        <v>153</v>
      </c>
      <c r="E531" s="9" t="str">
        <f>+HYPERLINK("http://trademark.i-assist.jp/data/china/image_1906th/79586024.pdf", "79586024")</f>
        <v>79586024</v>
      </c>
      <c r="F531" s="11" t="s">
        <v>12</v>
      </c>
      <c r="G531" s="11" t="s">
        <v>1664</v>
      </c>
      <c r="H531" s="11" t="s">
        <v>1665</v>
      </c>
      <c r="I531" s="11" t="s">
        <v>131</v>
      </c>
    </row>
    <row r="532" spans="1:9" x14ac:dyDescent="0.15">
      <c r="A532" s="10">
        <v>531</v>
      </c>
      <c r="B532" s="11" t="s">
        <v>9</v>
      </c>
      <c r="C532" s="11" t="s">
        <v>152</v>
      </c>
      <c r="D532" s="11" t="s">
        <v>153</v>
      </c>
      <c r="E532" s="9" t="str">
        <f>+HYPERLINK("http://trademark.i-assist.jp/data/china/image_1906th/79587785.pdf", "79587785")</f>
        <v>79587785</v>
      </c>
      <c r="F532" s="11" t="s">
        <v>1666</v>
      </c>
      <c r="G532" s="11" t="s">
        <v>1667</v>
      </c>
      <c r="H532" s="11" t="s">
        <v>1668</v>
      </c>
      <c r="I532" s="11" t="s">
        <v>131</v>
      </c>
    </row>
    <row r="533" spans="1:9" x14ac:dyDescent="0.15">
      <c r="A533" s="10">
        <v>532</v>
      </c>
      <c r="B533" s="11" t="s">
        <v>9</v>
      </c>
      <c r="C533" s="11" t="s">
        <v>152</v>
      </c>
      <c r="D533" s="11" t="s">
        <v>153</v>
      </c>
      <c r="E533" s="9" t="str">
        <f>+HYPERLINK("http://trademark.i-assist.jp/data/china/image_1906th/79588670.pdf", "79588670")</f>
        <v>79588670</v>
      </c>
      <c r="F533" s="11" t="s">
        <v>1669</v>
      </c>
      <c r="G533" s="11" t="s">
        <v>1670</v>
      </c>
      <c r="H533" s="11" t="s">
        <v>1671</v>
      </c>
      <c r="I533" s="11" t="s">
        <v>131</v>
      </c>
    </row>
    <row r="534" spans="1:9" x14ac:dyDescent="0.15">
      <c r="A534" s="10">
        <v>533</v>
      </c>
      <c r="B534" s="11" t="s">
        <v>9</v>
      </c>
      <c r="C534" s="11" t="s">
        <v>152</v>
      </c>
      <c r="D534" s="11" t="s">
        <v>153</v>
      </c>
      <c r="E534" s="9" t="str">
        <f>+HYPERLINK("http://trademark.i-assist.jp/data/china/image_1906th/79588693.pdf", "79588693")</f>
        <v>79588693</v>
      </c>
      <c r="F534" s="11" t="s">
        <v>1672</v>
      </c>
      <c r="G534" s="11" t="s">
        <v>1673</v>
      </c>
      <c r="H534" s="11" t="s">
        <v>1674</v>
      </c>
      <c r="I534" s="11" t="s">
        <v>131</v>
      </c>
    </row>
    <row r="535" spans="1:9" x14ac:dyDescent="0.15">
      <c r="A535" s="10">
        <v>534</v>
      </c>
      <c r="B535" s="11" t="s">
        <v>9</v>
      </c>
      <c r="C535" s="11" t="s">
        <v>152</v>
      </c>
      <c r="D535" s="11" t="s">
        <v>153</v>
      </c>
      <c r="E535" s="9" t="str">
        <f>+HYPERLINK("http://trademark.i-assist.jp/data/china/image_1906th/79589570.pdf", "79589570")</f>
        <v>79589570</v>
      </c>
      <c r="F535" s="11" t="s">
        <v>1675</v>
      </c>
      <c r="G535" s="11" t="s">
        <v>1676</v>
      </c>
      <c r="H535" s="11" t="s">
        <v>1677</v>
      </c>
      <c r="I535" s="11" t="s">
        <v>131</v>
      </c>
    </row>
    <row r="536" spans="1:9" x14ac:dyDescent="0.15">
      <c r="A536" s="10">
        <v>535</v>
      </c>
      <c r="B536" s="11" t="s">
        <v>9</v>
      </c>
      <c r="C536" s="11" t="s">
        <v>152</v>
      </c>
      <c r="D536" s="11" t="s">
        <v>153</v>
      </c>
      <c r="E536" s="9" t="str">
        <f>+HYPERLINK("http://trademark.i-assist.jp/data/china/image_1906th/79589670.pdf", "79589670")</f>
        <v>79589670</v>
      </c>
      <c r="F536" s="11" t="s">
        <v>1678</v>
      </c>
      <c r="G536" s="11" t="s">
        <v>1679</v>
      </c>
      <c r="H536" s="11" t="s">
        <v>1680</v>
      </c>
      <c r="I536" s="11" t="s">
        <v>131</v>
      </c>
    </row>
    <row r="537" spans="1:9" x14ac:dyDescent="0.15">
      <c r="A537" s="10">
        <v>536</v>
      </c>
      <c r="B537" s="11" t="s">
        <v>9</v>
      </c>
      <c r="C537" s="11" t="s">
        <v>152</v>
      </c>
      <c r="D537" s="11" t="s">
        <v>153</v>
      </c>
      <c r="E537" s="9" t="str">
        <f>+HYPERLINK("http://trademark.i-assist.jp/data/china/image_1906th/79591015.pdf", "79591015")</f>
        <v>79591015</v>
      </c>
      <c r="F537" s="11" t="s">
        <v>1681</v>
      </c>
      <c r="G537" s="11" t="s">
        <v>1682</v>
      </c>
      <c r="H537" s="11" t="s">
        <v>1683</v>
      </c>
      <c r="I537" s="11" t="s">
        <v>131</v>
      </c>
    </row>
    <row r="538" spans="1:9" x14ac:dyDescent="0.15">
      <c r="A538" s="10">
        <v>537</v>
      </c>
      <c r="B538" s="11" t="s">
        <v>9</v>
      </c>
      <c r="C538" s="11" t="s">
        <v>152</v>
      </c>
      <c r="D538" s="11" t="s">
        <v>153</v>
      </c>
      <c r="E538" s="9" t="str">
        <f>+HYPERLINK("http://trademark.i-assist.jp/data/china/image_1906th/79591042.pdf", "79591042")</f>
        <v>79591042</v>
      </c>
      <c r="F538" s="11" t="s">
        <v>1684</v>
      </c>
      <c r="G538" s="11" t="s">
        <v>1685</v>
      </c>
      <c r="H538" s="11" t="s">
        <v>1686</v>
      </c>
      <c r="I538" s="11" t="s">
        <v>131</v>
      </c>
    </row>
    <row r="539" spans="1:9" x14ac:dyDescent="0.15">
      <c r="A539" s="10">
        <v>538</v>
      </c>
      <c r="B539" s="11" t="s">
        <v>9</v>
      </c>
      <c r="C539" s="11" t="s">
        <v>152</v>
      </c>
      <c r="D539" s="11" t="s">
        <v>153</v>
      </c>
      <c r="E539" s="9" t="str">
        <f>+HYPERLINK("http://trademark.i-assist.jp/data/china/image_1906th/79591323.pdf", "79591323")</f>
        <v>79591323</v>
      </c>
      <c r="F539" s="11" t="s">
        <v>1687</v>
      </c>
      <c r="G539" s="11" t="s">
        <v>1688</v>
      </c>
      <c r="H539" s="11" t="s">
        <v>1689</v>
      </c>
      <c r="I539" s="11" t="s">
        <v>131</v>
      </c>
    </row>
    <row r="540" spans="1:9" x14ac:dyDescent="0.15">
      <c r="A540" s="10">
        <v>539</v>
      </c>
      <c r="B540" s="11" t="s">
        <v>9</v>
      </c>
      <c r="C540" s="11" t="s">
        <v>152</v>
      </c>
      <c r="D540" s="11" t="s">
        <v>153</v>
      </c>
      <c r="E540" s="9" t="str">
        <f>+HYPERLINK("http://trademark.i-assist.jp/data/china/image_1906th/79592689.pdf", "79592689")</f>
        <v>79592689</v>
      </c>
      <c r="F540" s="11" t="s">
        <v>1690</v>
      </c>
      <c r="G540" s="11" t="s">
        <v>1691</v>
      </c>
      <c r="H540" s="11" t="s">
        <v>1692</v>
      </c>
      <c r="I540" s="11" t="s">
        <v>131</v>
      </c>
    </row>
    <row r="541" spans="1:9" x14ac:dyDescent="0.15">
      <c r="A541" s="10">
        <v>540</v>
      </c>
      <c r="B541" s="11" t="s">
        <v>9</v>
      </c>
      <c r="C541" s="11" t="s">
        <v>152</v>
      </c>
      <c r="D541" s="11" t="s">
        <v>153</v>
      </c>
      <c r="E541" s="9" t="str">
        <f>+HYPERLINK("http://trademark.i-assist.jp/data/china/image_1906th/79593528.pdf", "79593528")</f>
        <v>79593528</v>
      </c>
      <c r="F541" s="11" t="s">
        <v>1693</v>
      </c>
      <c r="G541" s="11" t="s">
        <v>98</v>
      </c>
      <c r="H541" s="11" t="s">
        <v>1694</v>
      </c>
      <c r="I541" s="11" t="s">
        <v>131</v>
      </c>
    </row>
    <row r="542" spans="1:9" x14ac:dyDescent="0.15">
      <c r="A542" s="10">
        <v>541</v>
      </c>
      <c r="B542" s="11" t="s">
        <v>9</v>
      </c>
      <c r="C542" s="11" t="s">
        <v>152</v>
      </c>
      <c r="D542" s="11" t="s">
        <v>153</v>
      </c>
      <c r="E542" s="9" t="str">
        <f>+HYPERLINK("http://trademark.i-assist.jp/data/china/image_1906th/79595716.pdf", "79595716")</f>
        <v>79595716</v>
      </c>
      <c r="F542" s="11" t="s">
        <v>1695</v>
      </c>
      <c r="G542" s="11" t="s">
        <v>1679</v>
      </c>
      <c r="H542" s="11" t="s">
        <v>1696</v>
      </c>
      <c r="I542" s="11" t="s">
        <v>131</v>
      </c>
    </row>
    <row r="543" spans="1:9" x14ac:dyDescent="0.15">
      <c r="A543" s="10">
        <v>542</v>
      </c>
      <c r="B543" s="11" t="s">
        <v>9</v>
      </c>
      <c r="C543" s="11" t="s">
        <v>152</v>
      </c>
      <c r="D543" s="11" t="s">
        <v>153</v>
      </c>
      <c r="E543" s="9" t="str">
        <f>+HYPERLINK("http://trademark.i-assist.jp/data/china/image_1906th/79595728.pdf", "79595728")</f>
        <v>79595728</v>
      </c>
      <c r="F543" s="11" t="s">
        <v>1697</v>
      </c>
      <c r="G543" s="11" t="s">
        <v>1679</v>
      </c>
      <c r="H543" s="11" t="s">
        <v>1698</v>
      </c>
      <c r="I543" s="11" t="s">
        <v>131</v>
      </c>
    </row>
    <row r="544" spans="1:9" x14ac:dyDescent="0.15">
      <c r="A544" s="10">
        <v>543</v>
      </c>
      <c r="B544" s="11" t="s">
        <v>9</v>
      </c>
      <c r="C544" s="11" t="s">
        <v>152</v>
      </c>
      <c r="D544" s="11" t="s">
        <v>153</v>
      </c>
      <c r="E544" s="9" t="str">
        <f>+HYPERLINK("http://trademark.i-assist.jp/data/china/image_1906th/79596118.pdf", "79596118")</f>
        <v>79596118</v>
      </c>
      <c r="F544" s="11" t="s">
        <v>1699</v>
      </c>
      <c r="G544" s="11" t="s">
        <v>1700</v>
      </c>
      <c r="H544" s="11" t="s">
        <v>1701</v>
      </c>
      <c r="I544" s="11" t="s">
        <v>131</v>
      </c>
    </row>
    <row r="545" spans="1:9" x14ac:dyDescent="0.15">
      <c r="A545" s="10">
        <v>544</v>
      </c>
      <c r="B545" s="11" t="s">
        <v>9</v>
      </c>
      <c r="C545" s="11" t="s">
        <v>152</v>
      </c>
      <c r="D545" s="11" t="s">
        <v>153</v>
      </c>
      <c r="E545" s="9" t="str">
        <f>+HYPERLINK("http://trademark.i-assist.jp/data/china/image_1906th/79597690.pdf", "79597690")</f>
        <v>79597690</v>
      </c>
      <c r="F545" s="11" t="s">
        <v>1702</v>
      </c>
      <c r="G545" s="11" t="s">
        <v>1703</v>
      </c>
      <c r="H545" s="11" t="s">
        <v>1704</v>
      </c>
      <c r="I545" s="11" t="s">
        <v>131</v>
      </c>
    </row>
    <row r="546" spans="1:9" x14ac:dyDescent="0.15">
      <c r="A546" s="10">
        <v>545</v>
      </c>
      <c r="B546" s="11" t="s">
        <v>9</v>
      </c>
      <c r="C546" s="11" t="s">
        <v>152</v>
      </c>
      <c r="D546" s="11" t="s">
        <v>153</v>
      </c>
      <c r="E546" s="9" t="str">
        <f>+HYPERLINK("http://trademark.i-assist.jp/data/china/image_1906th/79599509.pdf", "79599509")</f>
        <v>79599509</v>
      </c>
      <c r="F546" s="11" t="s">
        <v>1705</v>
      </c>
      <c r="G546" s="11" t="s">
        <v>1706</v>
      </c>
      <c r="H546" s="11" t="s">
        <v>1707</v>
      </c>
      <c r="I546" s="11" t="s">
        <v>135</v>
      </c>
    </row>
    <row r="547" spans="1:9" x14ac:dyDescent="0.15">
      <c r="A547" s="10">
        <v>546</v>
      </c>
      <c r="B547" s="11" t="s">
        <v>9</v>
      </c>
      <c r="C547" s="11" t="s">
        <v>152</v>
      </c>
      <c r="D547" s="11" t="s">
        <v>153</v>
      </c>
      <c r="E547" s="9" t="str">
        <f>+HYPERLINK("http://trademark.i-assist.jp/data/china/image_1906th/79599617.pdf", "79599617")</f>
        <v>79599617</v>
      </c>
      <c r="F547" s="11" t="s">
        <v>1708</v>
      </c>
      <c r="G547" s="11" t="s">
        <v>1709</v>
      </c>
      <c r="H547" s="11" t="s">
        <v>1710</v>
      </c>
      <c r="I547" s="11" t="s">
        <v>135</v>
      </c>
    </row>
    <row r="548" spans="1:9" x14ac:dyDescent="0.15">
      <c r="A548" s="10">
        <v>547</v>
      </c>
      <c r="B548" s="11" t="s">
        <v>9</v>
      </c>
      <c r="C548" s="11" t="s">
        <v>152</v>
      </c>
      <c r="D548" s="11" t="s">
        <v>153</v>
      </c>
      <c r="E548" s="9" t="str">
        <f>+HYPERLINK("http://trademark.i-assist.jp/data/china/image_1906th/79599976.pdf", "79599976")</f>
        <v>79599976</v>
      </c>
      <c r="F548" s="11" t="s">
        <v>1711</v>
      </c>
      <c r="G548" s="11" t="s">
        <v>1712</v>
      </c>
      <c r="H548" s="11" t="s">
        <v>1713</v>
      </c>
      <c r="I548" s="11" t="s">
        <v>135</v>
      </c>
    </row>
    <row r="549" spans="1:9" x14ac:dyDescent="0.15">
      <c r="A549" s="10">
        <v>548</v>
      </c>
      <c r="B549" s="11" t="s">
        <v>9</v>
      </c>
      <c r="C549" s="11" t="s">
        <v>152</v>
      </c>
      <c r="D549" s="11" t="s">
        <v>153</v>
      </c>
      <c r="E549" s="9" t="str">
        <f>+HYPERLINK("http://trademark.i-assist.jp/data/china/image_1906th/79601208.pdf", "79601208")</f>
        <v>79601208</v>
      </c>
      <c r="F549" s="11" t="s">
        <v>1714</v>
      </c>
      <c r="G549" s="11" t="s">
        <v>1715</v>
      </c>
      <c r="H549" s="11" t="s">
        <v>1716</v>
      </c>
      <c r="I549" s="11" t="s">
        <v>135</v>
      </c>
    </row>
    <row r="550" spans="1:9" x14ac:dyDescent="0.15">
      <c r="A550" s="10">
        <v>549</v>
      </c>
      <c r="B550" s="11" t="s">
        <v>9</v>
      </c>
      <c r="C550" s="11" t="s">
        <v>152</v>
      </c>
      <c r="D550" s="11" t="s">
        <v>153</v>
      </c>
      <c r="E550" s="9" t="str">
        <f>+HYPERLINK("http://trademark.i-assist.jp/data/china/image_1906th/79601906.pdf", "79601906")</f>
        <v>79601906</v>
      </c>
      <c r="F550" s="11" t="s">
        <v>1717</v>
      </c>
      <c r="G550" s="11" t="s">
        <v>1709</v>
      </c>
      <c r="H550" s="11" t="s">
        <v>1718</v>
      </c>
      <c r="I550" s="11" t="s">
        <v>135</v>
      </c>
    </row>
    <row r="551" spans="1:9" x14ac:dyDescent="0.15">
      <c r="A551" s="10">
        <v>550</v>
      </c>
      <c r="B551" s="11" t="s">
        <v>9</v>
      </c>
      <c r="C551" s="11" t="s">
        <v>152</v>
      </c>
      <c r="D551" s="11" t="s">
        <v>153</v>
      </c>
      <c r="E551" s="9" t="str">
        <f>+HYPERLINK("http://trademark.i-assist.jp/data/china/image_1906th/79602708.pdf", "79602708")</f>
        <v>79602708</v>
      </c>
      <c r="F551" s="11" t="s">
        <v>1719</v>
      </c>
      <c r="G551" s="11" t="s">
        <v>1720</v>
      </c>
      <c r="H551" s="11" t="s">
        <v>1721</v>
      </c>
      <c r="I551" s="11" t="s">
        <v>135</v>
      </c>
    </row>
    <row r="552" spans="1:9" x14ac:dyDescent="0.15">
      <c r="A552" s="10">
        <v>551</v>
      </c>
      <c r="B552" s="11" t="s">
        <v>9</v>
      </c>
      <c r="C552" s="11" t="s">
        <v>152</v>
      </c>
      <c r="D552" s="11" t="s">
        <v>153</v>
      </c>
      <c r="E552" s="9" t="str">
        <f>+HYPERLINK("http://trademark.i-assist.jp/data/china/image_1906th/79603025.pdf", "79603025")</f>
        <v>79603025</v>
      </c>
      <c r="F552" s="11" t="s">
        <v>1722</v>
      </c>
      <c r="G552" s="11" t="s">
        <v>1715</v>
      </c>
      <c r="H552" s="11" t="s">
        <v>1723</v>
      </c>
      <c r="I552" s="11" t="s">
        <v>135</v>
      </c>
    </row>
    <row r="553" spans="1:9" x14ac:dyDescent="0.15">
      <c r="A553" s="10">
        <v>552</v>
      </c>
      <c r="B553" s="11" t="s">
        <v>9</v>
      </c>
      <c r="C553" s="11" t="s">
        <v>152</v>
      </c>
      <c r="D553" s="11" t="s">
        <v>153</v>
      </c>
      <c r="E553" s="9" t="str">
        <f>+HYPERLINK("http://trademark.i-assist.jp/data/china/image_1906th/79603372.pdf", "79603372")</f>
        <v>79603372</v>
      </c>
      <c r="F553" s="11" t="s">
        <v>1724</v>
      </c>
      <c r="G553" s="11" t="s">
        <v>1725</v>
      </c>
      <c r="H553" s="11" t="s">
        <v>1726</v>
      </c>
      <c r="I553" s="11" t="s">
        <v>135</v>
      </c>
    </row>
    <row r="554" spans="1:9" x14ac:dyDescent="0.15">
      <c r="A554" s="10">
        <v>553</v>
      </c>
      <c r="B554" s="11" t="s">
        <v>9</v>
      </c>
      <c r="C554" s="11" t="s">
        <v>152</v>
      </c>
      <c r="D554" s="11" t="s">
        <v>153</v>
      </c>
      <c r="E554" s="9" t="str">
        <f>+HYPERLINK("http://trademark.i-assist.jp/data/china/image_1906th/79604475.pdf", "79604475")</f>
        <v>79604475</v>
      </c>
      <c r="F554" s="11" t="s">
        <v>1727</v>
      </c>
      <c r="G554" s="11" t="s">
        <v>1728</v>
      </c>
      <c r="H554" s="11" t="s">
        <v>1729</v>
      </c>
      <c r="I554" s="11" t="s">
        <v>135</v>
      </c>
    </row>
    <row r="555" spans="1:9" x14ac:dyDescent="0.15">
      <c r="A555" s="10">
        <v>554</v>
      </c>
      <c r="B555" s="11" t="s">
        <v>9</v>
      </c>
      <c r="C555" s="11" t="s">
        <v>152</v>
      </c>
      <c r="D555" s="11" t="s">
        <v>153</v>
      </c>
      <c r="E555" s="9" t="str">
        <f>+HYPERLINK("http://trademark.i-assist.jp/data/china/image_1906th/79605377.pdf", "79605377")</f>
        <v>79605377</v>
      </c>
      <c r="F555" s="11" t="s">
        <v>1730</v>
      </c>
      <c r="G555" s="11" t="s">
        <v>1731</v>
      </c>
      <c r="H555" s="11" t="s">
        <v>1732</v>
      </c>
      <c r="I555" s="11" t="s">
        <v>135</v>
      </c>
    </row>
    <row r="556" spans="1:9" x14ac:dyDescent="0.15">
      <c r="A556" s="10">
        <v>555</v>
      </c>
      <c r="B556" s="11" t="s">
        <v>9</v>
      </c>
      <c r="C556" s="11" t="s">
        <v>152</v>
      </c>
      <c r="D556" s="11" t="s">
        <v>153</v>
      </c>
      <c r="E556" s="9" t="str">
        <f>+HYPERLINK("http://trademark.i-assist.jp/data/china/image_1906th/79607356.pdf", "79607356")</f>
        <v>79607356</v>
      </c>
      <c r="F556" s="11" t="s">
        <v>1733</v>
      </c>
      <c r="G556" s="11" t="s">
        <v>1734</v>
      </c>
      <c r="H556" s="11" t="s">
        <v>1735</v>
      </c>
      <c r="I556" s="11" t="s">
        <v>135</v>
      </c>
    </row>
    <row r="557" spans="1:9" x14ac:dyDescent="0.15">
      <c r="A557" s="10">
        <v>556</v>
      </c>
      <c r="B557" s="11" t="s">
        <v>9</v>
      </c>
      <c r="C557" s="11" t="s">
        <v>152</v>
      </c>
      <c r="D557" s="11" t="s">
        <v>153</v>
      </c>
      <c r="E557" s="9" t="str">
        <f>+HYPERLINK("http://trademark.i-assist.jp/data/china/image_1906th/79609223.pdf", "79609223")</f>
        <v>79609223</v>
      </c>
      <c r="F557" s="11" t="s">
        <v>1736</v>
      </c>
      <c r="G557" s="11" t="s">
        <v>1737</v>
      </c>
      <c r="H557" s="11" t="s">
        <v>1738</v>
      </c>
      <c r="I557" s="11" t="s">
        <v>135</v>
      </c>
    </row>
    <row r="558" spans="1:9" x14ac:dyDescent="0.15">
      <c r="A558" s="10">
        <v>557</v>
      </c>
      <c r="B558" s="11" t="s">
        <v>9</v>
      </c>
      <c r="C558" s="11" t="s">
        <v>152</v>
      </c>
      <c r="D558" s="11" t="s">
        <v>153</v>
      </c>
      <c r="E558" s="9" t="str">
        <f>+HYPERLINK("http://trademark.i-assist.jp/data/china/image_1906th/79610671.pdf", "79610671")</f>
        <v>79610671</v>
      </c>
      <c r="F558" s="11" t="s">
        <v>1739</v>
      </c>
      <c r="G558" s="11" t="s">
        <v>1740</v>
      </c>
      <c r="H558" s="11" t="s">
        <v>1741</v>
      </c>
      <c r="I558" s="11" t="s">
        <v>135</v>
      </c>
    </row>
    <row r="559" spans="1:9" x14ac:dyDescent="0.15">
      <c r="A559" s="10">
        <v>558</v>
      </c>
      <c r="B559" s="11" t="s">
        <v>9</v>
      </c>
      <c r="C559" s="11" t="s">
        <v>152</v>
      </c>
      <c r="D559" s="11" t="s">
        <v>153</v>
      </c>
      <c r="E559" s="9" t="str">
        <f>+HYPERLINK("http://trademark.i-assist.jp/data/china/image_1906th/79611010.pdf", "79611010")</f>
        <v>79611010</v>
      </c>
      <c r="F559" s="11" t="s">
        <v>1742</v>
      </c>
      <c r="G559" s="11" t="s">
        <v>1743</v>
      </c>
      <c r="H559" s="11" t="s">
        <v>1744</v>
      </c>
      <c r="I559" s="11" t="s">
        <v>135</v>
      </c>
    </row>
    <row r="560" spans="1:9" x14ac:dyDescent="0.15">
      <c r="A560" s="10">
        <v>559</v>
      </c>
      <c r="B560" s="11" t="s">
        <v>9</v>
      </c>
      <c r="C560" s="11" t="s">
        <v>152</v>
      </c>
      <c r="D560" s="11" t="s">
        <v>153</v>
      </c>
      <c r="E560" s="9" t="str">
        <f>+HYPERLINK("http://trademark.i-assist.jp/data/china/image_1906th/79611518.pdf", "79611518")</f>
        <v>79611518</v>
      </c>
      <c r="F560" s="11" t="s">
        <v>1745</v>
      </c>
      <c r="G560" s="11" t="s">
        <v>1746</v>
      </c>
      <c r="H560" s="11" t="s">
        <v>1747</v>
      </c>
      <c r="I560" s="11" t="s">
        <v>135</v>
      </c>
    </row>
    <row r="561" spans="1:9" x14ac:dyDescent="0.15">
      <c r="A561" s="10">
        <v>560</v>
      </c>
      <c r="B561" s="11" t="s">
        <v>9</v>
      </c>
      <c r="C561" s="11" t="s">
        <v>152</v>
      </c>
      <c r="D561" s="11" t="s">
        <v>153</v>
      </c>
      <c r="E561" s="9" t="str">
        <f>+HYPERLINK("http://trademark.i-assist.jp/data/china/image_1906th/79611678.pdf", "79611678")</f>
        <v>79611678</v>
      </c>
      <c r="F561" s="11" t="s">
        <v>1748</v>
      </c>
      <c r="G561" s="11" t="s">
        <v>1749</v>
      </c>
      <c r="H561" s="11" t="s">
        <v>1750</v>
      </c>
      <c r="I561" s="11" t="s">
        <v>135</v>
      </c>
    </row>
    <row r="562" spans="1:9" x14ac:dyDescent="0.15">
      <c r="A562" s="10">
        <v>561</v>
      </c>
      <c r="B562" s="11" t="s">
        <v>9</v>
      </c>
      <c r="C562" s="11" t="s">
        <v>152</v>
      </c>
      <c r="D562" s="11" t="s">
        <v>153</v>
      </c>
      <c r="E562" s="9" t="str">
        <f>+HYPERLINK("http://trademark.i-assist.jp/data/china/image_1906th/79611844.pdf", "79611844")</f>
        <v>79611844</v>
      </c>
      <c r="F562" s="11" t="s">
        <v>1751</v>
      </c>
      <c r="G562" s="11" t="s">
        <v>1752</v>
      </c>
      <c r="H562" s="11" t="s">
        <v>1753</v>
      </c>
      <c r="I562" s="11" t="s">
        <v>135</v>
      </c>
    </row>
    <row r="563" spans="1:9" x14ac:dyDescent="0.15">
      <c r="A563" s="10">
        <v>562</v>
      </c>
      <c r="B563" s="11" t="s">
        <v>9</v>
      </c>
      <c r="C563" s="11" t="s">
        <v>152</v>
      </c>
      <c r="D563" s="11" t="s">
        <v>153</v>
      </c>
      <c r="E563" s="9" t="str">
        <f>+HYPERLINK("http://trademark.i-assist.jp/data/china/image_1906th/79611947.pdf", "79611947")</f>
        <v>79611947</v>
      </c>
      <c r="F563" s="11" t="s">
        <v>1754</v>
      </c>
      <c r="G563" s="11" t="s">
        <v>1755</v>
      </c>
      <c r="H563" s="11" t="s">
        <v>1756</v>
      </c>
      <c r="I563" s="11" t="s">
        <v>135</v>
      </c>
    </row>
    <row r="564" spans="1:9" x14ac:dyDescent="0.15">
      <c r="A564" s="10">
        <v>563</v>
      </c>
      <c r="B564" s="11" t="s">
        <v>9</v>
      </c>
      <c r="C564" s="11" t="s">
        <v>152</v>
      </c>
      <c r="D564" s="11" t="s">
        <v>153</v>
      </c>
      <c r="E564" s="9" t="str">
        <f>+HYPERLINK("http://trademark.i-assist.jp/data/china/image_1906th/79612577.pdf", "79612577")</f>
        <v>79612577</v>
      </c>
      <c r="F564" s="11" t="s">
        <v>1757</v>
      </c>
      <c r="G564" s="11" t="s">
        <v>1758</v>
      </c>
      <c r="H564" s="11" t="s">
        <v>1759</v>
      </c>
      <c r="I564" s="11" t="s">
        <v>135</v>
      </c>
    </row>
    <row r="565" spans="1:9" x14ac:dyDescent="0.15">
      <c r="A565" s="10">
        <v>564</v>
      </c>
      <c r="B565" s="11" t="s">
        <v>9</v>
      </c>
      <c r="C565" s="11" t="s">
        <v>152</v>
      </c>
      <c r="D565" s="11" t="s">
        <v>153</v>
      </c>
      <c r="E565" s="9" t="str">
        <f>+HYPERLINK("http://trademark.i-assist.jp/data/china/image_1906th/79612818.pdf", "79612818")</f>
        <v>79612818</v>
      </c>
      <c r="F565" s="11" t="s">
        <v>1760</v>
      </c>
      <c r="G565" s="11" t="s">
        <v>1761</v>
      </c>
      <c r="H565" s="11" t="s">
        <v>1762</v>
      </c>
      <c r="I565" s="11" t="s">
        <v>135</v>
      </c>
    </row>
    <row r="566" spans="1:9" x14ac:dyDescent="0.15">
      <c r="A566" s="10">
        <v>565</v>
      </c>
      <c r="B566" s="11" t="s">
        <v>9</v>
      </c>
      <c r="C566" s="11" t="s">
        <v>152</v>
      </c>
      <c r="D566" s="11" t="s">
        <v>153</v>
      </c>
      <c r="E566" s="9" t="str">
        <f>+HYPERLINK("http://trademark.i-assist.jp/data/china/image_1906th/79613291.pdf", "79613291")</f>
        <v>79613291</v>
      </c>
      <c r="F566" s="11" t="s">
        <v>1763</v>
      </c>
      <c r="G566" s="11" t="s">
        <v>1764</v>
      </c>
      <c r="H566" s="11" t="s">
        <v>1765</v>
      </c>
      <c r="I566" s="11" t="s">
        <v>135</v>
      </c>
    </row>
    <row r="567" spans="1:9" x14ac:dyDescent="0.15">
      <c r="A567" s="10">
        <v>566</v>
      </c>
      <c r="B567" s="11" t="s">
        <v>9</v>
      </c>
      <c r="C567" s="11" t="s">
        <v>152</v>
      </c>
      <c r="D567" s="11" t="s">
        <v>153</v>
      </c>
      <c r="E567" s="9" t="str">
        <f>+HYPERLINK("http://trademark.i-assist.jp/data/china/image_1906th/79614486.pdf", "79614486")</f>
        <v>79614486</v>
      </c>
      <c r="F567" s="11" t="s">
        <v>1766</v>
      </c>
      <c r="G567" s="11" t="s">
        <v>1767</v>
      </c>
      <c r="H567" s="11" t="s">
        <v>1768</v>
      </c>
      <c r="I567" s="11" t="s">
        <v>135</v>
      </c>
    </row>
    <row r="568" spans="1:9" x14ac:dyDescent="0.15">
      <c r="A568" s="10">
        <v>567</v>
      </c>
      <c r="B568" s="11" t="s">
        <v>9</v>
      </c>
      <c r="C568" s="11" t="s">
        <v>152</v>
      </c>
      <c r="D568" s="11" t="s">
        <v>153</v>
      </c>
      <c r="E568" s="9" t="str">
        <f>+HYPERLINK("http://trademark.i-assist.jp/data/china/image_1906th/79615526.pdf", "79615526")</f>
        <v>79615526</v>
      </c>
      <c r="F568" s="11" t="s">
        <v>12</v>
      </c>
      <c r="G568" s="11" t="s">
        <v>1769</v>
      </c>
      <c r="H568" s="11" t="s">
        <v>1770</v>
      </c>
      <c r="I568" s="11" t="s">
        <v>135</v>
      </c>
    </row>
    <row r="569" spans="1:9" x14ac:dyDescent="0.15">
      <c r="A569" s="10">
        <v>568</v>
      </c>
      <c r="B569" s="11" t="s">
        <v>9</v>
      </c>
      <c r="C569" s="11" t="s">
        <v>152</v>
      </c>
      <c r="D569" s="11" t="s">
        <v>153</v>
      </c>
      <c r="E569" s="9" t="str">
        <f>+HYPERLINK("http://trademark.i-assist.jp/data/china/image_1906th/79615722.pdf", "79615722")</f>
        <v>79615722</v>
      </c>
      <c r="F569" s="11" t="s">
        <v>1771</v>
      </c>
      <c r="G569" s="11" t="s">
        <v>1772</v>
      </c>
      <c r="H569" s="11" t="s">
        <v>1773</v>
      </c>
      <c r="I569" s="11" t="s">
        <v>135</v>
      </c>
    </row>
    <row r="570" spans="1:9" x14ac:dyDescent="0.15">
      <c r="A570" s="10">
        <v>569</v>
      </c>
      <c r="B570" s="11" t="s">
        <v>9</v>
      </c>
      <c r="C570" s="11" t="s">
        <v>152</v>
      </c>
      <c r="D570" s="11" t="s">
        <v>153</v>
      </c>
      <c r="E570" s="9" t="str">
        <f>+HYPERLINK("http://trademark.i-assist.jp/data/china/image_1906th/79616654.pdf", "79616654")</f>
        <v>79616654</v>
      </c>
      <c r="F570" s="11" t="s">
        <v>1774</v>
      </c>
      <c r="G570" s="11" t="s">
        <v>1775</v>
      </c>
      <c r="H570" s="11" t="s">
        <v>1776</v>
      </c>
      <c r="I570" s="11" t="s">
        <v>135</v>
      </c>
    </row>
    <row r="571" spans="1:9" x14ac:dyDescent="0.15">
      <c r="A571" s="10">
        <v>570</v>
      </c>
      <c r="B571" s="11" t="s">
        <v>9</v>
      </c>
      <c r="C571" s="11" t="s">
        <v>152</v>
      </c>
      <c r="D571" s="11" t="s">
        <v>153</v>
      </c>
      <c r="E571" s="9" t="str">
        <f>+HYPERLINK("http://trademark.i-assist.jp/data/china/image_1906th/79617211.pdf", "79617211")</f>
        <v>79617211</v>
      </c>
      <c r="F571" s="11" t="s">
        <v>1777</v>
      </c>
      <c r="G571" s="11" t="s">
        <v>1778</v>
      </c>
      <c r="H571" s="11" t="s">
        <v>1779</v>
      </c>
      <c r="I571" s="11" t="s">
        <v>135</v>
      </c>
    </row>
    <row r="572" spans="1:9" x14ac:dyDescent="0.15">
      <c r="A572" s="10">
        <v>571</v>
      </c>
      <c r="B572" s="11" t="s">
        <v>9</v>
      </c>
      <c r="C572" s="11" t="s">
        <v>152</v>
      </c>
      <c r="D572" s="11" t="s">
        <v>153</v>
      </c>
      <c r="E572" s="9" t="str">
        <f>+HYPERLINK("http://trademark.i-assist.jp/data/china/image_1906th/79617362.pdf", "79617362")</f>
        <v>79617362</v>
      </c>
      <c r="F572" s="11" t="s">
        <v>1780</v>
      </c>
      <c r="G572" s="11" t="s">
        <v>97</v>
      </c>
      <c r="H572" s="11" t="s">
        <v>1781</v>
      </c>
      <c r="I572" s="11" t="s">
        <v>135</v>
      </c>
    </row>
    <row r="573" spans="1:9" x14ac:dyDescent="0.15">
      <c r="A573" s="10">
        <v>572</v>
      </c>
      <c r="B573" s="11" t="s">
        <v>9</v>
      </c>
      <c r="C573" s="11" t="s">
        <v>152</v>
      </c>
      <c r="D573" s="11" t="s">
        <v>153</v>
      </c>
      <c r="E573" s="9" t="str">
        <f>+HYPERLINK("http://trademark.i-assist.jp/data/china/image_1906th/79617921.pdf", "79617921")</f>
        <v>79617921</v>
      </c>
      <c r="F573" s="11" t="s">
        <v>1782</v>
      </c>
      <c r="G573" s="11" t="s">
        <v>1783</v>
      </c>
      <c r="H573" s="11" t="s">
        <v>1784</v>
      </c>
      <c r="I573" s="11" t="s">
        <v>135</v>
      </c>
    </row>
    <row r="574" spans="1:9" x14ac:dyDescent="0.15">
      <c r="A574" s="10">
        <v>573</v>
      </c>
      <c r="B574" s="11" t="s">
        <v>9</v>
      </c>
      <c r="C574" s="11" t="s">
        <v>152</v>
      </c>
      <c r="D574" s="11" t="s">
        <v>153</v>
      </c>
      <c r="E574" s="9" t="str">
        <f>+HYPERLINK("http://trademark.i-assist.jp/data/china/image_1906th/79618078.pdf", "79618078")</f>
        <v>79618078</v>
      </c>
      <c r="F574" s="11" t="s">
        <v>1785</v>
      </c>
      <c r="G574" s="11" t="s">
        <v>1786</v>
      </c>
      <c r="H574" s="11" t="s">
        <v>1787</v>
      </c>
      <c r="I574" s="11" t="s">
        <v>135</v>
      </c>
    </row>
    <row r="575" spans="1:9" x14ac:dyDescent="0.15">
      <c r="A575" s="10">
        <v>574</v>
      </c>
      <c r="B575" s="11" t="s">
        <v>9</v>
      </c>
      <c r="C575" s="11" t="s">
        <v>152</v>
      </c>
      <c r="D575" s="11" t="s">
        <v>153</v>
      </c>
      <c r="E575" s="9" t="str">
        <f>+HYPERLINK("http://trademark.i-assist.jp/data/china/image_1906th/79618934.pdf", "79618934")</f>
        <v>79618934</v>
      </c>
      <c r="F575" s="11" t="s">
        <v>1788</v>
      </c>
      <c r="G575" s="11" t="s">
        <v>1789</v>
      </c>
      <c r="H575" s="11" t="s">
        <v>1790</v>
      </c>
      <c r="I575" s="11" t="s">
        <v>135</v>
      </c>
    </row>
    <row r="576" spans="1:9" x14ac:dyDescent="0.15">
      <c r="A576" s="10">
        <v>575</v>
      </c>
      <c r="B576" s="11" t="s">
        <v>9</v>
      </c>
      <c r="C576" s="11" t="s">
        <v>152</v>
      </c>
      <c r="D576" s="11" t="s">
        <v>153</v>
      </c>
      <c r="E576" s="9" t="str">
        <f>+HYPERLINK("http://trademark.i-assist.jp/data/china/image_1906th/79619345.pdf", "79619345")</f>
        <v>79619345</v>
      </c>
      <c r="F576" s="11" t="s">
        <v>1791</v>
      </c>
      <c r="G576" s="11" t="s">
        <v>1758</v>
      </c>
      <c r="H576" s="11" t="s">
        <v>1792</v>
      </c>
      <c r="I576" s="11" t="s">
        <v>135</v>
      </c>
    </row>
    <row r="577" spans="1:9" x14ac:dyDescent="0.15">
      <c r="A577" s="10">
        <v>576</v>
      </c>
      <c r="B577" s="11" t="s">
        <v>9</v>
      </c>
      <c r="C577" s="11" t="s">
        <v>152</v>
      </c>
      <c r="D577" s="11" t="s">
        <v>153</v>
      </c>
      <c r="E577" s="9" t="str">
        <f>+HYPERLINK("http://trademark.i-assist.jp/data/china/image_1906th/79619967.pdf", "79619967")</f>
        <v>79619967</v>
      </c>
      <c r="F577" s="11" t="s">
        <v>1793</v>
      </c>
      <c r="G577" s="11" t="s">
        <v>1794</v>
      </c>
      <c r="H577" s="11" t="s">
        <v>1795</v>
      </c>
      <c r="I577" s="11" t="s">
        <v>135</v>
      </c>
    </row>
    <row r="578" spans="1:9" x14ac:dyDescent="0.15">
      <c r="A578" s="10">
        <v>577</v>
      </c>
      <c r="B578" s="11" t="s">
        <v>9</v>
      </c>
      <c r="C578" s="11" t="s">
        <v>152</v>
      </c>
      <c r="D578" s="11" t="s">
        <v>153</v>
      </c>
      <c r="E578" s="9" t="str">
        <f>+HYPERLINK("http://trademark.i-assist.jp/data/china/image_1906th/79620676.pdf", "79620676")</f>
        <v>79620676</v>
      </c>
      <c r="F578" s="11" t="s">
        <v>1796</v>
      </c>
      <c r="G578" s="11" t="s">
        <v>1725</v>
      </c>
      <c r="H578" s="11" t="s">
        <v>1797</v>
      </c>
      <c r="I578" s="11" t="s">
        <v>135</v>
      </c>
    </row>
    <row r="579" spans="1:9" x14ac:dyDescent="0.15">
      <c r="A579" s="10">
        <v>578</v>
      </c>
      <c r="B579" s="11" t="s">
        <v>9</v>
      </c>
      <c r="C579" s="11" t="s">
        <v>152</v>
      </c>
      <c r="D579" s="11" t="s">
        <v>153</v>
      </c>
      <c r="E579" s="9" t="str">
        <f>+HYPERLINK("http://trademark.i-assist.jp/data/china/image_1906th/79621642.pdf", "79621642")</f>
        <v>79621642</v>
      </c>
      <c r="F579" s="11" t="s">
        <v>1798</v>
      </c>
      <c r="G579" s="11" t="s">
        <v>1799</v>
      </c>
      <c r="H579" s="11" t="s">
        <v>1800</v>
      </c>
      <c r="I579" s="11" t="s">
        <v>135</v>
      </c>
    </row>
    <row r="580" spans="1:9" x14ac:dyDescent="0.15">
      <c r="A580" s="10">
        <v>579</v>
      </c>
      <c r="B580" s="11" t="s">
        <v>9</v>
      </c>
      <c r="C580" s="11" t="s">
        <v>152</v>
      </c>
      <c r="D580" s="11" t="s">
        <v>153</v>
      </c>
      <c r="E580" s="9" t="str">
        <f>+HYPERLINK("http://trademark.i-assist.jp/data/china/image_1906th/79623238.pdf", "79623238")</f>
        <v>79623238</v>
      </c>
      <c r="F580" s="11" t="s">
        <v>1801</v>
      </c>
      <c r="G580" s="11" t="s">
        <v>1802</v>
      </c>
      <c r="H580" s="11" t="s">
        <v>1803</v>
      </c>
      <c r="I580" s="11" t="s">
        <v>138</v>
      </c>
    </row>
    <row r="581" spans="1:9" x14ac:dyDescent="0.15">
      <c r="A581" s="10">
        <v>580</v>
      </c>
      <c r="B581" s="11" t="s">
        <v>9</v>
      </c>
      <c r="C581" s="11" t="s">
        <v>152</v>
      </c>
      <c r="D581" s="11" t="s">
        <v>153</v>
      </c>
      <c r="E581" s="9" t="str">
        <f>+HYPERLINK("http://trademark.i-assist.jp/data/china/image_1906th/79623458.pdf", "79623458")</f>
        <v>79623458</v>
      </c>
      <c r="F581" s="11" t="s">
        <v>1804</v>
      </c>
      <c r="G581" s="11" t="s">
        <v>1805</v>
      </c>
      <c r="H581" s="11" t="s">
        <v>1806</v>
      </c>
      <c r="I581" s="11" t="s">
        <v>138</v>
      </c>
    </row>
    <row r="582" spans="1:9" x14ac:dyDescent="0.15">
      <c r="A582" s="10">
        <v>581</v>
      </c>
      <c r="B582" s="11" t="s">
        <v>9</v>
      </c>
      <c r="C582" s="11" t="s">
        <v>152</v>
      </c>
      <c r="D582" s="11" t="s">
        <v>153</v>
      </c>
      <c r="E582" s="9" t="str">
        <f>+HYPERLINK("http://trademark.i-assist.jp/data/china/image_1906th/79623873.pdf", "79623873")</f>
        <v>79623873</v>
      </c>
      <c r="F582" s="11" t="s">
        <v>1807</v>
      </c>
      <c r="G582" s="11" t="s">
        <v>1808</v>
      </c>
      <c r="H582" s="11" t="s">
        <v>1809</v>
      </c>
      <c r="I582" s="11" t="s">
        <v>138</v>
      </c>
    </row>
    <row r="583" spans="1:9" x14ac:dyDescent="0.15">
      <c r="A583" s="10">
        <v>582</v>
      </c>
      <c r="B583" s="11" t="s">
        <v>9</v>
      </c>
      <c r="C583" s="11" t="s">
        <v>152</v>
      </c>
      <c r="D583" s="11" t="s">
        <v>153</v>
      </c>
      <c r="E583" s="9" t="str">
        <f>+HYPERLINK("http://trademark.i-assist.jp/data/china/image_1906th/79624313.pdf", "79624313")</f>
        <v>79624313</v>
      </c>
      <c r="F583" s="11" t="s">
        <v>1810</v>
      </c>
      <c r="G583" s="11" t="s">
        <v>1811</v>
      </c>
      <c r="H583" s="11" t="s">
        <v>1812</v>
      </c>
      <c r="I583" s="11" t="s">
        <v>138</v>
      </c>
    </row>
    <row r="584" spans="1:9" x14ac:dyDescent="0.15">
      <c r="A584" s="10">
        <v>583</v>
      </c>
      <c r="B584" s="11" t="s">
        <v>9</v>
      </c>
      <c r="C584" s="11" t="s">
        <v>152</v>
      </c>
      <c r="D584" s="11" t="s">
        <v>153</v>
      </c>
      <c r="E584" s="9" t="str">
        <f>+HYPERLINK("http://trademark.i-assist.jp/data/china/image_1906th/79624764.pdf", "79624764")</f>
        <v>79624764</v>
      </c>
      <c r="F584" s="11" t="s">
        <v>1813</v>
      </c>
      <c r="G584" s="11" t="s">
        <v>67</v>
      </c>
      <c r="H584" s="11" t="s">
        <v>1814</v>
      </c>
      <c r="I584" s="11" t="s">
        <v>138</v>
      </c>
    </row>
    <row r="585" spans="1:9" x14ac:dyDescent="0.15">
      <c r="A585" s="10">
        <v>584</v>
      </c>
      <c r="B585" s="11" t="s">
        <v>9</v>
      </c>
      <c r="C585" s="11" t="s">
        <v>152</v>
      </c>
      <c r="D585" s="11" t="s">
        <v>153</v>
      </c>
      <c r="E585" s="9" t="str">
        <f>+HYPERLINK("http://trademark.i-assist.jp/data/china/image_1906th/79625030.pdf", "79625030")</f>
        <v>79625030</v>
      </c>
      <c r="F585" s="11" t="s">
        <v>1815</v>
      </c>
      <c r="G585" s="11" t="s">
        <v>1816</v>
      </c>
      <c r="H585" s="11" t="s">
        <v>1817</v>
      </c>
      <c r="I585" s="11" t="s">
        <v>138</v>
      </c>
    </row>
    <row r="586" spans="1:9" x14ac:dyDescent="0.15">
      <c r="A586" s="10">
        <v>585</v>
      </c>
      <c r="B586" s="11" t="s">
        <v>9</v>
      </c>
      <c r="C586" s="11" t="s">
        <v>152</v>
      </c>
      <c r="D586" s="11" t="s">
        <v>153</v>
      </c>
      <c r="E586" s="9" t="str">
        <f>+HYPERLINK("http://trademark.i-assist.jp/data/china/image_1906th/79626303.pdf", "79626303")</f>
        <v>79626303</v>
      </c>
      <c r="F586" s="11" t="s">
        <v>1818</v>
      </c>
      <c r="G586" s="11" t="s">
        <v>1819</v>
      </c>
      <c r="H586" s="11" t="s">
        <v>1820</v>
      </c>
      <c r="I586" s="11" t="s">
        <v>138</v>
      </c>
    </row>
    <row r="587" spans="1:9" x14ac:dyDescent="0.15">
      <c r="A587" s="10">
        <v>586</v>
      </c>
      <c r="B587" s="11" t="s">
        <v>9</v>
      </c>
      <c r="C587" s="11" t="s">
        <v>152</v>
      </c>
      <c r="D587" s="11" t="s">
        <v>153</v>
      </c>
      <c r="E587" s="9" t="str">
        <f>+HYPERLINK("http://trademark.i-assist.jp/data/china/image_1906th/79626306.pdf", "79626306")</f>
        <v>79626306</v>
      </c>
      <c r="F587" s="11" t="s">
        <v>1821</v>
      </c>
      <c r="G587" s="11" t="s">
        <v>1819</v>
      </c>
      <c r="H587" s="11" t="s">
        <v>1822</v>
      </c>
      <c r="I587" s="11" t="s">
        <v>138</v>
      </c>
    </row>
    <row r="588" spans="1:9" x14ac:dyDescent="0.15">
      <c r="A588" s="10">
        <v>587</v>
      </c>
      <c r="B588" s="11" t="s">
        <v>9</v>
      </c>
      <c r="C588" s="11" t="s">
        <v>152</v>
      </c>
      <c r="D588" s="11" t="s">
        <v>153</v>
      </c>
      <c r="E588" s="9" t="str">
        <f>+HYPERLINK("http://trademark.i-assist.jp/data/china/image_1906th/79626354.pdf", "79626354")</f>
        <v>79626354</v>
      </c>
      <c r="F588" s="11" t="s">
        <v>1823</v>
      </c>
      <c r="G588" s="11" t="s">
        <v>1824</v>
      </c>
      <c r="H588" s="11" t="s">
        <v>1825</v>
      </c>
      <c r="I588" s="11" t="s">
        <v>138</v>
      </c>
    </row>
    <row r="589" spans="1:9" x14ac:dyDescent="0.15">
      <c r="A589" s="10">
        <v>588</v>
      </c>
      <c r="B589" s="11" t="s">
        <v>9</v>
      </c>
      <c r="C589" s="11" t="s">
        <v>152</v>
      </c>
      <c r="D589" s="11" t="s">
        <v>153</v>
      </c>
      <c r="E589" s="9" t="str">
        <f>+HYPERLINK("http://trademark.i-assist.jp/data/china/image_1906th/79627359.pdf", "79627359")</f>
        <v>79627359</v>
      </c>
      <c r="F589" s="11" t="s">
        <v>1826</v>
      </c>
      <c r="G589" s="11" t="s">
        <v>1827</v>
      </c>
      <c r="H589" s="11" t="s">
        <v>1828</v>
      </c>
      <c r="I589" s="11" t="s">
        <v>138</v>
      </c>
    </row>
    <row r="590" spans="1:9" x14ac:dyDescent="0.15">
      <c r="A590" s="10">
        <v>589</v>
      </c>
      <c r="B590" s="11" t="s">
        <v>9</v>
      </c>
      <c r="C590" s="11" t="s">
        <v>152</v>
      </c>
      <c r="D590" s="11" t="s">
        <v>153</v>
      </c>
      <c r="E590" s="9" t="str">
        <f>+HYPERLINK("http://trademark.i-assist.jp/data/china/image_1906th/79627437.pdf", "79627437")</f>
        <v>79627437</v>
      </c>
      <c r="F590" s="11" t="s">
        <v>1829</v>
      </c>
      <c r="G590" s="11" t="s">
        <v>1830</v>
      </c>
      <c r="H590" s="11" t="s">
        <v>1831</v>
      </c>
      <c r="I590" s="11" t="s">
        <v>138</v>
      </c>
    </row>
    <row r="591" spans="1:9" x14ac:dyDescent="0.15">
      <c r="A591" s="10">
        <v>590</v>
      </c>
      <c r="B591" s="11" t="s">
        <v>9</v>
      </c>
      <c r="C591" s="11" t="s">
        <v>152</v>
      </c>
      <c r="D591" s="11" t="s">
        <v>153</v>
      </c>
      <c r="E591" s="9" t="str">
        <f>+HYPERLINK("http://trademark.i-assist.jp/data/china/image_1906th/79627728.pdf", "79627728")</f>
        <v>79627728</v>
      </c>
      <c r="F591" s="11" t="s">
        <v>1832</v>
      </c>
      <c r="G591" s="11" t="s">
        <v>1833</v>
      </c>
      <c r="H591" s="11" t="s">
        <v>1834</v>
      </c>
      <c r="I591" s="11" t="s">
        <v>138</v>
      </c>
    </row>
    <row r="592" spans="1:9" x14ac:dyDescent="0.15">
      <c r="A592" s="10">
        <v>591</v>
      </c>
      <c r="B592" s="11" t="s">
        <v>9</v>
      </c>
      <c r="C592" s="11" t="s">
        <v>152</v>
      </c>
      <c r="D592" s="11" t="s">
        <v>153</v>
      </c>
      <c r="E592" s="9" t="str">
        <f>+HYPERLINK("http://trademark.i-assist.jp/data/china/image_1906th/79627988.pdf", "79627988")</f>
        <v>79627988</v>
      </c>
      <c r="F592" s="11" t="s">
        <v>1835</v>
      </c>
      <c r="G592" s="11" t="s">
        <v>1836</v>
      </c>
      <c r="H592" s="11" t="s">
        <v>1837</v>
      </c>
      <c r="I592" s="11" t="s">
        <v>138</v>
      </c>
    </row>
    <row r="593" spans="1:9" x14ac:dyDescent="0.15">
      <c r="A593" s="10">
        <v>592</v>
      </c>
      <c r="B593" s="11" t="s">
        <v>9</v>
      </c>
      <c r="C593" s="11" t="s">
        <v>152</v>
      </c>
      <c r="D593" s="11" t="s">
        <v>153</v>
      </c>
      <c r="E593" s="9" t="str">
        <f>+HYPERLINK("http://trademark.i-assist.jp/data/china/image_1906th/79628400.pdf", "79628400")</f>
        <v>79628400</v>
      </c>
      <c r="F593" s="11" t="s">
        <v>12</v>
      </c>
      <c r="G593" s="11" t="s">
        <v>1838</v>
      </c>
      <c r="H593" s="11" t="s">
        <v>1839</v>
      </c>
      <c r="I593" s="11" t="s">
        <v>138</v>
      </c>
    </row>
    <row r="594" spans="1:9" x14ac:dyDescent="0.15">
      <c r="A594" s="10">
        <v>593</v>
      </c>
      <c r="B594" s="11" t="s">
        <v>9</v>
      </c>
      <c r="C594" s="11" t="s">
        <v>152</v>
      </c>
      <c r="D594" s="11" t="s">
        <v>153</v>
      </c>
      <c r="E594" s="9" t="str">
        <f>+HYPERLINK("http://trademark.i-assist.jp/data/china/image_1906th/79628540.pdf", "79628540")</f>
        <v>79628540</v>
      </c>
      <c r="F594" s="11" t="s">
        <v>12</v>
      </c>
      <c r="G594" s="11" t="s">
        <v>1840</v>
      </c>
      <c r="H594" s="11" t="s">
        <v>1841</v>
      </c>
      <c r="I594" s="11" t="s">
        <v>138</v>
      </c>
    </row>
    <row r="595" spans="1:9" x14ac:dyDescent="0.15">
      <c r="A595" s="10">
        <v>594</v>
      </c>
      <c r="B595" s="11" t="s">
        <v>9</v>
      </c>
      <c r="C595" s="11" t="s">
        <v>152</v>
      </c>
      <c r="D595" s="11" t="s">
        <v>153</v>
      </c>
      <c r="E595" s="9" t="str">
        <f>+HYPERLINK("http://trademark.i-assist.jp/data/china/image_1906th/79629190.pdf", "79629190")</f>
        <v>79629190</v>
      </c>
      <c r="F595" s="11" t="s">
        <v>1842</v>
      </c>
      <c r="G595" s="11" t="s">
        <v>1843</v>
      </c>
      <c r="H595" s="11" t="s">
        <v>1844</v>
      </c>
      <c r="I595" s="11" t="s">
        <v>138</v>
      </c>
    </row>
    <row r="596" spans="1:9" x14ac:dyDescent="0.15">
      <c r="A596" s="10">
        <v>595</v>
      </c>
      <c r="B596" s="11" t="s">
        <v>9</v>
      </c>
      <c r="C596" s="11" t="s">
        <v>152</v>
      </c>
      <c r="D596" s="11" t="s">
        <v>153</v>
      </c>
      <c r="E596" s="9" t="str">
        <f>+HYPERLINK("http://trademark.i-assist.jp/data/china/image_1906th/79630784.pdf", "79630784")</f>
        <v>79630784</v>
      </c>
      <c r="F596" s="11" t="s">
        <v>1845</v>
      </c>
      <c r="G596" s="11" t="s">
        <v>1846</v>
      </c>
      <c r="H596" s="11" t="s">
        <v>1847</v>
      </c>
      <c r="I596" s="11" t="s">
        <v>138</v>
      </c>
    </row>
    <row r="597" spans="1:9" x14ac:dyDescent="0.15">
      <c r="A597" s="10">
        <v>596</v>
      </c>
      <c r="B597" s="11" t="s">
        <v>9</v>
      </c>
      <c r="C597" s="11" t="s">
        <v>152</v>
      </c>
      <c r="D597" s="11" t="s">
        <v>153</v>
      </c>
      <c r="E597" s="9" t="str">
        <f>+HYPERLINK("http://trademark.i-assist.jp/data/china/image_1906th/79631158.pdf", "79631158")</f>
        <v>79631158</v>
      </c>
      <c r="F597" s="11" t="s">
        <v>1848</v>
      </c>
      <c r="G597" s="11" t="s">
        <v>1849</v>
      </c>
      <c r="H597" s="11" t="s">
        <v>1850</v>
      </c>
      <c r="I597" s="11" t="s">
        <v>138</v>
      </c>
    </row>
    <row r="598" spans="1:9" x14ac:dyDescent="0.15">
      <c r="A598" s="10">
        <v>597</v>
      </c>
      <c r="B598" s="11" t="s">
        <v>9</v>
      </c>
      <c r="C598" s="11" t="s">
        <v>152</v>
      </c>
      <c r="D598" s="11" t="s">
        <v>153</v>
      </c>
      <c r="E598" s="9" t="str">
        <f>+HYPERLINK("http://trademark.i-assist.jp/data/china/image_1906th/79631567.pdf", "79631567")</f>
        <v>79631567</v>
      </c>
      <c r="F598" s="11" t="s">
        <v>1851</v>
      </c>
      <c r="G598" s="11" t="s">
        <v>1852</v>
      </c>
      <c r="H598" s="11" t="s">
        <v>1853</v>
      </c>
      <c r="I598" s="11" t="s">
        <v>138</v>
      </c>
    </row>
    <row r="599" spans="1:9" x14ac:dyDescent="0.15">
      <c r="A599" s="10">
        <v>598</v>
      </c>
      <c r="B599" s="11" t="s">
        <v>9</v>
      </c>
      <c r="C599" s="11" t="s">
        <v>152</v>
      </c>
      <c r="D599" s="11" t="s">
        <v>153</v>
      </c>
      <c r="E599" s="9" t="str">
        <f>+HYPERLINK("http://trademark.i-assist.jp/data/china/image_1906th/79633159.pdf", "79633159")</f>
        <v>79633159</v>
      </c>
      <c r="F599" s="11" t="s">
        <v>1854</v>
      </c>
      <c r="G599" s="11" t="s">
        <v>1855</v>
      </c>
      <c r="H599" s="11" t="s">
        <v>1856</v>
      </c>
      <c r="I599" s="11" t="s">
        <v>138</v>
      </c>
    </row>
    <row r="600" spans="1:9" x14ac:dyDescent="0.15">
      <c r="A600" s="10">
        <v>599</v>
      </c>
      <c r="B600" s="11" t="s">
        <v>9</v>
      </c>
      <c r="C600" s="11" t="s">
        <v>152</v>
      </c>
      <c r="D600" s="11" t="s">
        <v>153</v>
      </c>
      <c r="E600" s="9" t="str">
        <f>+HYPERLINK("http://trademark.i-assist.jp/data/china/image_1906th/79633270.pdf", "79633270")</f>
        <v>79633270</v>
      </c>
      <c r="F600" s="11" t="s">
        <v>1857</v>
      </c>
      <c r="G600" s="11" t="s">
        <v>1824</v>
      </c>
      <c r="H600" s="11" t="s">
        <v>1858</v>
      </c>
      <c r="I600" s="11" t="s">
        <v>138</v>
      </c>
    </row>
    <row r="601" spans="1:9" x14ac:dyDescent="0.15">
      <c r="A601" s="10">
        <v>600</v>
      </c>
      <c r="B601" s="11" t="s">
        <v>9</v>
      </c>
      <c r="C601" s="11" t="s">
        <v>152</v>
      </c>
      <c r="D601" s="11" t="s">
        <v>153</v>
      </c>
      <c r="E601" s="9" t="str">
        <f>+HYPERLINK("http://trademark.i-assist.jp/data/china/image_1906th/79633492.pdf", "79633492")</f>
        <v>79633492</v>
      </c>
      <c r="F601" s="11" t="s">
        <v>1859</v>
      </c>
      <c r="G601" s="11" t="s">
        <v>1860</v>
      </c>
      <c r="H601" s="11" t="s">
        <v>1861</v>
      </c>
      <c r="I601" s="11" t="s">
        <v>138</v>
      </c>
    </row>
    <row r="602" spans="1:9" x14ac:dyDescent="0.15">
      <c r="A602" s="10">
        <v>601</v>
      </c>
      <c r="B602" s="11" t="s">
        <v>9</v>
      </c>
      <c r="C602" s="11" t="s">
        <v>152</v>
      </c>
      <c r="D602" s="11" t="s">
        <v>153</v>
      </c>
      <c r="E602" s="9" t="str">
        <f>+HYPERLINK("http://trademark.i-assist.jp/data/china/image_1906th/79634328.pdf", "79634328")</f>
        <v>79634328</v>
      </c>
      <c r="F602" s="11" t="s">
        <v>1862</v>
      </c>
      <c r="G602" s="11" t="s">
        <v>1863</v>
      </c>
      <c r="H602" s="11" t="s">
        <v>1864</v>
      </c>
      <c r="I602" s="11" t="s">
        <v>138</v>
      </c>
    </row>
    <row r="603" spans="1:9" x14ac:dyDescent="0.15">
      <c r="A603" s="10">
        <v>602</v>
      </c>
      <c r="B603" s="11" t="s">
        <v>9</v>
      </c>
      <c r="C603" s="11" t="s">
        <v>152</v>
      </c>
      <c r="D603" s="11" t="s">
        <v>153</v>
      </c>
      <c r="E603" s="9" t="str">
        <f>+HYPERLINK("http://trademark.i-assist.jp/data/china/image_1906th/79636576.pdf", "79636576")</f>
        <v>79636576</v>
      </c>
      <c r="F603" s="11" t="s">
        <v>1865</v>
      </c>
      <c r="G603" s="11" t="s">
        <v>1866</v>
      </c>
      <c r="H603" s="11" t="s">
        <v>1867</v>
      </c>
      <c r="I603" s="11" t="s">
        <v>138</v>
      </c>
    </row>
    <row r="604" spans="1:9" x14ac:dyDescent="0.15">
      <c r="A604" s="10">
        <v>603</v>
      </c>
      <c r="B604" s="11" t="s">
        <v>9</v>
      </c>
      <c r="C604" s="11" t="s">
        <v>152</v>
      </c>
      <c r="D604" s="11" t="s">
        <v>153</v>
      </c>
      <c r="E604" s="9" t="str">
        <f>+HYPERLINK("http://trademark.i-assist.jp/data/china/image_1906th/79636704.pdf", "79636704")</f>
        <v>79636704</v>
      </c>
      <c r="F604" s="11" t="s">
        <v>1868</v>
      </c>
      <c r="G604" s="11" t="s">
        <v>1869</v>
      </c>
      <c r="H604" s="11" t="s">
        <v>1870</v>
      </c>
      <c r="I604" s="11" t="s">
        <v>138</v>
      </c>
    </row>
    <row r="605" spans="1:9" x14ac:dyDescent="0.15">
      <c r="A605" s="10">
        <v>604</v>
      </c>
      <c r="B605" s="11" t="s">
        <v>9</v>
      </c>
      <c r="C605" s="11" t="s">
        <v>152</v>
      </c>
      <c r="D605" s="11" t="s">
        <v>153</v>
      </c>
      <c r="E605" s="9" t="str">
        <f>+HYPERLINK("http://trademark.i-assist.jp/data/china/image_1906th/79637740.pdf", "79637740")</f>
        <v>79637740</v>
      </c>
      <c r="F605" s="11" t="s">
        <v>1871</v>
      </c>
      <c r="G605" s="11" t="s">
        <v>1872</v>
      </c>
      <c r="H605" s="11" t="s">
        <v>1873</v>
      </c>
      <c r="I605" s="11" t="s">
        <v>138</v>
      </c>
    </row>
    <row r="606" spans="1:9" x14ac:dyDescent="0.15">
      <c r="A606" s="10">
        <v>605</v>
      </c>
      <c r="B606" s="11" t="s">
        <v>9</v>
      </c>
      <c r="C606" s="11" t="s">
        <v>152</v>
      </c>
      <c r="D606" s="11" t="s">
        <v>153</v>
      </c>
      <c r="E606" s="9" t="str">
        <f>+HYPERLINK("http://trademark.i-assist.jp/data/china/image_1906th/79638385.pdf", "79638385")</f>
        <v>79638385</v>
      </c>
      <c r="F606" s="11" t="s">
        <v>1874</v>
      </c>
      <c r="G606" s="11" t="s">
        <v>1875</v>
      </c>
      <c r="H606" s="11" t="s">
        <v>1876</v>
      </c>
      <c r="I606" s="11" t="s">
        <v>138</v>
      </c>
    </row>
    <row r="607" spans="1:9" x14ac:dyDescent="0.15">
      <c r="A607" s="10">
        <v>606</v>
      </c>
      <c r="B607" s="11" t="s">
        <v>9</v>
      </c>
      <c r="C607" s="11" t="s">
        <v>152</v>
      </c>
      <c r="D607" s="11" t="s">
        <v>153</v>
      </c>
      <c r="E607" s="9" t="str">
        <f>+HYPERLINK("http://trademark.i-assist.jp/data/china/image_1906th/79639579.pdf", "79639579")</f>
        <v>79639579</v>
      </c>
      <c r="F607" s="11" t="s">
        <v>1877</v>
      </c>
      <c r="G607" s="11" t="s">
        <v>1878</v>
      </c>
      <c r="H607" s="11" t="s">
        <v>1879</v>
      </c>
      <c r="I607" s="11" t="s">
        <v>138</v>
      </c>
    </row>
    <row r="608" spans="1:9" x14ac:dyDescent="0.15">
      <c r="A608" s="10">
        <v>607</v>
      </c>
      <c r="B608" s="11" t="s">
        <v>9</v>
      </c>
      <c r="C608" s="11" t="s">
        <v>152</v>
      </c>
      <c r="D608" s="11" t="s">
        <v>153</v>
      </c>
      <c r="E608" s="9" t="str">
        <f>+HYPERLINK("http://trademark.i-assist.jp/data/china/image_1906th/79642640.pdf", "79642640")</f>
        <v>79642640</v>
      </c>
      <c r="F608" s="11" t="s">
        <v>1880</v>
      </c>
      <c r="G608" s="11" t="s">
        <v>1881</v>
      </c>
      <c r="H608" s="11" t="s">
        <v>1882</v>
      </c>
      <c r="I608" s="11" t="s">
        <v>138</v>
      </c>
    </row>
    <row r="609" spans="1:9" x14ac:dyDescent="0.15">
      <c r="A609" s="10">
        <v>608</v>
      </c>
      <c r="B609" s="11" t="s">
        <v>9</v>
      </c>
      <c r="C609" s="11" t="s">
        <v>152</v>
      </c>
      <c r="D609" s="11" t="s">
        <v>153</v>
      </c>
      <c r="E609" s="9" t="str">
        <f>+HYPERLINK("http://trademark.i-assist.jp/data/china/image_1906th/79643430.pdf", "79643430")</f>
        <v>79643430</v>
      </c>
      <c r="F609" s="11" t="s">
        <v>1883</v>
      </c>
      <c r="G609" s="11" t="s">
        <v>1330</v>
      </c>
      <c r="H609" s="11" t="s">
        <v>1884</v>
      </c>
      <c r="I609" s="11" t="s">
        <v>138</v>
      </c>
    </row>
    <row r="610" spans="1:9" x14ac:dyDescent="0.15">
      <c r="A610" s="10">
        <v>609</v>
      </c>
      <c r="B610" s="11" t="s">
        <v>9</v>
      </c>
      <c r="C610" s="11" t="s">
        <v>152</v>
      </c>
      <c r="D610" s="11" t="s">
        <v>153</v>
      </c>
      <c r="E610" s="9" t="str">
        <f>+HYPERLINK("http://trademark.i-assist.jp/data/china/image_1906th/79644510.pdf", "79644510")</f>
        <v>79644510</v>
      </c>
      <c r="F610" s="11" t="s">
        <v>1885</v>
      </c>
      <c r="G610" s="11" t="s">
        <v>1860</v>
      </c>
      <c r="H610" s="11" t="s">
        <v>1886</v>
      </c>
      <c r="I610" s="11" t="s">
        <v>138</v>
      </c>
    </row>
    <row r="611" spans="1:9" x14ac:dyDescent="0.15">
      <c r="A611" s="10">
        <v>610</v>
      </c>
      <c r="B611" s="11" t="s">
        <v>9</v>
      </c>
      <c r="C611" s="11" t="s">
        <v>152</v>
      </c>
      <c r="D611" s="11" t="s">
        <v>153</v>
      </c>
      <c r="E611" s="9" t="str">
        <f>+HYPERLINK("http://trademark.i-assist.jp/data/china/image_1906th/79644747.pdf", "79644747")</f>
        <v>79644747</v>
      </c>
      <c r="F611" s="11" t="s">
        <v>1887</v>
      </c>
      <c r="G611" s="11" t="s">
        <v>1863</v>
      </c>
      <c r="H611" s="11" t="s">
        <v>1888</v>
      </c>
      <c r="I611" s="11" t="s">
        <v>138</v>
      </c>
    </row>
    <row r="612" spans="1:9" x14ac:dyDescent="0.15">
      <c r="A612" s="10">
        <v>611</v>
      </c>
      <c r="B612" s="11" t="s">
        <v>9</v>
      </c>
      <c r="C612" s="11" t="s">
        <v>152</v>
      </c>
      <c r="D612" s="11" t="s">
        <v>153</v>
      </c>
      <c r="E612" s="9" t="str">
        <f>+HYPERLINK("http://trademark.i-assist.jp/data/china/image_1906th/79645973.pdf", "79645973")</f>
        <v>79645973</v>
      </c>
      <c r="F612" s="11" t="s">
        <v>1889</v>
      </c>
      <c r="G612" s="11" t="s">
        <v>1863</v>
      </c>
      <c r="H612" s="11" t="s">
        <v>1890</v>
      </c>
      <c r="I612" s="11" t="s">
        <v>138</v>
      </c>
    </row>
    <row r="613" spans="1:9" x14ac:dyDescent="0.15">
      <c r="A613" s="10">
        <v>612</v>
      </c>
      <c r="B613" s="11" t="s">
        <v>9</v>
      </c>
      <c r="C613" s="11" t="s">
        <v>152</v>
      </c>
      <c r="D613" s="11" t="s">
        <v>153</v>
      </c>
      <c r="E613" s="9" t="str">
        <f>+HYPERLINK("http://trademark.i-assist.jp/data/china/image_1906th/79646017.pdf", "79646017")</f>
        <v>79646017</v>
      </c>
      <c r="F613" s="11" t="s">
        <v>1891</v>
      </c>
      <c r="G613" s="11" t="s">
        <v>1863</v>
      </c>
      <c r="H613" s="11" t="s">
        <v>1892</v>
      </c>
      <c r="I613" s="11" t="s">
        <v>138</v>
      </c>
    </row>
    <row r="614" spans="1:9" x14ac:dyDescent="0.15">
      <c r="A614" s="10">
        <v>613</v>
      </c>
      <c r="B614" s="11" t="s">
        <v>9</v>
      </c>
      <c r="C614" s="11" t="s">
        <v>152</v>
      </c>
      <c r="D614" s="11" t="s">
        <v>153</v>
      </c>
      <c r="E614" s="9" t="str">
        <f>+HYPERLINK("http://trademark.i-assist.jp/data/china/image_1906th/79646221.pdf", "79646221")</f>
        <v>79646221</v>
      </c>
      <c r="F614" s="11" t="s">
        <v>1893</v>
      </c>
      <c r="G614" s="11" t="s">
        <v>1894</v>
      </c>
      <c r="H614" s="11" t="s">
        <v>1895</v>
      </c>
      <c r="I614" s="11" t="s">
        <v>138</v>
      </c>
    </row>
    <row r="615" spans="1:9" x14ac:dyDescent="0.15">
      <c r="A615" s="10">
        <v>614</v>
      </c>
      <c r="B615" s="11" t="s">
        <v>9</v>
      </c>
      <c r="C615" s="11" t="s">
        <v>152</v>
      </c>
      <c r="D615" s="11" t="s">
        <v>153</v>
      </c>
      <c r="E615" s="9" t="str">
        <f>+HYPERLINK("http://trademark.i-assist.jp/data/china/image_1906th/79646397.pdf", "79646397")</f>
        <v>79646397</v>
      </c>
      <c r="F615" s="11" t="s">
        <v>12</v>
      </c>
      <c r="G615" s="11" t="s">
        <v>1840</v>
      </c>
      <c r="H615" s="11" t="s">
        <v>1896</v>
      </c>
      <c r="I615" s="11" t="s">
        <v>138</v>
      </c>
    </row>
    <row r="616" spans="1:9" x14ac:dyDescent="0.15">
      <c r="A616" s="10">
        <v>615</v>
      </c>
      <c r="B616" s="11" t="s">
        <v>9</v>
      </c>
      <c r="C616" s="11" t="s">
        <v>152</v>
      </c>
      <c r="D616" s="11" t="s">
        <v>153</v>
      </c>
      <c r="E616" s="9" t="str">
        <f>+HYPERLINK("http://trademark.i-assist.jp/data/china/image_1906th/79647599.pdf", "79647599")</f>
        <v>79647599</v>
      </c>
      <c r="F616" s="11" t="s">
        <v>1897</v>
      </c>
      <c r="G616" s="11" t="s">
        <v>1898</v>
      </c>
      <c r="H616" s="11" t="s">
        <v>1899</v>
      </c>
      <c r="I616" s="11" t="s">
        <v>140</v>
      </c>
    </row>
    <row r="617" spans="1:9" x14ac:dyDescent="0.15">
      <c r="A617" s="10">
        <v>616</v>
      </c>
      <c r="B617" s="11" t="s">
        <v>9</v>
      </c>
      <c r="C617" s="11" t="s">
        <v>152</v>
      </c>
      <c r="D617" s="11" t="s">
        <v>153</v>
      </c>
      <c r="E617" s="9" t="str">
        <f>+HYPERLINK("http://trademark.i-assist.jp/data/china/image_1906th/79648875.pdf", "79648875")</f>
        <v>79648875</v>
      </c>
      <c r="F617" s="11" t="s">
        <v>1900</v>
      </c>
      <c r="G617" s="11" t="s">
        <v>1901</v>
      </c>
      <c r="H617" s="11" t="s">
        <v>15</v>
      </c>
      <c r="I617" s="11" t="s">
        <v>140</v>
      </c>
    </row>
    <row r="618" spans="1:9" x14ac:dyDescent="0.15">
      <c r="A618" s="10">
        <v>617</v>
      </c>
      <c r="B618" s="11" t="s">
        <v>9</v>
      </c>
      <c r="C618" s="11" t="s">
        <v>152</v>
      </c>
      <c r="D618" s="11" t="s">
        <v>153</v>
      </c>
      <c r="E618" s="9" t="str">
        <f>+HYPERLINK("http://trademark.i-assist.jp/data/china/image_1906th/79649965.pdf", "79649965")</f>
        <v>79649965</v>
      </c>
      <c r="F618" s="11" t="s">
        <v>1902</v>
      </c>
      <c r="G618" s="11" t="s">
        <v>134</v>
      </c>
      <c r="H618" s="11" t="s">
        <v>1903</v>
      </c>
      <c r="I618" s="11" t="s">
        <v>140</v>
      </c>
    </row>
    <row r="619" spans="1:9" x14ac:dyDescent="0.15">
      <c r="A619" s="10">
        <v>618</v>
      </c>
      <c r="B619" s="11" t="s">
        <v>9</v>
      </c>
      <c r="C619" s="11" t="s">
        <v>152</v>
      </c>
      <c r="D619" s="11" t="s">
        <v>153</v>
      </c>
      <c r="E619" s="9" t="str">
        <f>+HYPERLINK("http://trademark.i-assist.jp/data/china/image_1906th/79650115.pdf", "79650115")</f>
        <v>79650115</v>
      </c>
      <c r="F619" s="11" t="s">
        <v>1904</v>
      </c>
      <c r="G619" s="11" t="s">
        <v>1905</v>
      </c>
      <c r="H619" s="11" t="s">
        <v>1906</v>
      </c>
      <c r="I619" s="11" t="s">
        <v>140</v>
      </c>
    </row>
    <row r="620" spans="1:9" x14ac:dyDescent="0.15">
      <c r="A620" s="10">
        <v>619</v>
      </c>
      <c r="B620" s="11" t="s">
        <v>9</v>
      </c>
      <c r="C620" s="11" t="s">
        <v>152</v>
      </c>
      <c r="D620" s="11" t="s">
        <v>153</v>
      </c>
      <c r="E620" s="9" t="str">
        <f>+HYPERLINK("http://trademark.i-assist.jp/data/china/image_1906th/79651665.pdf", "79651665")</f>
        <v>79651665</v>
      </c>
      <c r="F620" s="11" t="s">
        <v>1907</v>
      </c>
      <c r="G620" s="11" t="s">
        <v>1908</v>
      </c>
      <c r="H620" s="11" t="s">
        <v>1909</v>
      </c>
      <c r="I620" s="11" t="s">
        <v>140</v>
      </c>
    </row>
    <row r="621" spans="1:9" x14ac:dyDescent="0.15">
      <c r="A621" s="10">
        <v>620</v>
      </c>
      <c r="B621" s="11" t="s">
        <v>9</v>
      </c>
      <c r="C621" s="11" t="s">
        <v>152</v>
      </c>
      <c r="D621" s="11" t="s">
        <v>153</v>
      </c>
      <c r="E621" s="9" t="str">
        <f>+HYPERLINK("http://trademark.i-assist.jp/data/china/image_1906th/79654932.pdf", "79654932")</f>
        <v>79654932</v>
      </c>
      <c r="F621" s="11" t="s">
        <v>1910</v>
      </c>
      <c r="G621" s="11" t="s">
        <v>1911</v>
      </c>
      <c r="H621" s="11" t="s">
        <v>1912</v>
      </c>
      <c r="I621" s="11" t="s">
        <v>141</v>
      </c>
    </row>
    <row r="622" spans="1:9" x14ac:dyDescent="0.15">
      <c r="A622" s="10">
        <v>621</v>
      </c>
      <c r="B622" s="11" t="s">
        <v>9</v>
      </c>
      <c r="C622" s="11" t="s">
        <v>152</v>
      </c>
      <c r="D622" s="11" t="s">
        <v>153</v>
      </c>
      <c r="E622" s="9" t="str">
        <f>+HYPERLINK("http://trademark.i-assist.jp/data/china/image_1906th/79655131.pdf", "79655131")</f>
        <v>79655131</v>
      </c>
      <c r="F622" s="11" t="s">
        <v>1913</v>
      </c>
      <c r="G622" s="11" t="s">
        <v>1914</v>
      </c>
      <c r="H622" s="11" t="s">
        <v>1915</v>
      </c>
      <c r="I622" s="11" t="s">
        <v>141</v>
      </c>
    </row>
    <row r="623" spans="1:9" x14ac:dyDescent="0.15">
      <c r="A623" s="10">
        <v>622</v>
      </c>
      <c r="B623" s="11" t="s">
        <v>9</v>
      </c>
      <c r="C623" s="11" t="s">
        <v>152</v>
      </c>
      <c r="D623" s="11" t="s">
        <v>153</v>
      </c>
      <c r="E623" s="9" t="str">
        <f>+HYPERLINK("http://trademark.i-assist.jp/data/china/image_1906th/79655174.pdf", "79655174")</f>
        <v>79655174</v>
      </c>
      <c r="F623" s="11" t="s">
        <v>1916</v>
      </c>
      <c r="G623" s="11" t="s">
        <v>1917</v>
      </c>
      <c r="H623" s="11" t="s">
        <v>1918</v>
      </c>
      <c r="I623" s="11" t="s">
        <v>141</v>
      </c>
    </row>
    <row r="624" spans="1:9" x14ac:dyDescent="0.15">
      <c r="A624" s="10">
        <v>623</v>
      </c>
      <c r="B624" s="11" t="s">
        <v>9</v>
      </c>
      <c r="C624" s="11" t="s">
        <v>152</v>
      </c>
      <c r="D624" s="11" t="s">
        <v>153</v>
      </c>
      <c r="E624" s="9" t="str">
        <f>+HYPERLINK("http://trademark.i-assist.jp/data/china/image_1906th/79655258.pdf", "79655258")</f>
        <v>79655258</v>
      </c>
      <c r="F624" s="11" t="s">
        <v>1919</v>
      </c>
      <c r="G624" s="11" t="s">
        <v>1911</v>
      </c>
      <c r="H624" s="11" t="s">
        <v>1920</v>
      </c>
      <c r="I624" s="11" t="s">
        <v>141</v>
      </c>
    </row>
    <row r="625" spans="1:9" x14ac:dyDescent="0.15">
      <c r="A625" s="10">
        <v>624</v>
      </c>
      <c r="B625" s="11" t="s">
        <v>9</v>
      </c>
      <c r="C625" s="11" t="s">
        <v>152</v>
      </c>
      <c r="D625" s="11" t="s">
        <v>153</v>
      </c>
      <c r="E625" s="9" t="str">
        <f>+HYPERLINK("http://trademark.i-assist.jp/data/china/image_1906th/79655546.pdf", "79655546")</f>
        <v>79655546</v>
      </c>
      <c r="F625" s="11" t="s">
        <v>1921</v>
      </c>
      <c r="G625" s="11" t="s">
        <v>1911</v>
      </c>
      <c r="H625" s="11" t="s">
        <v>1922</v>
      </c>
      <c r="I625" s="11" t="s">
        <v>141</v>
      </c>
    </row>
    <row r="626" spans="1:9" x14ac:dyDescent="0.15">
      <c r="A626" s="10">
        <v>625</v>
      </c>
      <c r="B626" s="11" t="s">
        <v>9</v>
      </c>
      <c r="C626" s="11" t="s">
        <v>152</v>
      </c>
      <c r="D626" s="11" t="s">
        <v>153</v>
      </c>
      <c r="E626" s="9" t="str">
        <f>+HYPERLINK("http://trademark.i-assist.jp/data/china/image_1906th/79656027.pdf", "79656027")</f>
        <v>79656027</v>
      </c>
      <c r="F626" s="11" t="s">
        <v>12</v>
      </c>
      <c r="G626" s="11" t="s">
        <v>1923</v>
      </c>
      <c r="H626" s="11" t="s">
        <v>1924</v>
      </c>
      <c r="I626" s="11" t="s">
        <v>141</v>
      </c>
    </row>
    <row r="627" spans="1:9" x14ac:dyDescent="0.15">
      <c r="A627" s="10">
        <v>626</v>
      </c>
      <c r="B627" s="11" t="s">
        <v>9</v>
      </c>
      <c r="C627" s="11" t="s">
        <v>152</v>
      </c>
      <c r="D627" s="11" t="s">
        <v>153</v>
      </c>
      <c r="E627" s="9" t="str">
        <f>+HYPERLINK("http://trademark.i-assist.jp/data/china/image_1906th/79656247.pdf", "79656247")</f>
        <v>79656247</v>
      </c>
      <c r="F627" s="11" t="s">
        <v>1925</v>
      </c>
      <c r="G627" s="11" t="s">
        <v>1926</v>
      </c>
      <c r="H627" s="11" t="s">
        <v>1927</v>
      </c>
      <c r="I627" s="11" t="s">
        <v>142</v>
      </c>
    </row>
    <row r="628" spans="1:9" x14ac:dyDescent="0.15">
      <c r="A628" s="10">
        <v>627</v>
      </c>
      <c r="B628" s="11" t="s">
        <v>9</v>
      </c>
      <c r="C628" s="11" t="s">
        <v>152</v>
      </c>
      <c r="D628" s="11" t="s">
        <v>153</v>
      </c>
      <c r="E628" s="9" t="str">
        <f>+HYPERLINK("http://trademark.i-assist.jp/data/china/image_1906th/79656885.pdf", "79656885")</f>
        <v>79656885</v>
      </c>
      <c r="F628" s="11" t="s">
        <v>1928</v>
      </c>
      <c r="G628" s="11" t="s">
        <v>1929</v>
      </c>
      <c r="H628" s="11" t="s">
        <v>1930</v>
      </c>
      <c r="I628" s="11" t="s">
        <v>142</v>
      </c>
    </row>
    <row r="629" spans="1:9" x14ac:dyDescent="0.15">
      <c r="A629" s="10">
        <v>628</v>
      </c>
      <c r="B629" s="11" t="s">
        <v>9</v>
      </c>
      <c r="C629" s="11" t="s">
        <v>152</v>
      </c>
      <c r="D629" s="11" t="s">
        <v>153</v>
      </c>
      <c r="E629" s="9" t="str">
        <f>+HYPERLINK("http://trademark.i-assist.jp/data/china/image_1906th/79657138.pdf", "79657138")</f>
        <v>79657138</v>
      </c>
      <c r="F629" s="11" t="s">
        <v>1931</v>
      </c>
      <c r="G629" s="11" t="s">
        <v>1932</v>
      </c>
      <c r="H629" s="11" t="s">
        <v>1933</v>
      </c>
      <c r="I629" s="11" t="s">
        <v>142</v>
      </c>
    </row>
    <row r="630" spans="1:9" x14ac:dyDescent="0.15">
      <c r="A630" s="10">
        <v>629</v>
      </c>
      <c r="B630" s="11" t="s">
        <v>9</v>
      </c>
      <c r="C630" s="11" t="s">
        <v>152</v>
      </c>
      <c r="D630" s="11" t="s">
        <v>153</v>
      </c>
      <c r="E630" s="9" t="str">
        <f>+HYPERLINK("http://trademark.i-assist.jp/data/china/image_1906th/79657707.pdf", "79657707")</f>
        <v>79657707</v>
      </c>
      <c r="F630" s="11" t="s">
        <v>1934</v>
      </c>
      <c r="G630" s="11" t="s">
        <v>1935</v>
      </c>
      <c r="H630" s="11" t="s">
        <v>1936</v>
      </c>
      <c r="I630" s="11" t="s">
        <v>142</v>
      </c>
    </row>
    <row r="631" spans="1:9" x14ac:dyDescent="0.15">
      <c r="A631" s="10">
        <v>630</v>
      </c>
      <c r="B631" s="11" t="s">
        <v>9</v>
      </c>
      <c r="C631" s="11" t="s">
        <v>152</v>
      </c>
      <c r="D631" s="11" t="s">
        <v>153</v>
      </c>
      <c r="E631" s="9" t="str">
        <f>+HYPERLINK("http://trademark.i-assist.jp/data/china/image_1906th/79657816.pdf", "79657816")</f>
        <v>79657816</v>
      </c>
      <c r="F631" s="11" t="s">
        <v>1937</v>
      </c>
      <c r="G631" s="11" t="s">
        <v>1938</v>
      </c>
      <c r="H631" s="11" t="s">
        <v>1939</v>
      </c>
      <c r="I631" s="11" t="s">
        <v>142</v>
      </c>
    </row>
    <row r="632" spans="1:9" x14ac:dyDescent="0.15">
      <c r="A632" s="10">
        <v>631</v>
      </c>
      <c r="B632" s="11" t="s">
        <v>9</v>
      </c>
      <c r="C632" s="11" t="s">
        <v>152</v>
      </c>
      <c r="D632" s="11" t="s">
        <v>153</v>
      </c>
      <c r="E632" s="9" t="str">
        <f>+HYPERLINK("http://trademark.i-assist.jp/data/china/image_1906th/79658724.pdf", "79658724")</f>
        <v>79658724</v>
      </c>
      <c r="F632" s="11" t="s">
        <v>1940</v>
      </c>
      <c r="G632" s="11" t="s">
        <v>1941</v>
      </c>
      <c r="H632" s="11" t="s">
        <v>1942</v>
      </c>
      <c r="I632" s="11" t="s">
        <v>142</v>
      </c>
    </row>
    <row r="633" spans="1:9" x14ac:dyDescent="0.15">
      <c r="A633" s="10">
        <v>632</v>
      </c>
      <c r="B633" s="11" t="s">
        <v>9</v>
      </c>
      <c r="C633" s="11" t="s">
        <v>152</v>
      </c>
      <c r="D633" s="11" t="s">
        <v>153</v>
      </c>
      <c r="E633" s="9" t="str">
        <f>+HYPERLINK("http://trademark.i-assist.jp/data/china/image_1906th/79660388.pdf", "79660388")</f>
        <v>79660388</v>
      </c>
      <c r="F633" s="11" t="s">
        <v>1943</v>
      </c>
      <c r="G633" s="11" t="s">
        <v>1944</v>
      </c>
      <c r="H633" s="11" t="s">
        <v>1945</v>
      </c>
      <c r="I633" s="11" t="s">
        <v>142</v>
      </c>
    </row>
    <row r="634" spans="1:9" x14ac:dyDescent="0.15">
      <c r="A634" s="10">
        <v>633</v>
      </c>
      <c r="B634" s="11" t="s">
        <v>9</v>
      </c>
      <c r="C634" s="11" t="s">
        <v>152</v>
      </c>
      <c r="D634" s="11" t="s">
        <v>153</v>
      </c>
      <c r="E634" s="9" t="str">
        <f>+HYPERLINK("http://trademark.i-assist.jp/data/china/image_1906th/79661697.pdf", "79661697")</f>
        <v>79661697</v>
      </c>
      <c r="F634" s="11" t="s">
        <v>1946</v>
      </c>
      <c r="G634" s="11" t="s">
        <v>1947</v>
      </c>
      <c r="H634" s="11" t="s">
        <v>1948</v>
      </c>
      <c r="I634" s="11" t="s">
        <v>142</v>
      </c>
    </row>
    <row r="635" spans="1:9" x14ac:dyDescent="0.15">
      <c r="A635" s="10">
        <v>634</v>
      </c>
      <c r="B635" s="11" t="s">
        <v>9</v>
      </c>
      <c r="C635" s="11" t="s">
        <v>152</v>
      </c>
      <c r="D635" s="11" t="s">
        <v>153</v>
      </c>
      <c r="E635" s="9" t="str">
        <f>+HYPERLINK("http://trademark.i-assist.jp/data/china/image_1906th/79662635.pdf", "79662635")</f>
        <v>79662635</v>
      </c>
      <c r="F635" s="11" t="s">
        <v>1949</v>
      </c>
      <c r="G635" s="11" t="s">
        <v>1950</v>
      </c>
      <c r="H635" s="11" t="s">
        <v>1951</v>
      </c>
      <c r="I635" s="11" t="s">
        <v>142</v>
      </c>
    </row>
    <row r="636" spans="1:9" x14ac:dyDescent="0.15">
      <c r="A636" s="10">
        <v>635</v>
      </c>
      <c r="B636" s="11" t="s">
        <v>9</v>
      </c>
      <c r="C636" s="11" t="s">
        <v>152</v>
      </c>
      <c r="D636" s="11" t="s">
        <v>153</v>
      </c>
      <c r="E636" s="9" t="str">
        <f>+HYPERLINK("http://trademark.i-assist.jp/data/china/image_1906th/79662661.pdf", "79662661")</f>
        <v>79662661</v>
      </c>
      <c r="F636" s="11" t="s">
        <v>1952</v>
      </c>
      <c r="G636" s="11" t="s">
        <v>1953</v>
      </c>
      <c r="H636" s="11" t="s">
        <v>1954</v>
      </c>
      <c r="I636" s="11" t="s">
        <v>142</v>
      </c>
    </row>
    <row r="637" spans="1:9" x14ac:dyDescent="0.15">
      <c r="A637" s="10">
        <v>636</v>
      </c>
      <c r="B637" s="11" t="s">
        <v>9</v>
      </c>
      <c r="C637" s="11" t="s">
        <v>152</v>
      </c>
      <c r="D637" s="11" t="s">
        <v>153</v>
      </c>
      <c r="E637" s="9" t="str">
        <f>+HYPERLINK("http://trademark.i-assist.jp/data/china/image_1906th/79662662.pdf", "79662662")</f>
        <v>79662662</v>
      </c>
      <c r="F637" s="11" t="s">
        <v>1955</v>
      </c>
      <c r="G637" s="11" t="s">
        <v>1956</v>
      </c>
      <c r="H637" s="11" t="s">
        <v>1957</v>
      </c>
      <c r="I637" s="11" t="s">
        <v>142</v>
      </c>
    </row>
    <row r="638" spans="1:9" x14ac:dyDescent="0.15">
      <c r="A638" s="10">
        <v>637</v>
      </c>
      <c r="B638" s="11" t="s">
        <v>9</v>
      </c>
      <c r="C638" s="11" t="s">
        <v>152</v>
      </c>
      <c r="D638" s="11" t="s">
        <v>153</v>
      </c>
      <c r="E638" s="9" t="str">
        <f>+HYPERLINK("http://trademark.i-assist.jp/data/china/image_1906th/79662787.pdf", "79662787")</f>
        <v>79662787</v>
      </c>
      <c r="F638" s="11" t="s">
        <v>1958</v>
      </c>
      <c r="G638" s="11" t="s">
        <v>1959</v>
      </c>
      <c r="H638" s="11" t="s">
        <v>1960</v>
      </c>
      <c r="I638" s="11" t="s">
        <v>142</v>
      </c>
    </row>
    <row r="639" spans="1:9" x14ac:dyDescent="0.15">
      <c r="A639" s="10">
        <v>638</v>
      </c>
      <c r="B639" s="11" t="s">
        <v>9</v>
      </c>
      <c r="C639" s="11" t="s">
        <v>152</v>
      </c>
      <c r="D639" s="11" t="s">
        <v>153</v>
      </c>
      <c r="E639" s="9" t="str">
        <f>+HYPERLINK("http://trademark.i-assist.jp/data/china/image_1906th/79663133.pdf", "79663133")</f>
        <v>79663133</v>
      </c>
      <c r="F639" s="11" t="s">
        <v>1961</v>
      </c>
      <c r="G639" s="11" t="s">
        <v>1962</v>
      </c>
      <c r="H639" s="11" t="s">
        <v>1963</v>
      </c>
      <c r="I639" s="11" t="s">
        <v>142</v>
      </c>
    </row>
    <row r="640" spans="1:9" x14ac:dyDescent="0.15">
      <c r="A640" s="10">
        <v>639</v>
      </c>
      <c r="B640" s="11" t="s">
        <v>9</v>
      </c>
      <c r="C640" s="11" t="s">
        <v>152</v>
      </c>
      <c r="D640" s="11" t="s">
        <v>153</v>
      </c>
      <c r="E640" s="9" t="str">
        <f>+HYPERLINK("http://trademark.i-assist.jp/data/china/image_1906th/79663509.pdf", "79663509")</f>
        <v>79663509</v>
      </c>
      <c r="F640" s="11" t="s">
        <v>1964</v>
      </c>
      <c r="G640" s="11" t="s">
        <v>1965</v>
      </c>
      <c r="H640" s="11" t="s">
        <v>1966</v>
      </c>
      <c r="I640" s="11" t="s">
        <v>142</v>
      </c>
    </row>
    <row r="641" spans="1:9" x14ac:dyDescent="0.15">
      <c r="A641" s="10">
        <v>640</v>
      </c>
      <c r="B641" s="11" t="s">
        <v>9</v>
      </c>
      <c r="C641" s="11" t="s">
        <v>152</v>
      </c>
      <c r="D641" s="11" t="s">
        <v>153</v>
      </c>
      <c r="E641" s="9" t="str">
        <f>+HYPERLINK("http://trademark.i-assist.jp/data/china/image_1906th/79663766.pdf", "79663766")</f>
        <v>79663766</v>
      </c>
      <c r="F641" s="11" t="s">
        <v>1967</v>
      </c>
      <c r="G641" s="11" t="s">
        <v>1968</v>
      </c>
      <c r="H641" s="11" t="s">
        <v>1969</v>
      </c>
      <c r="I641" s="11" t="s">
        <v>142</v>
      </c>
    </row>
    <row r="642" spans="1:9" x14ac:dyDescent="0.15">
      <c r="A642" s="10">
        <v>641</v>
      </c>
      <c r="B642" s="11" t="s">
        <v>9</v>
      </c>
      <c r="C642" s="11" t="s">
        <v>152</v>
      </c>
      <c r="D642" s="11" t="s">
        <v>153</v>
      </c>
      <c r="E642" s="9" t="str">
        <f>+HYPERLINK("http://trademark.i-assist.jp/data/china/image_1906th/79664114.pdf", "79664114")</f>
        <v>79664114</v>
      </c>
      <c r="F642" s="11" t="s">
        <v>1970</v>
      </c>
      <c r="G642" s="11" t="s">
        <v>1971</v>
      </c>
      <c r="H642" s="11" t="s">
        <v>1972</v>
      </c>
      <c r="I642" s="11" t="s">
        <v>142</v>
      </c>
    </row>
    <row r="643" spans="1:9" x14ac:dyDescent="0.15">
      <c r="A643" s="10">
        <v>642</v>
      </c>
      <c r="B643" s="11" t="s">
        <v>9</v>
      </c>
      <c r="C643" s="11" t="s">
        <v>152</v>
      </c>
      <c r="D643" s="11" t="s">
        <v>153</v>
      </c>
      <c r="E643" s="9" t="str">
        <f>+HYPERLINK("http://trademark.i-assist.jp/data/china/image_1906th/79665684.pdf", "79665684")</f>
        <v>79665684</v>
      </c>
      <c r="F643" s="11" t="s">
        <v>1973</v>
      </c>
      <c r="G643" s="11" t="s">
        <v>1743</v>
      </c>
      <c r="H643" s="11" t="s">
        <v>1974</v>
      </c>
      <c r="I643" s="11" t="s">
        <v>142</v>
      </c>
    </row>
    <row r="644" spans="1:9" x14ac:dyDescent="0.15">
      <c r="A644" s="10">
        <v>643</v>
      </c>
      <c r="B644" s="11" t="s">
        <v>9</v>
      </c>
      <c r="C644" s="11" t="s">
        <v>152</v>
      </c>
      <c r="D644" s="11" t="s">
        <v>153</v>
      </c>
      <c r="E644" s="9" t="str">
        <f>+HYPERLINK("http://trademark.i-assist.jp/data/china/image_1906th/79665845.pdf", "79665845")</f>
        <v>79665845</v>
      </c>
      <c r="F644" s="11" t="s">
        <v>1975</v>
      </c>
      <c r="G644" s="11" t="s">
        <v>1976</v>
      </c>
      <c r="H644" s="11" t="s">
        <v>1977</v>
      </c>
      <c r="I644" s="11" t="s">
        <v>142</v>
      </c>
    </row>
    <row r="645" spans="1:9" x14ac:dyDescent="0.15">
      <c r="A645" s="10">
        <v>644</v>
      </c>
      <c r="B645" s="11" t="s">
        <v>9</v>
      </c>
      <c r="C645" s="11" t="s">
        <v>152</v>
      </c>
      <c r="D645" s="11" t="s">
        <v>153</v>
      </c>
      <c r="E645" s="9" t="str">
        <f>+HYPERLINK("http://trademark.i-assist.jp/data/china/image_1906th/79665960.pdf", "79665960")</f>
        <v>79665960</v>
      </c>
      <c r="F645" s="11" t="s">
        <v>1978</v>
      </c>
      <c r="G645" s="11" t="s">
        <v>1979</v>
      </c>
      <c r="H645" s="11" t="s">
        <v>1980</v>
      </c>
      <c r="I645" s="11" t="s">
        <v>142</v>
      </c>
    </row>
    <row r="646" spans="1:9" x14ac:dyDescent="0.15">
      <c r="A646" s="10">
        <v>645</v>
      </c>
      <c r="B646" s="11" t="s">
        <v>9</v>
      </c>
      <c r="C646" s="11" t="s">
        <v>152</v>
      </c>
      <c r="D646" s="11" t="s">
        <v>153</v>
      </c>
      <c r="E646" s="9" t="str">
        <f>+HYPERLINK("http://trademark.i-assist.jp/data/china/image_1906th/79666179.pdf", "79666179")</f>
        <v>79666179</v>
      </c>
      <c r="F646" s="11" t="s">
        <v>1981</v>
      </c>
      <c r="G646" s="11" t="s">
        <v>1982</v>
      </c>
      <c r="H646" s="11" t="s">
        <v>1983</v>
      </c>
      <c r="I646" s="11" t="s">
        <v>142</v>
      </c>
    </row>
    <row r="647" spans="1:9" x14ac:dyDescent="0.15">
      <c r="A647" s="10">
        <v>646</v>
      </c>
      <c r="B647" s="11" t="s">
        <v>9</v>
      </c>
      <c r="C647" s="11" t="s">
        <v>152</v>
      </c>
      <c r="D647" s="11" t="s">
        <v>153</v>
      </c>
      <c r="E647" s="9" t="str">
        <f>+HYPERLINK("http://trademark.i-assist.jp/data/china/image_1906th/79666533.pdf", "79666533")</f>
        <v>79666533</v>
      </c>
      <c r="F647" s="11" t="s">
        <v>1984</v>
      </c>
      <c r="G647" s="11" t="s">
        <v>1985</v>
      </c>
      <c r="H647" s="11" t="s">
        <v>1986</v>
      </c>
      <c r="I647" s="11" t="s">
        <v>142</v>
      </c>
    </row>
    <row r="648" spans="1:9" x14ac:dyDescent="0.15">
      <c r="A648" s="10">
        <v>647</v>
      </c>
      <c r="B648" s="11" t="s">
        <v>9</v>
      </c>
      <c r="C648" s="11" t="s">
        <v>152</v>
      </c>
      <c r="D648" s="11" t="s">
        <v>153</v>
      </c>
      <c r="E648" s="9" t="str">
        <f>+HYPERLINK("http://trademark.i-assist.jp/data/china/image_1906th/79667117.pdf", "79667117")</f>
        <v>79667117</v>
      </c>
      <c r="F648" s="11" t="s">
        <v>1987</v>
      </c>
      <c r="G648" s="11" t="s">
        <v>1988</v>
      </c>
      <c r="H648" s="11" t="s">
        <v>1989</v>
      </c>
      <c r="I648" s="11" t="s">
        <v>142</v>
      </c>
    </row>
    <row r="649" spans="1:9" x14ac:dyDescent="0.15">
      <c r="A649" s="10">
        <v>648</v>
      </c>
      <c r="B649" s="11" t="s">
        <v>9</v>
      </c>
      <c r="C649" s="11" t="s">
        <v>152</v>
      </c>
      <c r="D649" s="11" t="s">
        <v>153</v>
      </c>
      <c r="E649" s="9" t="str">
        <f>+HYPERLINK("http://trademark.i-assist.jp/data/china/image_1906th/79667129.pdf", "79667129")</f>
        <v>79667129</v>
      </c>
      <c r="F649" s="11" t="s">
        <v>1990</v>
      </c>
      <c r="G649" s="11" t="s">
        <v>107</v>
      </c>
      <c r="H649" s="11" t="s">
        <v>1991</v>
      </c>
      <c r="I649" s="11" t="s">
        <v>142</v>
      </c>
    </row>
    <row r="650" spans="1:9" x14ac:dyDescent="0.15">
      <c r="A650" s="10">
        <v>649</v>
      </c>
      <c r="B650" s="11" t="s">
        <v>9</v>
      </c>
      <c r="C650" s="11" t="s">
        <v>152</v>
      </c>
      <c r="D650" s="11" t="s">
        <v>153</v>
      </c>
      <c r="E650" s="9" t="str">
        <f>+HYPERLINK("http://trademark.i-assist.jp/data/china/image_1906th/79667135.pdf", "79667135")</f>
        <v>79667135</v>
      </c>
      <c r="F650" s="11" t="s">
        <v>1992</v>
      </c>
      <c r="G650" s="11" t="s">
        <v>1993</v>
      </c>
      <c r="H650" s="11" t="s">
        <v>1994</v>
      </c>
      <c r="I650" s="11" t="s">
        <v>142</v>
      </c>
    </row>
    <row r="651" spans="1:9" x14ac:dyDescent="0.15">
      <c r="A651" s="10">
        <v>650</v>
      </c>
      <c r="B651" s="11" t="s">
        <v>9</v>
      </c>
      <c r="C651" s="11" t="s">
        <v>152</v>
      </c>
      <c r="D651" s="11" t="s">
        <v>153</v>
      </c>
      <c r="E651" s="9" t="str">
        <f>+HYPERLINK("http://trademark.i-assist.jp/data/china/image_1906th/79667996.pdf", "79667996")</f>
        <v>79667996</v>
      </c>
      <c r="F651" s="11" t="s">
        <v>1995</v>
      </c>
      <c r="G651" s="11" t="s">
        <v>1996</v>
      </c>
      <c r="H651" s="11" t="s">
        <v>1997</v>
      </c>
      <c r="I651" s="11" t="s">
        <v>142</v>
      </c>
    </row>
    <row r="652" spans="1:9" x14ac:dyDescent="0.15">
      <c r="A652" s="10">
        <v>651</v>
      </c>
      <c r="B652" s="11" t="s">
        <v>9</v>
      </c>
      <c r="C652" s="11" t="s">
        <v>152</v>
      </c>
      <c r="D652" s="11" t="s">
        <v>153</v>
      </c>
      <c r="E652" s="9" t="str">
        <f>+HYPERLINK("http://trademark.i-assist.jp/data/china/image_1906th/79668187.pdf", "79668187")</f>
        <v>79668187</v>
      </c>
      <c r="F652" s="11" t="s">
        <v>1998</v>
      </c>
      <c r="G652" s="11" t="s">
        <v>1999</v>
      </c>
      <c r="H652" s="11" t="s">
        <v>2000</v>
      </c>
      <c r="I652" s="11" t="s">
        <v>142</v>
      </c>
    </row>
    <row r="653" spans="1:9" x14ac:dyDescent="0.15">
      <c r="A653" s="10">
        <v>652</v>
      </c>
      <c r="B653" s="11" t="s">
        <v>9</v>
      </c>
      <c r="C653" s="11" t="s">
        <v>152</v>
      </c>
      <c r="D653" s="11" t="s">
        <v>153</v>
      </c>
      <c r="E653" s="9" t="str">
        <f>+HYPERLINK("http://trademark.i-assist.jp/data/china/image_1906th/79668448.pdf", "79668448")</f>
        <v>79668448</v>
      </c>
      <c r="F653" s="11" t="s">
        <v>2001</v>
      </c>
      <c r="G653" s="11" t="s">
        <v>2002</v>
      </c>
      <c r="H653" s="11" t="s">
        <v>2003</v>
      </c>
      <c r="I653" s="11" t="s">
        <v>142</v>
      </c>
    </row>
    <row r="654" spans="1:9" x14ac:dyDescent="0.15">
      <c r="A654" s="10">
        <v>653</v>
      </c>
      <c r="B654" s="11" t="s">
        <v>9</v>
      </c>
      <c r="C654" s="11" t="s">
        <v>152</v>
      </c>
      <c r="D654" s="11" t="s">
        <v>153</v>
      </c>
      <c r="E654" s="9" t="str">
        <f>+HYPERLINK("http://trademark.i-assist.jp/data/china/image_1906th/79668508.pdf", "79668508")</f>
        <v>79668508</v>
      </c>
      <c r="F654" s="11" t="s">
        <v>2004</v>
      </c>
      <c r="G654" s="11" t="s">
        <v>2005</v>
      </c>
      <c r="H654" s="11" t="s">
        <v>2006</v>
      </c>
      <c r="I654" s="11" t="s">
        <v>142</v>
      </c>
    </row>
    <row r="655" spans="1:9" x14ac:dyDescent="0.15">
      <c r="A655" s="10">
        <v>654</v>
      </c>
      <c r="B655" s="11" t="s">
        <v>9</v>
      </c>
      <c r="C655" s="11" t="s">
        <v>152</v>
      </c>
      <c r="D655" s="11" t="s">
        <v>153</v>
      </c>
      <c r="E655" s="9" t="str">
        <f>+HYPERLINK("http://trademark.i-assist.jp/data/china/image_1906th/79668537.pdf", "79668537")</f>
        <v>79668537</v>
      </c>
      <c r="F655" s="11" t="s">
        <v>2007</v>
      </c>
      <c r="G655" s="11" t="s">
        <v>2008</v>
      </c>
      <c r="H655" s="11" t="s">
        <v>2009</v>
      </c>
      <c r="I655" s="11" t="s">
        <v>142</v>
      </c>
    </row>
    <row r="656" spans="1:9" x14ac:dyDescent="0.15">
      <c r="A656" s="10">
        <v>655</v>
      </c>
      <c r="B656" s="11" t="s">
        <v>9</v>
      </c>
      <c r="C656" s="11" t="s">
        <v>152</v>
      </c>
      <c r="D656" s="11" t="s">
        <v>153</v>
      </c>
      <c r="E656" s="9" t="str">
        <f>+HYPERLINK("http://trademark.i-assist.jp/data/china/image_1906th/79668756.pdf", "79668756")</f>
        <v>79668756</v>
      </c>
      <c r="F656" s="11" t="s">
        <v>2010</v>
      </c>
      <c r="G656" s="11" t="s">
        <v>2011</v>
      </c>
      <c r="H656" s="11" t="s">
        <v>2012</v>
      </c>
      <c r="I656" s="11" t="s">
        <v>142</v>
      </c>
    </row>
    <row r="657" spans="1:9" x14ac:dyDescent="0.15">
      <c r="A657" s="10">
        <v>656</v>
      </c>
      <c r="B657" s="11" t="s">
        <v>9</v>
      </c>
      <c r="C657" s="11" t="s">
        <v>152</v>
      </c>
      <c r="D657" s="11" t="s">
        <v>153</v>
      </c>
      <c r="E657" s="9" t="str">
        <f>+HYPERLINK("http://trademark.i-assist.jp/data/china/image_1906th/79668899.pdf", "79668899")</f>
        <v>79668899</v>
      </c>
      <c r="F657" s="11" t="s">
        <v>2013</v>
      </c>
      <c r="G657" s="11" t="s">
        <v>2014</v>
      </c>
      <c r="H657" s="11" t="s">
        <v>2015</v>
      </c>
      <c r="I657" s="11" t="s">
        <v>142</v>
      </c>
    </row>
    <row r="658" spans="1:9" x14ac:dyDescent="0.15">
      <c r="A658" s="10">
        <v>657</v>
      </c>
      <c r="B658" s="11" t="s">
        <v>9</v>
      </c>
      <c r="C658" s="11" t="s">
        <v>152</v>
      </c>
      <c r="D658" s="11" t="s">
        <v>153</v>
      </c>
      <c r="E658" s="9" t="str">
        <f>+HYPERLINK("http://trademark.i-assist.jp/data/china/image_1906th/79669063.pdf", "79669063")</f>
        <v>79669063</v>
      </c>
      <c r="F658" s="11" t="s">
        <v>2016</v>
      </c>
      <c r="G658" s="11" t="s">
        <v>2017</v>
      </c>
      <c r="H658" s="11" t="s">
        <v>2018</v>
      </c>
      <c r="I658" s="11" t="s">
        <v>142</v>
      </c>
    </row>
    <row r="659" spans="1:9" x14ac:dyDescent="0.15">
      <c r="A659" s="10">
        <v>658</v>
      </c>
      <c r="B659" s="11" t="s">
        <v>9</v>
      </c>
      <c r="C659" s="11" t="s">
        <v>152</v>
      </c>
      <c r="D659" s="11" t="s">
        <v>153</v>
      </c>
      <c r="E659" s="9" t="str">
        <f>+HYPERLINK("http://trademark.i-assist.jp/data/china/image_1906th/79669745.pdf", "79669745")</f>
        <v>79669745</v>
      </c>
      <c r="F659" s="11" t="s">
        <v>2019</v>
      </c>
      <c r="G659" s="11" t="s">
        <v>1941</v>
      </c>
      <c r="H659" s="11" t="s">
        <v>2020</v>
      </c>
      <c r="I659" s="11" t="s">
        <v>142</v>
      </c>
    </row>
    <row r="660" spans="1:9" x14ac:dyDescent="0.15">
      <c r="A660" s="10">
        <v>659</v>
      </c>
      <c r="B660" s="11" t="s">
        <v>9</v>
      </c>
      <c r="C660" s="11" t="s">
        <v>152</v>
      </c>
      <c r="D660" s="11" t="s">
        <v>153</v>
      </c>
      <c r="E660" s="9" t="str">
        <f>+HYPERLINK("http://trademark.i-assist.jp/data/china/image_1906th/79669784.pdf", "79669784")</f>
        <v>79669784</v>
      </c>
      <c r="F660" s="11" t="s">
        <v>2021</v>
      </c>
      <c r="G660" s="11" t="s">
        <v>1941</v>
      </c>
      <c r="H660" s="11" t="s">
        <v>2022</v>
      </c>
      <c r="I660" s="11" t="s">
        <v>142</v>
      </c>
    </row>
    <row r="661" spans="1:9" x14ac:dyDescent="0.15">
      <c r="A661" s="10">
        <v>660</v>
      </c>
      <c r="B661" s="11" t="s">
        <v>9</v>
      </c>
      <c r="C661" s="11" t="s">
        <v>152</v>
      </c>
      <c r="D661" s="11" t="s">
        <v>153</v>
      </c>
      <c r="E661" s="9" t="str">
        <f>+HYPERLINK("http://trademark.i-assist.jp/data/china/image_1906th/79670342.pdf", "79670342")</f>
        <v>79670342</v>
      </c>
      <c r="F661" s="11" t="s">
        <v>2023</v>
      </c>
      <c r="G661" s="11" t="s">
        <v>1929</v>
      </c>
      <c r="H661" s="11" t="s">
        <v>2024</v>
      </c>
      <c r="I661" s="11" t="s">
        <v>142</v>
      </c>
    </row>
    <row r="662" spans="1:9" x14ac:dyDescent="0.15">
      <c r="A662" s="10">
        <v>661</v>
      </c>
      <c r="B662" s="11" t="s">
        <v>9</v>
      </c>
      <c r="C662" s="11" t="s">
        <v>152</v>
      </c>
      <c r="D662" s="11" t="s">
        <v>153</v>
      </c>
      <c r="E662" s="9" t="str">
        <f>+HYPERLINK("http://trademark.i-assist.jp/data/china/image_1906th/79671138.pdf", "79671138")</f>
        <v>79671138</v>
      </c>
      <c r="F662" s="11" t="s">
        <v>2025</v>
      </c>
      <c r="G662" s="11" t="s">
        <v>2026</v>
      </c>
      <c r="H662" s="11" t="s">
        <v>2027</v>
      </c>
      <c r="I662" s="11" t="s">
        <v>142</v>
      </c>
    </row>
    <row r="663" spans="1:9" x14ac:dyDescent="0.15">
      <c r="A663" s="10">
        <v>662</v>
      </c>
      <c r="B663" s="11" t="s">
        <v>9</v>
      </c>
      <c r="C663" s="11" t="s">
        <v>152</v>
      </c>
      <c r="D663" s="11" t="s">
        <v>153</v>
      </c>
      <c r="E663" s="9" t="str">
        <f>+HYPERLINK("http://trademark.i-assist.jp/data/china/image_1906th/79671144.pdf", "79671144")</f>
        <v>79671144</v>
      </c>
      <c r="F663" s="11" t="s">
        <v>2028</v>
      </c>
      <c r="G663" s="11" t="s">
        <v>2029</v>
      </c>
      <c r="H663" s="11" t="s">
        <v>2030</v>
      </c>
      <c r="I663" s="11" t="s">
        <v>142</v>
      </c>
    </row>
    <row r="664" spans="1:9" x14ac:dyDescent="0.15">
      <c r="A664" s="10">
        <v>663</v>
      </c>
      <c r="B664" s="11" t="s">
        <v>9</v>
      </c>
      <c r="C664" s="11" t="s">
        <v>152</v>
      </c>
      <c r="D664" s="11" t="s">
        <v>153</v>
      </c>
      <c r="E664" s="9" t="str">
        <f>+HYPERLINK("http://trademark.i-assist.jp/data/china/image_1906th/79671372.pdf", "79671372")</f>
        <v>79671372</v>
      </c>
      <c r="F664" s="11" t="s">
        <v>2031</v>
      </c>
      <c r="G664" s="11" t="s">
        <v>2032</v>
      </c>
      <c r="H664" s="11" t="s">
        <v>2033</v>
      </c>
      <c r="I664" s="11" t="s">
        <v>142</v>
      </c>
    </row>
    <row r="665" spans="1:9" x14ac:dyDescent="0.15">
      <c r="A665" s="10">
        <v>664</v>
      </c>
      <c r="B665" s="11" t="s">
        <v>9</v>
      </c>
      <c r="C665" s="11" t="s">
        <v>152</v>
      </c>
      <c r="D665" s="11" t="s">
        <v>153</v>
      </c>
      <c r="E665" s="9" t="str">
        <f>+HYPERLINK("http://trademark.i-assist.jp/data/china/image_1906th/79672759.pdf", "79672759")</f>
        <v>79672759</v>
      </c>
      <c r="F665" s="11" t="s">
        <v>12</v>
      </c>
      <c r="G665" s="11" t="s">
        <v>2034</v>
      </c>
      <c r="H665" s="11" t="s">
        <v>2035</v>
      </c>
      <c r="I665" s="11" t="s">
        <v>142</v>
      </c>
    </row>
    <row r="666" spans="1:9" x14ac:dyDescent="0.15">
      <c r="A666" s="10">
        <v>665</v>
      </c>
      <c r="B666" s="11" t="s">
        <v>9</v>
      </c>
      <c r="C666" s="11" t="s">
        <v>152</v>
      </c>
      <c r="D666" s="11" t="s">
        <v>153</v>
      </c>
      <c r="E666" s="9" t="str">
        <f>+HYPERLINK("http://trademark.i-assist.jp/data/china/image_1906th/79672771.pdf", "79672771")</f>
        <v>79672771</v>
      </c>
      <c r="F666" s="11" t="s">
        <v>2036</v>
      </c>
      <c r="G666" s="11" t="s">
        <v>2037</v>
      </c>
      <c r="H666" s="11" t="s">
        <v>2038</v>
      </c>
      <c r="I666" s="11" t="s">
        <v>142</v>
      </c>
    </row>
    <row r="667" spans="1:9" x14ac:dyDescent="0.15">
      <c r="A667" s="10">
        <v>666</v>
      </c>
      <c r="B667" s="11" t="s">
        <v>9</v>
      </c>
      <c r="C667" s="11" t="s">
        <v>152</v>
      </c>
      <c r="D667" s="11" t="s">
        <v>153</v>
      </c>
      <c r="E667" s="9" t="str">
        <f>+HYPERLINK("http://trademark.i-assist.jp/data/china/image_1906th/79673814.pdf", "79673814")</f>
        <v>79673814</v>
      </c>
      <c r="F667" s="11" t="s">
        <v>2039</v>
      </c>
      <c r="G667" s="11" t="s">
        <v>2040</v>
      </c>
      <c r="H667" s="11" t="s">
        <v>2041</v>
      </c>
      <c r="I667" s="11" t="s">
        <v>142</v>
      </c>
    </row>
    <row r="668" spans="1:9" x14ac:dyDescent="0.15">
      <c r="A668" s="10">
        <v>667</v>
      </c>
      <c r="B668" s="11" t="s">
        <v>9</v>
      </c>
      <c r="C668" s="11" t="s">
        <v>152</v>
      </c>
      <c r="D668" s="11" t="s">
        <v>153</v>
      </c>
      <c r="E668" s="9" t="str">
        <f>+HYPERLINK("http://trademark.i-assist.jp/data/china/image_1906th/79674294.pdf", "79674294")</f>
        <v>79674294</v>
      </c>
      <c r="F668" s="11" t="s">
        <v>2042</v>
      </c>
      <c r="G668" s="11" t="s">
        <v>2043</v>
      </c>
      <c r="H668" s="11" t="s">
        <v>2044</v>
      </c>
      <c r="I668" s="11" t="s">
        <v>142</v>
      </c>
    </row>
    <row r="669" spans="1:9" x14ac:dyDescent="0.15">
      <c r="A669" s="10">
        <v>668</v>
      </c>
      <c r="B669" s="11" t="s">
        <v>9</v>
      </c>
      <c r="C669" s="11" t="s">
        <v>152</v>
      </c>
      <c r="D669" s="11" t="s">
        <v>153</v>
      </c>
      <c r="E669" s="9" t="str">
        <f>+HYPERLINK("http://trademark.i-assist.jp/data/china/image_1906th/79674312.pdf", "79674312")</f>
        <v>79674312</v>
      </c>
      <c r="F669" s="11" t="s">
        <v>2045</v>
      </c>
      <c r="G669" s="11" t="s">
        <v>2046</v>
      </c>
      <c r="H669" s="11" t="s">
        <v>2047</v>
      </c>
      <c r="I669" s="11" t="s">
        <v>142</v>
      </c>
    </row>
    <row r="670" spans="1:9" x14ac:dyDescent="0.15">
      <c r="A670" s="10">
        <v>669</v>
      </c>
      <c r="B670" s="11" t="s">
        <v>9</v>
      </c>
      <c r="C670" s="11" t="s">
        <v>152</v>
      </c>
      <c r="D670" s="11" t="s">
        <v>153</v>
      </c>
      <c r="E670" s="9" t="str">
        <f>+HYPERLINK("http://trademark.i-assist.jp/data/china/image_1906th/79674512.pdf", "79674512")</f>
        <v>79674512</v>
      </c>
      <c r="F670" s="11" t="s">
        <v>2048</v>
      </c>
      <c r="G670" s="11" t="s">
        <v>2049</v>
      </c>
      <c r="H670" s="11" t="s">
        <v>2050</v>
      </c>
      <c r="I670" s="11" t="s">
        <v>142</v>
      </c>
    </row>
    <row r="671" spans="1:9" x14ac:dyDescent="0.15">
      <c r="A671" s="10">
        <v>670</v>
      </c>
      <c r="B671" s="11" t="s">
        <v>9</v>
      </c>
      <c r="C671" s="11" t="s">
        <v>152</v>
      </c>
      <c r="D671" s="11" t="s">
        <v>153</v>
      </c>
      <c r="E671" s="9" t="str">
        <f>+HYPERLINK("http://trademark.i-assist.jp/data/china/image_1906th/79674680.pdf", "79674680")</f>
        <v>79674680</v>
      </c>
      <c r="F671" s="11" t="s">
        <v>2051</v>
      </c>
      <c r="G671" s="11" t="s">
        <v>2052</v>
      </c>
      <c r="H671" s="11" t="s">
        <v>2053</v>
      </c>
      <c r="I671" s="11" t="s">
        <v>142</v>
      </c>
    </row>
    <row r="672" spans="1:9" x14ac:dyDescent="0.15">
      <c r="A672" s="10">
        <v>671</v>
      </c>
      <c r="B672" s="11" t="s">
        <v>9</v>
      </c>
      <c r="C672" s="11" t="s">
        <v>152</v>
      </c>
      <c r="D672" s="11" t="s">
        <v>153</v>
      </c>
      <c r="E672" s="9" t="str">
        <f>+HYPERLINK("http://trademark.i-assist.jp/data/china/image_1906th/79675501.pdf", "79675501")</f>
        <v>79675501</v>
      </c>
      <c r="F672" s="11" t="s">
        <v>2054</v>
      </c>
      <c r="G672" s="11" t="s">
        <v>2055</v>
      </c>
      <c r="H672" s="11" t="s">
        <v>2056</v>
      </c>
      <c r="I672" s="11" t="s">
        <v>142</v>
      </c>
    </row>
    <row r="673" spans="1:9" x14ac:dyDescent="0.15">
      <c r="A673" s="10">
        <v>672</v>
      </c>
      <c r="B673" s="11" t="s">
        <v>9</v>
      </c>
      <c r="C673" s="11" t="s">
        <v>152</v>
      </c>
      <c r="D673" s="11" t="s">
        <v>153</v>
      </c>
      <c r="E673" s="9" t="str">
        <f>+HYPERLINK("http://trademark.i-assist.jp/data/china/image_1906th/79675891.pdf", "79675891")</f>
        <v>79675891</v>
      </c>
      <c r="F673" s="11" t="s">
        <v>2057</v>
      </c>
      <c r="G673" s="11" t="s">
        <v>2058</v>
      </c>
      <c r="H673" s="11" t="s">
        <v>2059</v>
      </c>
      <c r="I673" s="11" t="s">
        <v>142</v>
      </c>
    </row>
    <row r="674" spans="1:9" x14ac:dyDescent="0.15">
      <c r="A674" s="10">
        <v>673</v>
      </c>
      <c r="B674" s="11" t="s">
        <v>9</v>
      </c>
      <c r="C674" s="11" t="s">
        <v>152</v>
      </c>
      <c r="D674" s="11" t="s">
        <v>153</v>
      </c>
      <c r="E674" s="9" t="str">
        <f>+HYPERLINK("http://trademark.i-assist.jp/data/china/image_1906th/79676132.pdf", "79676132")</f>
        <v>79676132</v>
      </c>
      <c r="F674" s="11" t="s">
        <v>2060</v>
      </c>
      <c r="G674" s="11" t="s">
        <v>2061</v>
      </c>
      <c r="H674" s="11" t="s">
        <v>2062</v>
      </c>
      <c r="I674" s="11" t="s">
        <v>142</v>
      </c>
    </row>
    <row r="675" spans="1:9" x14ac:dyDescent="0.15">
      <c r="A675" s="10">
        <v>674</v>
      </c>
      <c r="B675" s="11" t="s">
        <v>9</v>
      </c>
      <c r="C675" s="11" t="s">
        <v>152</v>
      </c>
      <c r="D675" s="11" t="s">
        <v>153</v>
      </c>
      <c r="E675" s="9" t="str">
        <f>+HYPERLINK("http://trademark.i-assist.jp/data/china/image_1906th/79676580.pdf", "79676580")</f>
        <v>79676580</v>
      </c>
      <c r="F675" s="11" t="s">
        <v>2063</v>
      </c>
      <c r="G675" s="11" t="s">
        <v>2064</v>
      </c>
      <c r="H675" s="11" t="s">
        <v>2065</v>
      </c>
      <c r="I675" s="11" t="s">
        <v>142</v>
      </c>
    </row>
    <row r="676" spans="1:9" x14ac:dyDescent="0.15">
      <c r="A676" s="10">
        <v>675</v>
      </c>
      <c r="B676" s="11" t="s">
        <v>9</v>
      </c>
      <c r="C676" s="11" t="s">
        <v>152</v>
      </c>
      <c r="D676" s="11" t="s">
        <v>153</v>
      </c>
      <c r="E676" s="9" t="str">
        <f>+HYPERLINK("http://trademark.i-assist.jp/data/china/image_1906th/79676978.pdf", "79676978")</f>
        <v>79676978</v>
      </c>
      <c r="F676" s="11" t="s">
        <v>2066</v>
      </c>
      <c r="G676" s="11" t="s">
        <v>2043</v>
      </c>
      <c r="H676" s="11" t="s">
        <v>2067</v>
      </c>
      <c r="I676" s="11" t="s">
        <v>142</v>
      </c>
    </row>
    <row r="677" spans="1:9" x14ac:dyDescent="0.15">
      <c r="A677" s="10">
        <v>676</v>
      </c>
      <c r="B677" s="11" t="s">
        <v>9</v>
      </c>
      <c r="C677" s="11" t="s">
        <v>152</v>
      </c>
      <c r="D677" s="11" t="s">
        <v>153</v>
      </c>
      <c r="E677" s="9" t="str">
        <f>+HYPERLINK("http://trademark.i-assist.jp/data/china/image_1906th/79677399.pdf", "79677399")</f>
        <v>79677399</v>
      </c>
      <c r="F677" s="11" t="s">
        <v>2068</v>
      </c>
      <c r="G677" s="11" t="s">
        <v>2069</v>
      </c>
      <c r="H677" s="11" t="s">
        <v>2070</v>
      </c>
      <c r="I677" s="11" t="s">
        <v>142</v>
      </c>
    </row>
    <row r="678" spans="1:9" x14ac:dyDescent="0.15">
      <c r="A678" s="10">
        <v>677</v>
      </c>
      <c r="B678" s="11" t="s">
        <v>9</v>
      </c>
      <c r="C678" s="11" t="s">
        <v>152</v>
      </c>
      <c r="D678" s="11" t="s">
        <v>153</v>
      </c>
      <c r="E678" s="9" t="str">
        <f>+HYPERLINK("http://trademark.i-assist.jp/data/china/image_1906th/79677574.pdf", "79677574")</f>
        <v>79677574</v>
      </c>
      <c r="F678" s="11" t="s">
        <v>2071</v>
      </c>
      <c r="G678" s="11" t="s">
        <v>2072</v>
      </c>
      <c r="H678" s="11" t="s">
        <v>2073</v>
      </c>
      <c r="I678" s="11" t="s">
        <v>142</v>
      </c>
    </row>
    <row r="679" spans="1:9" x14ac:dyDescent="0.15">
      <c r="A679" s="10">
        <v>678</v>
      </c>
      <c r="B679" s="11" t="s">
        <v>9</v>
      </c>
      <c r="C679" s="11" t="s">
        <v>152</v>
      </c>
      <c r="D679" s="11" t="s">
        <v>153</v>
      </c>
      <c r="E679" s="9" t="str">
        <f>+HYPERLINK("http://trademark.i-assist.jp/data/china/image_1906th/79677597.pdf", "79677597")</f>
        <v>79677597</v>
      </c>
      <c r="F679" s="11" t="s">
        <v>2074</v>
      </c>
      <c r="G679" s="11" t="s">
        <v>132</v>
      </c>
      <c r="H679" s="11" t="s">
        <v>2075</v>
      </c>
      <c r="I679" s="11" t="s">
        <v>142</v>
      </c>
    </row>
    <row r="680" spans="1:9" x14ac:dyDescent="0.15">
      <c r="A680" s="10">
        <v>679</v>
      </c>
      <c r="B680" s="11" t="s">
        <v>9</v>
      </c>
      <c r="C680" s="11" t="s">
        <v>152</v>
      </c>
      <c r="D680" s="11" t="s">
        <v>153</v>
      </c>
      <c r="E680" s="9" t="str">
        <f>+HYPERLINK("http://trademark.i-assist.jp/data/china/image_1906th/79677785.pdf", "79677785")</f>
        <v>79677785</v>
      </c>
      <c r="F680" s="11" t="s">
        <v>2076</v>
      </c>
      <c r="G680" s="11" t="s">
        <v>2077</v>
      </c>
      <c r="H680" s="11" t="s">
        <v>2078</v>
      </c>
      <c r="I680" s="11" t="s">
        <v>142</v>
      </c>
    </row>
    <row r="681" spans="1:9" x14ac:dyDescent="0.15">
      <c r="A681" s="10">
        <v>680</v>
      </c>
      <c r="B681" s="11" t="s">
        <v>9</v>
      </c>
      <c r="C681" s="11" t="s">
        <v>152</v>
      </c>
      <c r="D681" s="11" t="s">
        <v>153</v>
      </c>
      <c r="E681" s="9" t="str">
        <f>+HYPERLINK("http://trademark.i-assist.jp/data/china/image_1906th/79677990.pdf", "79677990")</f>
        <v>79677990</v>
      </c>
      <c r="F681" s="11" t="s">
        <v>2079</v>
      </c>
      <c r="G681" s="11" t="s">
        <v>2080</v>
      </c>
      <c r="H681" s="11" t="s">
        <v>2081</v>
      </c>
      <c r="I681" s="11" t="s">
        <v>142</v>
      </c>
    </row>
    <row r="682" spans="1:9" x14ac:dyDescent="0.15">
      <c r="A682" s="10">
        <v>681</v>
      </c>
      <c r="B682" s="11" t="s">
        <v>9</v>
      </c>
      <c r="C682" s="11" t="s">
        <v>152</v>
      </c>
      <c r="D682" s="11" t="s">
        <v>153</v>
      </c>
      <c r="E682" s="9" t="str">
        <f>+HYPERLINK("http://trademark.i-assist.jp/data/china/image_1906th/79678298.pdf", "79678298")</f>
        <v>79678298</v>
      </c>
      <c r="F682" s="11" t="s">
        <v>2082</v>
      </c>
      <c r="G682" s="11" t="s">
        <v>2083</v>
      </c>
      <c r="H682" s="11" t="s">
        <v>2084</v>
      </c>
      <c r="I682" s="11" t="s">
        <v>142</v>
      </c>
    </row>
    <row r="683" spans="1:9" x14ac:dyDescent="0.15">
      <c r="A683" s="10">
        <v>682</v>
      </c>
      <c r="B683" s="11" t="s">
        <v>9</v>
      </c>
      <c r="C683" s="11" t="s">
        <v>152</v>
      </c>
      <c r="D683" s="11" t="s">
        <v>153</v>
      </c>
      <c r="E683" s="9" t="str">
        <f>+HYPERLINK("http://trademark.i-assist.jp/data/china/image_1906th/79678559.pdf", "79678559")</f>
        <v>79678559</v>
      </c>
      <c r="F683" s="11" t="s">
        <v>2085</v>
      </c>
      <c r="G683" s="11" t="s">
        <v>1941</v>
      </c>
      <c r="H683" s="11" t="s">
        <v>2086</v>
      </c>
      <c r="I683" s="11" t="s">
        <v>142</v>
      </c>
    </row>
    <row r="684" spans="1:9" x14ac:dyDescent="0.15">
      <c r="A684" s="10">
        <v>683</v>
      </c>
      <c r="B684" s="11" t="s">
        <v>9</v>
      </c>
      <c r="C684" s="11" t="s">
        <v>152</v>
      </c>
      <c r="D684" s="11" t="s">
        <v>153</v>
      </c>
      <c r="E684" s="9" t="str">
        <f>+HYPERLINK("http://trademark.i-assist.jp/data/china/image_1906th/79678599.pdf", "79678599")</f>
        <v>79678599</v>
      </c>
      <c r="F684" s="11" t="s">
        <v>2087</v>
      </c>
      <c r="G684" s="11" t="s">
        <v>2088</v>
      </c>
      <c r="H684" s="11" t="s">
        <v>2089</v>
      </c>
      <c r="I684" s="11" t="s">
        <v>142</v>
      </c>
    </row>
    <row r="685" spans="1:9" x14ac:dyDescent="0.15">
      <c r="A685" s="10">
        <v>684</v>
      </c>
      <c r="B685" s="11" t="s">
        <v>9</v>
      </c>
      <c r="C685" s="11" t="s">
        <v>152</v>
      </c>
      <c r="D685" s="11" t="s">
        <v>153</v>
      </c>
      <c r="E685" s="9" t="str">
        <f>+HYPERLINK("http://trademark.i-assist.jp/data/china/image_1906th/79680212.pdf", "79680212")</f>
        <v>79680212</v>
      </c>
      <c r="F685" s="11" t="s">
        <v>2090</v>
      </c>
      <c r="G685" s="11" t="s">
        <v>2091</v>
      </c>
      <c r="H685" s="11" t="s">
        <v>2092</v>
      </c>
      <c r="I685" s="11" t="s">
        <v>143</v>
      </c>
    </row>
    <row r="686" spans="1:9" x14ac:dyDescent="0.15">
      <c r="A686" s="10">
        <v>685</v>
      </c>
      <c r="B686" s="11" t="s">
        <v>9</v>
      </c>
      <c r="C686" s="11" t="s">
        <v>152</v>
      </c>
      <c r="D686" s="11" t="s">
        <v>153</v>
      </c>
      <c r="E686" s="9" t="str">
        <f>+HYPERLINK("http://trademark.i-assist.jp/data/china/image_1906th/79680370.pdf", "79680370")</f>
        <v>79680370</v>
      </c>
      <c r="F686" s="11" t="s">
        <v>2093</v>
      </c>
      <c r="G686" s="11" t="s">
        <v>2094</v>
      </c>
      <c r="H686" s="11" t="s">
        <v>2095</v>
      </c>
      <c r="I686" s="11" t="s">
        <v>143</v>
      </c>
    </row>
    <row r="687" spans="1:9" x14ac:dyDescent="0.15">
      <c r="A687" s="10">
        <v>686</v>
      </c>
      <c r="B687" s="11" t="s">
        <v>9</v>
      </c>
      <c r="C687" s="11" t="s">
        <v>152</v>
      </c>
      <c r="D687" s="11" t="s">
        <v>153</v>
      </c>
      <c r="E687" s="9" t="str">
        <f>+HYPERLINK("http://trademark.i-assist.jp/data/china/image_1906th/79680396.pdf", "79680396")</f>
        <v>79680396</v>
      </c>
      <c r="F687" s="11" t="s">
        <v>2096</v>
      </c>
      <c r="G687" s="11" t="s">
        <v>2097</v>
      </c>
      <c r="H687" s="11" t="s">
        <v>2098</v>
      </c>
      <c r="I687" s="11" t="s">
        <v>143</v>
      </c>
    </row>
    <row r="688" spans="1:9" x14ac:dyDescent="0.15">
      <c r="A688" s="10">
        <v>687</v>
      </c>
      <c r="B688" s="11" t="s">
        <v>9</v>
      </c>
      <c r="C688" s="11" t="s">
        <v>152</v>
      </c>
      <c r="D688" s="11" t="s">
        <v>153</v>
      </c>
      <c r="E688" s="9" t="str">
        <f>+HYPERLINK("http://trademark.i-assist.jp/data/china/image_1906th/79680440.pdf", "79680440")</f>
        <v>79680440</v>
      </c>
      <c r="F688" s="11" t="s">
        <v>2099</v>
      </c>
      <c r="G688" s="11" t="s">
        <v>2100</v>
      </c>
      <c r="H688" s="11" t="s">
        <v>2101</v>
      </c>
      <c r="I688" s="11" t="s">
        <v>143</v>
      </c>
    </row>
    <row r="689" spans="1:9" x14ac:dyDescent="0.15">
      <c r="A689" s="10">
        <v>688</v>
      </c>
      <c r="B689" s="11" t="s">
        <v>9</v>
      </c>
      <c r="C689" s="11" t="s">
        <v>152</v>
      </c>
      <c r="D689" s="11" t="s">
        <v>153</v>
      </c>
      <c r="E689" s="9" t="str">
        <f>+HYPERLINK("http://trademark.i-assist.jp/data/china/image_1906th/79680901.pdf", "79680901")</f>
        <v>79680901</v>
      </c>
      <c r="F689" s="11" t="s">
        <v>2102</v>
      </c>
      <c r="G689" s="11" t="s">
        <v>2103</v>
      </c>
      <c r="H689" s="11" t="s">
        <v>2104</v>
      </c>
      <c r="I689" s="11" t="s">
        <v>143</v>
      </c>
    </row>
    <row r="690" spans="1:9" x14ac:dyDescent="0.15">
      <c r="A690" s="10">
        <v>689</v>
      </c>
      <c r="B690" s="11" t="s">
        <v>9</v>
      </c>
      <c r="C690" s="11" t="s">
        <v>152</v>
      </c>
      <c r="D690" s="11" t="s">
        <v>153</v>
      </c>
      <c r="E690" s="9" t="str">
        <f>+HYPERLINK("http://trademark.i-assist.jp/data/china/image_1906th/79681381.pdf", "79681381")</f>
        <v>79681381</v>
      </c>
      <c r="F690" s="11" t="s">
        <v>2105</v>
      </c>
      <c r="G690" s="11" t="s">
        <v>2106</v>
      </c>
      <c r="H690" s="11" t="s">
        <v>2107</v>
      </c>
      <c r="I690" s="11" t="s">
        <v>143</v>
      </c>
    </row>
    <row r="691" spans="1:9" x14ac:dyDescent="0.15">
      <c r="A691" s="10">
        <v>690</v>
      </c>
      <c r="B691" s="11" t="s">
        <v>9</v>
      </c>
      <c r="C691" s="11" t="s">
        <v>152</v>
      </c>
      <c r="D691" s="11" t="s">
        <v>153</v>
      </c>
      <c r="E691" s="9" t="str">
        <f>+HYPERLINK("http://trademark.i-assist.jp/data/china/image_1906th/79682477.pdf", "79682477")</f>
        <v>79682477</v>
      </c>
      <c r="F691" s="11" t="s">
        <v>2108</v>
      </c>
      <c r="G691" s="11" t="s">
        <v>2109</v>
      </c>
      <c r="H691" s="11" t="s">
        <v>2110</v>
      </c>
      <c r="I691" s="11" t="s">
        <v>143</v>
      </c>
    </row>
    <row r="692" spans="1:9" x14ac:dyDescent="0.15">
      <c r="A692" s="10">
        <v>691</v>
      </c>
      <c r="B692" s="11" t="s">
        <v>9</v>
      </c>
      <c r="C692" s="11" t="s">
        <v>152</v>
      </c>
      <c r="D692" s="11" t="s">
        <v>153</v>
      </c>
      <c r="E692" s="9" t="str">
        <f>+HYPERLINK("http://trademark.i-assist.jp/data/china/image_1906th/79682781.pdf", "79682781")</f>
        <v>79682781</v>
      </c>
      <c r="F692" s="11" t="s">
        <v>2111</v>
      </c>
      <c r="G692" s="11" t="s">
        <v>2112</v>
      </c>
      <c r="H692" s="11" t="s">
        <v>2113</v>
      </c>
      <c r="I692" s="11" t="s">
        <v>143</v>
      </c>
    </row>
    <row r="693" spans="1:9" x14ac:dyDescent="0.15">
      <c r="A693" s="10">
        <v>692</v>
      </c>
      <c r="B693" s="11" t="s">
        <v>9</v>
      </c>
      <c r="C693" s="11" t="s">
        <v>152</v>
      </c>
      <c r="D693" s="11" t="s">
        <v>153</v>
      </c>
      <c r="E693" s="9" t="str">
        <f>+HYPERLINK("http://trademark.i-assist.jp/data/china/image_1906th/79682796.pdf", "79682796")</f>
        <v>79682796</v>
      </c>
      <c r="F693" s="11" t="s">
        <v>2114</v>
      </c>
      <c r="G693" s="11" t="s">
        <v>2115</v>
      </c>
      <c r="H693" s="11" t="s">
        <v>2116</v>
      </c>
      <c r="I693" s="11" t="s">
        <v>143</v>
      </c>
    </row>
    <row r="694" spans="1:9" x14ac:dyDescent="0.15">
      <c r="A694" s="10">
        <v>693</v>
      </c>
      <c r="B694" s="11" t="s">
        <v>9</v>
      </c>
      <c r="C694" s="11" t="s">
        <v>152</v>
      </c>
      <c r="D694" s="11" t="s">
        <v>153</v>
      </c>
      <c r="E694" s="9" t="str">
        <f>+HYPERLINK("http://trademark.i-assist.jp/data/china/image_1906th/79683312.pdf", "79683312")</f>
        <v>79683312</v>
      </c>
      <c r="F694" s="11" t="s">
        <v>2117</v>
      </c>
      <c r="G694" s="11" t="s">
        <v>1604</v>
      </c>
      <c r="H694" s="11" t="s">
        <v>2118</v>
      </c>
      <c r="I694" s="11" t="s">
        <v>143</v>
      </c>
    </row>
    <row r="695" spans="1:9" x14ac:dyDescent="0.15">
      <c r="A695" s="10">
        <v>694</v>
      </c>
      <c r="B695" s="11" t="s">
        <v>9</v>
      </c>
      <c r="C695" s="11" t="s">
        <v>152</v>
      </c>
      <c r="D695" s="11" t="s">
        <v>153</v>
      </c>
      <c r="E695" s="9" t="str">
        <f>+HYPERLINK("http://trademark.i-assist.jp/data/china/image_1906th/79683406.pdf", "79683406")</f>
        <v>79683406</v>
      </c>
      <c r="F695" s="11" t="s">
        <v>2119</v>
      </c>
      <c r="G695" s="11" t="s">
        <v>2120</v>
      </c>
      <c r="H695" s="11" t="s">
        <v>2121</v>
      </c>
      <c r="I695" s="11" t="s">
        <v>143</v>
      </c>
    </row>
    <row r="696" spans="1:9" x14ac:dyDescent="0.15">
      <c r="A696" s="10">
        <v>695</v>
      </c>
      <c r="B696" s="11" t="s">
        <v>9</v>
      </c>
      <c r="C696" s="11" t="s">
        <v>152</v>
      </c>
      <c r="D696" s="11" t="s">
        <v>153</v>
      </c>
      <c r="E696" s="9" t="str">
        <f>+HYPERLINK("http://trademark.i-assist.jp/data/china/image_1906th/79683671.pdf", "79683671")</f>
        <v>79683671</v>
      </c>
      <c r="F696" s="11" t="s">
        <v>2122</v>
      </c>
      <c r="G696" s="11" t="s">
        <v>2123</v>
      </c>
      <c r="H696" s="11" t="s">
        <v>2124</v>
      </c>
      <c r="I696" s="11" t="s">
        <v>143</v>
      </c>
    </row>
    <row r="697" spans="1:9" x14ac:dyDescent="0.15">
      <c r="A697" s="10">
        <v>696</v>
      </c>
      <c r="B697" s="11" t="s">
        <v>9</v>
      </c>
      <c r="C697" s="11" t="s">
        <v>152</v>
      </c>
      <c r="D697" s="11" t="s">
        <v>153</v>
      </c>
      <c r="E697" s="9" t="str">
        <f>+HYPERLINK("http://trademark.i-assist.jp/data/china/image_1906th/79683821.pdf", "79683821")</f>
        <v>79683821</v>
      </c>
      <c r="F697" s="11" t="s">
        <v>2125</v>
      </c>
      <c r="G697" s="11" t="s">
        <v>129</v>
      </c>
      <c r="H697" s="11" t="s">
        <v>2126</v>
      </c>
      <c r="I697" s="11" t="s">
        <v>143</v>
      </c>
    </row>
    <row r="698" spans="1:9" x14ac:dyDescent="0.15">
      <c r="A698" s="10">
        <v>697</v>
      </c>
      <c r="B698" s="11" t="s">
        <v>9</v>
      </c>
      <c r="C698" s="11" t="s">
        <v>152</v>
      </c>
      <c r="D698" s="11" t="s">
        <v>153</v>
      </c>
      <c r="E698" s="9" t="str">
        <f>+HYPERLINK("http://trademark.i-assist.jp/data/china/image_1906th/79684870.pdf", "79684870")</f>
        <v>79684870</v>
      </c>
      <c r="F698" s="11" t="s">
        <v>2127</v>
      </c>
      <c r="G698" s="11" t="s">
        <v>2128</v>
      </c>
      <c r="H698" s="11" t="s">
        <v>2129</v>
      </c>
      <c r="I698" s="11" t="s">
        <v>143</v>
      </c>
    </row>
    <row r="699" spans="1:9" x14ac:dyDescent="0.15">
      <c r="A699" s="10">
        <v>698</v>
      </c>
      <c r="B699" s="11" t="s">
        <v>9</v>
      </c>
      <c r="C699" s="11" t="s">
        <v>152</v>
      </c>
      <c r="D699" s="11" t="s">
        <v>153</v>
      </c>
      <c r="E699" s="9" t="str">
        <f>+HYPERLINK("http://trademark.i-assist.jp/data/china/image_1906th/79685402.pdf", "79685402")</f>
        <v>79685402</v>
      </c>
      <c r="F699" s="11" t="s">
        <v>2130</v>
      </c>
      <c r="G699" s="11" t="s">
        <v>2131</v>
      </c>
      <c r="H699" s="11" t="s">
        <v>2132</v>
      </c>
      <c r="I699" s="11" t="s">
        <v>143</v>
      </c>
    </row>
    <row r="700" spans="1:9" x14ac:dyDescent="0.15">
      <c r="A700" s="10">
        <v>699</v>
      </c>
      <c r="B700" s="11" t="s">
        <v>9</v>
      </c>
      <c r="C700" s="11" t="s">
        <v>152</v>
      </c>
      <c r="D700" s="11" t="s">
        <v>153</v>
      </c>
      <c r="E700" s="9" t="str">
        <f>+HYPERLINK("http://trademark.i-assist.jp/data/china/image_1906th/79685716.pdf", "79685716")</f>
        <v>79685716</v>
      </c>
      <c r="F700" s="11" t="s">
        <v>2133</v>
      </c>
      <c r="G700" s="11" t="s">
        <v>2134</v>
      </c>
      <c r="H700" s="11" t="s">
        <v>2135</v>
      </c>
      <c r="I700" s="11" t="s">
        <v>143</v>
      </c>
    </row>
    <row r="701" spans="1:9" x14ac:dyDescent="0.15">
      <c r="A701" s="10">
        <v>700</v>
      </c>
      <c r="B701" s="11" t="s">
        <v>9</v>
      </c>
      <c r="C701" s="11" t="s">
        <v>152</v>
      </c>
      <c r="D701" s="11" t="s">
        <v>153</v>
      </c>
      <c r="E701" s="9" t="str">
        <f>+HYPERLINK("http://trademark.i-assist.jp/data/china/image_1906th/79685750.pdf", "79685750")</f>
        <v>79685750</v>
      </c>
      <c r="F701" s="11" t="s">
        <v>2136</v>
      </c>
      <c r="G701" s="11" t="s">
        <v>2137</v>
      </c>
      <c r="H701" s="11" t="s">
        <v>2138</v>
      </c>
      <c r="I701" s="11" t="s">
        <v>143</v>
      </c>
    </row>
    <row r="702" spans="1:9" x14ac:dyDescent="0.15">
      <c r="A702" s="10">
        <v>701</v>
      </c>
      <c r="B702" s="11" t="s">
        <v>9</v>
      </c>
      <c r="C702" s="11" t="s">
        <v>152</v>
      </c>
      <c r="D702" s="11" t="s">
        <v>153</v>
      </c>
      <c r="E702" s="9" t="str">
        <f>+HYPERLINK("http://trademark.i-assist.jp/data/china/image_1906th/79686111.pdf", "79686111")</f>
        <v>79686111</v>
      </c>
      <c r="F702" s="11" t="s">
        <v>2139</v>
      </c>
      <c r="G702" s="11" t="s">
        <v>2140</v>
      </c>
      <c r="H702" s="11" t="s">
        <v>2141</v>
      </c>
      <c r="I702" s="11" t="s">
        <v>143</v>
      </c>
    </row>
    <row r="703" spans="1:9" x14ac:dyDescent="0.15">
      <c r="A703" s="10">
        <v>702</v>
      </c>
      <c r="B703" s="11" t="s">
        <v>9</v>
      </c>
      <c r="C703" s="11" t="s">
        <v>152</v>
      </c>
      <c r="D703" s="11" t="s">
        <v>153</v>
      </c>
      <c r="E703" s="9" t="str">
        <f>+HYPERLINK("http://trademark.i-assist.jp/data/china/image_1906th/79686549.pdf", "79686549")</f>
        <v>79686549</v>
      </c>
      <c r="F703" s="11" t="s">
        <v>2142</v>
      </c>
      <c r="G703" s="11" t="s">
        <v>2143</v>
      </c>
      <c r="H703" s="11" t="s">
        <v>2144</v>
      </c>
      <c r="I703" s="11" t="s">
        <v>143</v>
      </c>
    </row>
    <row r="704" spans="1:9" x14ac:dyDescent="0.15">
      <c r="A704" s="10">
        <v>703</v>
      </c>
      <c r="B704" s="11" t="s">
        <v>9</v>
      </c>
      <c r="C704" s="11" t="s">
        <v>152</v>
      </c>
      <c r="D704" s="11" t="s">
        <v>153</v>
      </c>
      <c r="E704" s="9" t="str">
        <f>+HYPERLINK("http://trademark.i-assist.jp/data/china/image_1906th/79687235.pdf", "79687235")</f>
        <v>79687235</v>
      </c>
      <c r="F704" s="11" t="s">
        <v>2145</v>
      </c>
      <c r="G704" s="11" t="s">
        <v>2146</v>
      </c>
      <c r="H704" s="11" t="s">
        <v>2147</v>
      </c>
      <c r="I704" s="11" t="s">
        <v>143</v>
      </c>
    </row>
    <row r="705" spans="1:9" x14ac:dyDescent="0.15">
      <c r="A705" s="10">
        <v>704</v>
      </c>
      <c r="B705" s="11" t="s">
        <v>9</v>
      </c>
      <c r="C705" s="11" t="s">
        <v>152</v>
      </c>
      <c r="D705" s="11" t="s">
        <v>153</v>
      </c>
      <c r="E705" s="9" t="str">
        <f>+HYPERLINK("http://trademark.i-assist.jp/data/china/image_1906th/79688299.pdf", "79688299")</f>
        <v>79688299</v>
      </c>
      <c r="F705" s="11" t="s">
        <v>2148</v>
      </c>
      <c r="G705" s="11" t="s">
        <v>2149</v>
      </c>
      <c r="H705" s="11" t="s">
        <v>2150</v>
      </c>
      <c r="I705" s="11" t="s">
        <v>143</v>
      </c>
    </row>
    <row r="706" spans="1:9" x14ac:dyDescent="0.15">
      <c r="A706" s="10">
        <v>705</v>
      </c>
      <c r="B706" s="11" t="s">
        <v>9</v>
      </c>
      <c r="C706" s="11" t="s">
        <v>152</v>
      </c>
      <c r="D706" s="11" t="s">
        <v>153</v>
      </c>
      <c r="E706" s="9" t="str">
        <f>+HYPERLINK("http://trademark.i-assist.jp/data/china/image_1906th/79688628.pdf", "79688628")</f>
        <v>79688628</v>
      </c>
      <c r="F706" s="11" t="s">
        <v>2151</v>
      </c>
      <c r="G706" s="11" t="s">
        <v>2152</v>
      </c>
      <c r="H706" s="11" t="s">
        <v>2153</v>
      </c>
      <c r="I706" s="11" t="s">
        <v>143</v>
      </c>
    </row>
    <row r="707" spans="1:9" x14ac:dyDescent="0.15">
      <c r="A707" s="10">
        <v>706</v>
      </c>
      <c r="B707" s="11" t="s">
        <v>9</v>
      </c>
      <c r="C707" s="11" t="s">
        <v>152</v>
      </c>
      <c r="D707" s="11" t="s">
        <v>153</v>
      </c>
      <c r="E707" s="9" t="str">
        <f>+HYPERLINK("http://trademark.i-assist.jp/data/china/image_1906th/79688683.pdf", "79688683")</f>
        <v>79688683</v>
      </c>
      <c r="F707" s="11" t="s">
        <v>2154</v>
      </c>
      <c r="G707" s="11" t="s">
        <v>2155</v>
      </c>
      <c r="H707" s="11" t="s">
        <v>2156</v>
      </c>
      <c r="I707" s="11" t="s">
        <v>143</v>
      </c>
    </row>
    <row r="708" spans="1:9" x14ac:dyDescent="0.15">
      <c r="A708" s="10">
        <v>707</v>
      </c>
      <c r="B708" s="11" t="s">
        <v>9</v>
      </c>
      <c r="C708" s="11" t="s">
        <v>152</v>
      </c>
      <c r="D708" s="11" t="s">
        <v>153</v>
      </c>
      <c r="E708" s="9" t="str">
        <f>+HYPERLINK("http://trademark.i-assist.jp/data/china/image_1906th/79689296.pdf", "79689296")</f>
        <v>79689296</v>
      </c>
      <c r="F708" s="11" t="s">
        <v>2157</v>
      </c>
      <c r="G708" s="11" t="s">
        <v>2158</v>
      </c>
      <c r="H708" s="11" t="s">
        <v>2159</v>
      </c>
      <c r="I708" s="11" t="s">
        <v>143</v>
      </c>
    </row>
    <row r="709" spans="1:9" x14ac:dyDescent="0.15">
      <c r="A709" s="10">
        <v>708</v>
      </c>
      <c r="B709" s="11" t="s">
        <v>9</v>
      </c>
      <c r="C709" s="11" t="s">
        <v>152</v>
      </c>
      <c r="D709" s="11" t="s">
        <v>153</v>
      </c>
      <c r="E709" s="9" t="str">
        <f>+HYPERLINK("http://trademark.i-assist.jp/data/china/image_1906th/79689706.pdf", "79689706")</f>
        <v>79689706</v>
      </c>
      <c r="F709" s="11" t="s">
        <v>2160</v>
      </c>
      <c r="G709" s="11" t="s">
        <v>2161</v>
      </c>
      <c r="H709" s="11" t="s">
        <v>2162</v>
      </c>
      <c r="I709" s="11" t="s">
        <v>143</v>
      </c>
    </row>
    <row r="710" spans="1:9" x14ac:dyDescent="0.15">
      <c r="A710" s="10">
        <v>709</v>
      </c>
      <c r="B710" s="11" t="s">
        <v>9</v>
      </c>
      <c r="C710" s="11" t="s">
        <v>152</v>
      </c>
      <c r="D710" s="11" t="s">
        <v>153</v>
      </c>
      <c r="E710" s="9" t="str">
        <f>+HYPERLINK("http://trademark.i-assist.jp/data/china/image_1906th/79689777.pdf", "79689777")</f>
        <v>79689777</v>
      </c>
      <c r="F710" s="11" t="s">
        <v>2163</v>
      </c>
      <c r="G710" s="11" t="s">
        <v>2164</v>
      </c>
      <c r="H710" s="11" t="s">
        <v>2165</v>
      </c>
      <c r="I710" s="11" t="s">
        <v>143</v>
      </c>
    </row>
    <row r="711" spans="1:9" x14ac:dyDescent="0.15">
      <c r="A711" s="10">
        <v>710</v>
      </c>
      <c r="B711" s="11" t="s">
        <v>9</v>
      </c>
      <c r="C711" s="11" t="s">
        <v>152</v>
      </c>
      <c r="D711" s="11" t="s">
        <v>153</v>
      </c>
      <c r="E711" s="9" t="str">
        <f>+HYPERLINK("http://trademark.i-assist.jp/data/china/image_1906th/79690864.pdf", "79690864")</f>
        <v>79690864</v>
      </c>
      <c r="F711" s="11" t="s">
        <v>2166</v>
      </c>
      <c r="G711" s="11" t="s">
        <v>2167</v>
      </c>
      <c r="H711" s="11" t="s">
        <v>2168</v>
      </c>
      <c r="I711" s="11" t="s">
        <v>143</v>
      </c>
    </row>
    <row r="712" spans="1:9" x14ac:dyDescent="0.15">
      <c r="A712" s="10">
        <v>711</v>
      </c>
      <c r="B712" s="11" t="s">
        <v>9</v>
      </c>
      <c r="C712" s="11" t="s">
        <v>152</v>
      </c>
      <c r="D712" s="11" t="s">
        <v>153</v>
      </c>
      <c r="E712" s="9" t="str">
        <f>+HYPERLINK("http://trademark.i-assist.jp/data/china/image_1906th/79690990.pdf", "79690990")</f>
        <v>79690990</v>
      </c>
      <c r="F712" s="11" t="s">
        <v>2169</v>
      </c>
      <c r="G712" s="11" t="s">
        <v>2170</v>
      </c>
      <c r="H712" s="11" t="s">
        <v>2171</v>
      </c>
      <c r="I712" s="11" t="s">
        <v>143</v>
      </c>
    </row>
    <row r="713" spans="1:9" x14ac:dyDescent="0.15">
      <c r="A713" s="10">
        <v>712</v>
      </c>
      <c r="B713" s="11" t="s">
        <v>9</v>
      </c>
      <c r="C713" s="11" t="s">
        <v>152</v>
      </c>
      <c r="D713" s="11" t="s">
        <v>153</v>
      </c>
      <c r="E713" s="9" t="str">
        <f>+HYPERLINK("http://trademark.i-assist.jp/data/china/image_1906th/79691530.pdf", "79691530")</f>
        <v>79691530</v>
      </c>
      <c r="F713" s="11" t="s">
        <v>2172</v>
      </c>
      <c r="G713" s="11" t="s">
        <v>2173</v>
      </c>
      <c r="H713" s="11" t="s">
        <v>2174</v>
      </c>
      <c r="I713" s="11" t="s">
        <v>143</v>
      </c>
    </row>
    <row r="714" spans="1:9" x14ac:dyDescent="0.15">
      <c r="A714" s="10">
        <v>713</v>
      </c>
      <c r="B714" s="11" t="s">
        <v>9</v>
      </c>
      <c r="C714" s="11" t="s">
        <v>152</v>
      </c>
      <c r="D714" s="11" t="s">
        <v>153</v>
      </c>
      <c r="E714" s="9" t="str">
        <f>+HYPERLINK("http://trademark.i-assist.jp/data/china/image_1906th/79691989.pdf", "79691989")</f>
        <v>79691989</v>
      </c>
      <c r="F714" s="11" t="s">
        <v>2175</v>
      </c>
      <c r="G714" s="11" t="s">
        <v>2176</v>
      </c>
      <c r="H714" s="11" t="s">
        <v>2177</v>
      </c>
      <c r="I714" s="11" t="s">
        <v>143</v>
      </c>
    </row>
    <row r="715" spans="1:9" x14ac:dyDescent="0.15">
      <c r="A715" s="10">
        <v>714</v>
      </c>
      <c r="B715" s="11" t="s">
        <v>9</v>
      </c>
      <c r="C715" s="11" t="s">
        <v>152</v>
      </c>
      <c r="D715" s="11" t="s">
        <v>153</v>
      </c>
      <c r="E715" s="9" t="str">
        <f>+HYPERLINK("http://trademark.i-assist.jp/data/china/image_1906th/79692131.pdf", "79692131")</f>
        <v>79692131</v>
      </c>
      <c r="F715" s="11" t="s">
        <v>2178</v>
      </c>
      <c r="G715" s="11" t="s">
        <v>2179</v>
      </c>
      <c r="H715" s="11" t="s">
        <v>2180</v>
      </c>
      <c r="I715" s="11" t="s">
        <v>143</v>
      </c>
    </row>
    <row r="716" spans="1:9" x14ac:dyDescent="0.15">
      <c r="A716" s="10">
        <v>715</v>
      </c>
      <c r="B716" s="11" t="s">
        <v>9</v>
      </c>
      <c r="C716" s="11" t="s">
        <v>152</v>
      </c>
      <c r="D716" s="11" t="s">
        <v>153</v>
      </c>
      <c r="E716" s="9" t="str">
        <f>+HYPERLINK("http://trademark.i-assist.jp/data/china/image_1906th/79692147.pdf", "79692147")</f>
        <v>79692147</v>
      </c>
      <c r="F716" s="11" t="s">
        <v>2181</v>
      </c>
      <c r="G716" s="11" t="s">
        <v>2182</v>
      </c>
      <c r="H716" s="11" t="s">
        <v>2183</v>
      </c>
      <c r="I716" s="11" t="s">
        <v>143</v>
      </c>
    </row>
    <row r="717" spans="1:9" x14ac:dyDescent="0.15">
      <c r="A717" s="10">
        <v>716</v>
      </c>
      <c r="B717" s="11" t="s">
        <v>9</v>
      </c>
      <c r="C717" s="11" t="s">
        <v>152</v>
      </c>
      <c r="D717" s="11" t="s">
        <v>153</v>
      </c>
      <c r="E717" s="9" t="str">
        <f>+HYPERLINK("http://trademark.i-assist.jp/data/china/image_1906th/79692913.pdf", "79692913")</f>
        <v>79692913</v>
      </c>
      <c r="F717" s="11" t="s">
        <v>2184</v>
      </c>
      <c r="G717" s="11" t="s">
        <v>2185</v>
      </c>
      <c r="H717" s="11" t="s">
        <v>2186</v>
      </c>
      <c r="I717" s="11" t="s">
        <v>143</v>
      </c>
    </row>
    <row r="718" spans="1:9" x14ac:dyDescent="0.15">
      <c r="A718" s="10">
        <v>717</v>
      </c>
      <c r="B718" s="11" t="s">
        <v>9</v>
      </c>
      <c r="C718" s="11" t="s">
        <v>152</v>
      </c>
      <c r="D718" s="11" t="s">
        <v>153</v>
      </c>
      <c r="E718" s="9" t="str">
        <f>+HYPERLINK("http://trademark.i-assist.jp/data/china/image_1906th/79693096.pdf", "79693096")</f>
        <v>79693096</v>
      </c>
      <c r="F718" s="11" t="s">
        <v>2187</v>
      </c>
      <c r="G718" s="11" t="s">
        <v>2188</v>
      </c>
      <c r="H718" s="11" t="s">
        <v>2189</v>
      </c>
      <c r="I718" s="11" t="s">
        <v>143</v>
      </c>
    </row>
    <row r="719" spans="1:9" x14ac:dyDescent="0.15">
      <c r="A719" s="10">
        <v>718</v>
      </c>
      <c r="B719" s="11" t="s">
        <v>9</v>
      </c>
      <c r="C719" s="11" t="s">
        <v>152</v>
      </c>
      <c r="D719" s="11" t="s">
        <v>153</v>
      </c>
      <c r="E719" s="9" t="str">
        <f>+HYPERLINK("http://trademark.i-assist.jp/data/china/image_1906th/79693773.pdf", "79693773")</f>
        <v>79693773</v>
      </c>
      <c r="F719" s="11" t="s">
        <v>2190</v>
      </c>
      <c r="G719" s="11" t="s">
        <v>2191</v>
      </c>
      <c r="H719" s="11" t="s">
        <v>2192</v>
      </c>
      <c r="I719" s="11" t="s">
        <v>143</v>
      </c>
    </row>
    <row r="720" spans="1:9" x14ac:dyDescent="0.15">
      <c r="A720" s="10">
        <v>719</v>
      </c>
      <c r="B720" s="11" t="s">
        <v>9</v>
      </c>
      <c r="C720" s="11" t="s">
        <v>152</v>
      </c>
      <c r="D720" s="11" t="s">
        <v>153</v>
      </c>
      <c r="E720" s="9" t="str">
        <f>+HYPERLINK("http://trademark.i-assist.jp/data/china/image_1906th/79693804.pdf", "79693804")</f>
        <v>79693804</v>
      </c>
      <c r="F720" s="11" t="s">
        <v>2193</v>
      </c>
      <c r="G720" s="11" t="s">
        <v>2194</v>
      </c>
      <c r="H720" s="11" t="s">
        <v>2195</v>
      </c>
      <c r="I720" s="11" t="s">
        <v>143</v>
      </c>
    </row>
    <row r="721" spans="1:9" x14ac:dyDescent="0.15">
      <c r="A721" s="10">
        <v>720</v>
      </c>
      <c r="B721" s="11" t="s">
        <v>9</v>
      </c>
      <c r="C721" s="11" t="s">
        <v>152</v>
      </c>
      <c r="D721" s="11" t="s">
        <v>153</v>
      </c>
      <c r="E721" s="9" t="str">
        <f>+HYPERLINK("http://trademark.i-assist.jp/data/china/image_1906th/79694207.pdf", "79694207")</f>
        <v>79694207</v>
      </c>
      <c r="F721" s="11" t="s">
        <v>2196</v>
      </c>
      <c r="G721" s="11" t="s">
        <v>2197</v>
      </c>
      <c r="H721" s="11" t="s">
        <v>2198</v>
      </c>
      <c r="I721" s="11" t="s">
        <v>143</v>
      </c>
    </row>
    <row r="722" spans="1:9" x14ac:dyDescent="0.15">
      <c r="A722" s="10">
        <v>721</v>
      </c>
      <c r="B722" s="11" t="s">
        <v>9</v>
      </c>
      <c r="C722" s="11" t="s">
        <v>152</v>
      </c>
      <c r="D722" s="11" t="s">
        <v>153</v>
      </c>
      <c r="E722" s="9" t="str">
        <f>+HYPERLINK("http://trademark.i-assist.jp/data/china/image_1906th/79694863.pdf", "79694863")</f>
        <v>79694863</v>
      </c>
      <c r="F722" s="11" t="s">
        <v>2199</v>
      </c>
      <c r="G722" s="11" t="s">
        <v>2200</v>
      </c>
      <c r="H722" s="11" t="s">
        <v>2201</v>
      </c>
      <c r="I722" s="11" t="s">
        <v>143</v>
      </c>
    </row>
    <row r="723" spans="1:9" x14ac:dyDescent="0.15">
      <c r="A723" s="10">
        <v>722</v>
      </c>
      <c r="B723" s="11" t="s">
        <v>9</v>
      </c>
      <c r="C723" s="11" t="s">
        <v>152</v>
      </c>
      <c r="D723" s="11" t="s">
        <v>153</v>
      </c>
      <c r="E723" s="9" t="str">
        <f>+HYPERLINK("http://trademark.i-assist.jp/data/china/image_1906th/79695076.pdf", "79695076")</f>
        <v>79695076</v>
      </c>
      <c r="F723" s="11" t="s">
        <v>2202</v>
      </c>
      <c r="G723" s="11" t="s">
        <v>2203</v>
      </c>
      <c r="H723" s="11" t="s">
        <v>2204</v>
      </c>
      <c r="I723" s="11" t="s">
        <v>143</v>
      </c>
    </row>
    <row r="724" spans="1:9" x14ac:dyDescent="0.15">
      <c r="A724" s="10">
        <v>723</v>
      </c>
      <c r="B724" s="11" t="s">
        <v>9</v>
      </c>
      <c r="C724" s="11" t="s">
        <v>152</v>
      </c>
      <c r="D724" s="11" t="s">
        <v>153</v>
      </c>
      <c r="E724" s="9" t="str">
        <f>+HYPERLINK("http://trademark.i-assist.jp/data/china/image_1906th/79695217.pdf", "79695217")</f>
        <v>79695217</v>
      </c>
      <c r="F724" s="11" t="s">
        <v>2205</v>
      </c>
      <c r="G724" s="11" t="s">
        <v>2206</v>
      </c>
      <c r="H724" s="11" t="s">
        <v>2207</v>
      </c>
      <c r="I724" s="11" t="s">
        <v>143</v>
      </c>
    </row>
    <row r="725" spans="1:9" x14ac:dyDescent="0.15">
      <c r="A725" s="10">
        <v>724</v>
      </c>
      <c r="B725" s="11" t="s">
        <v>9</v>
      </c>
      <c r="C725" s="11" t="s">
        <v>152</v>
      </c>
      <c r="D725" s="11" t="s">
        <v>153</v>
      </c>
      <c r="E725" s="9" t="str">
        <f>+HYPERLINK("http://trademark.i-assist.jp/data/china/image_1906th/79695406.pdf", "79695406")</f>
        <v>79695406</v>
      </c>
      <c r="F725" s="11" t="s">
        <v>2208</v>
      </c>
      <c r="G725" s="11" t="s">
        <v>2209</v>
      </c>
      <c r="H725" s="11" t="s">
        <v>2210</v>
      </c>
      <c r="I725" s="11" t="s">
        <v>143</v>
      </c>
    </row>
    <row r="726" spans="1:9" x14ac:dyDescent="0.15">
      <c r="A726" s="10">
        <v>725</v>
      </c>
      <c r="B726" s="11" t="s">
        <v>9</v>
      </c>
      <c r="C726" s="11" t="s">
        <v>152</v>
      </c>
      <c r="D726" s="11" t="s">
        <v>153</v>
      </c>
      <c r="E726" s="9" t="str">
        <f>+HYPERLINK("http://trademark.i-assist.jp/data/china/image_1906th/79695505.pdf", "79695505")</f>
        <v>79695505</v>
      </c>
      <c r="F726" s="11" t="s">
        <v>2211</v>
      </c>
      <c r="G726" s="11" t="s">
        <v>2212</v>
      </c>
      <c r="H726" s="11" t="s">
        <v>2213</v>
      </c>
      <c r="I726" s="11" t="s">
        <v>143</v>
      </c>
    </row>
    <row r="727" spans="1:9" x14ac:dyDescent="0.15">
      <c r="A727" s="10">
        <v>726</v>
      </c>
      <c r="B727" s="11" t="s">
        <v>9</v>
      </c>
      <c r="C727" s="11" t="s">
        <v>152</v>
      </c>
      <c r="D727" s="11" t="s">
        <v>153</v>
      </c>
      <c r="E727" s="9" t="str">
        <f>+HYPERLINK("http://trademark.i-assist.jp/data/china/image_1906th/79696071.pdf", "79696071")</f>
        <v>79696071</v>
      </c>
      <c r="F727" s="11" t="s">
        <v>2214</v>
      </c>
      <c r="G727" s="11" t="s">
        <v>2215</v>
      </c>
      <c r="H727" s="11" t="s">
        <v>2216</v>
      </c>
      <c r="I727" s="11" t="s">
        <v>143</v>
      </c>
    </row>
    <row r="728" spans="1:9" x14ac:dyDescent="0.15">
      <c r="A728" s="10">
        <v>727</v>
      </c>
      <c r="B728" s="11" t="s">
        <v>9</v>
      </c>
      <c r="C728" s="11" t="s">
        <v>152</v>
      </c>
      <c r="D728" s="11" t="s">
        <v>153</v>
      </c>
      <c r="E728" s="9" t="str">
        <f>+HYPERLINK("http://trademark.i-assist.jp/data/china/image_1906th/79696596.pdf", "79696596")</f>
        <v>79696596</v>
      </c>
      <c r="F728" s="11" t="s">
        <v>2217</v>
      </c>
      <c r="G728" s="11" t="s">
        <v>2218</v>
      </c>
      <c r="H728" s="11" t="s">
        <v>2219</v>
      </c>
      <c r="I728" s="11" t="s">
        <v>143</v>
      </c>
    </row>
    <row r="729" spans="1:9" x14ac:dyDescent="0.15">
      <c r="A729" s="10">
        <v>728</v>
      </c>
      <c r="B729" s="11" t="s">
        <v>9</v>
      </c>
      <c r="C729" s="11" t="s">
        <v>152</v>
      </c>
      <c r="D729" s="11" t="s">
        <v>153</v>
      </c>
      <c r="E729" s="9" t="str">
        <f>+HYPERLINK("http://trademark.i-assist.jp/data/china/image_1906th/79697483.pdf", "79697483")</f>
        <v>79697483</v>
      </c>
      <c r="F729" s="11" t="s">
        <v>2220</v>
      </c>
      <c r="G729" s="11" t="s">
        <v>2221</v>
      </c>
      <c r="H729" s="11" t="s">
        <v>2222</v>
      </c>
      <c r="I729" s="11" t="s">
        <v>143</v>
      </c>
    </row>
    <row r="730" spans="1:9" x14ac:dyDescent="0.15">
      <c r="A730" s="10">
        <v>729</v>
      </c>
      <c r="B730" s="11" t="s">
        <v>9</v>
      </c>
      <c r="C730" s="11" t="s">
        <v>152</v>
      </c>
      <c r="D730" s="11" t="s">
        <v>153</v>
      </c>
      <c r="E730" s="9" t="str">
        <f>+HYPERLINK("http://trademark.i-assist.jp/data/china/image_1906th/79697514.pdf", "79697514")</f>
        <v>79697514</v>
      </c>
      <c r="F730" s="11" t="s">
        <v>2223</v>
      </c>
      <c r="G730" s="11" t="s">
        <v>2224</v>
      </c>
      <c r="H730" s="11" t="s">
        <v>2225</v>
      </c>
      <c r="I730" s="11" t="s">
        <v>143</v>
      </c>
    </row>
    <row r="731" spans="1:9" x14ac:dyDescent="0.15">
      <c r="A731" s="10">
        <v>730</v>
      </c>
      <c r="B731" s="11" t="s">
        <v>9</v>
      </c>
      <c r="C731" s="11" t="s">
        <v>152</v>
      </c>
      <c r="D731" s="11" t="s">
        <v>153</v>
      </c>
      <c r="E731" s="9" t="str">
        <f>+HYPERLINK("http://trademark.i-assist.jp/data/china/image_1906th/79697702.pdf", "79697702")</f>
        <v>79697702</v>
      </c>
      <c r="F731" s="11" t="s">
        <v>2226</v>
      </c>
      <c r="G731" s="11" t="s">
        <v>2182</v>
      </c>
      <c r="H731" s="11" t="s">
        <v>2227</v>
      </c>
      <c r="I731" s="11" t="s">
        <v>143</v>
      </c>
    </row>
    <row r="732" spans="1:9" x14ac:dyDescent="0.15">
      <c r="A732" s="10">
        <v>731</v>
      </c>
      <c r="B732" s="11" t="s">
        <v>9</v>
      </c>
      <c r="C732" s="11" t="s">
        <v>152</v>
      </c>
      <c r="D732" s="11" t="s">
        <v>153</v>
      </c>
      <c r="E732" s="9" t="str">
        <f>+HYPERLINK("http://trademark.i-assist.jp/data/china/image_1906th/79698014.pdf", "79698014")</f>
        <v>79698014</v>
      </c>
      <c r="F732" s="11" t="s">
        <v>2228</v>
      </c>
      <c r="G732" s="11" t="s">
        <v>2146</v>
      </c>
      <c r="H732" s="11" t="s">
        <v>2229</v>
      </c>
      <c r="I732" s="11" t="s">
        <v>143</v>
      </c>
    </row>
    <row r="733" spans="1:9" x14ac:dyDescent="0.15">
      <c r="A733" s="10">
        <v>732</v>
      </c>
      <c r="B733" s="11" t="s">
        <v>9</v>
      </c>
      <c r="C733" s="11" t="s">
        <v>152</v>
      </c>
      <c r="D733" s="11" t="s">
        <v>153</v>
      </c>
      <c r="E733" s="9" t="str">
        <f>+HYPERLINK("http://trademark.i-assist.jp/data/china/image_1906th/79698047.pdf", "79698047")</f>
        <v>79698047</v>
      </c>
      <c r="F733" s="11" t="s">
        <v>2230</v>
      </c>
      <c r="G733" s="11" t="s">
        <v>2231</v>
      </c>
      <c r="H733" s="11" t="s">
        <v>2232</v>
      </c>
      <c r="I733" s="11" t="s">
        <v>143</v>
      </c>
    </row>
    <row r="734" spans="1:9" x14ac:dyDescent="0.15">
      <c r="A734" s="10">
        <v>733</v>
      </c>
      <c r="B734" s="11" t="s">
        <v>9</v>
      </c>
      <c r="C734" s="11" t="s">
        <v>152</v>
      </c>
      <c r="D734" s="11" t="s">
        <v>153</v>
      </c>
      <c r="E734" s="9" t="str">
        <f>+HYPERLINK("http://trademark.i-assist.jp/data/china/image_1906th/79698077.pdf", "79698077")</f>
        <v>79698077</v>
      </c>
      <c r="F734" s="11" t="s">
        <v>2233</v>
      </c>
      <c r="G734" s="11" t="s">
        <v>2234</v>
      </c>
      <c r="H734" s="11" t="s">
        <v>2235</v>
      </c>
      <c r="I734" s="11" t="s">
        <v>143</v>
      </c>
    </row>
    <row r="735" spans="1:9" x14ac:dyDescent="0.15">
      <c r="A735" s="10">
        <v>734</v>
      </c>
      <c r="B735" s="11" t="s">
        <v>9</v>
      </c>
      <c r="C735" s="11" t="s">
        <v>152</v>
      </c>
      <c r="D735" s="11" t="s">
        <v>153</v>
      </c>
      <c r="E735" s="9" t="str">
        <f>+HYPERLINK("http://trademark.i-assist.jp/data/china/image_1906th/79698667.pdf", "79698667")</f>
        <v>79698667</v>
      </c>
      <c r="F735" s="11" t="s">
        <v>2236</v>
      </c>
      <c r="G735" s="11" t="s">
        <v>2237</v>
      </c>
      <c r="H735" s="11" t="s">
        <v>2238</v>
      </c>
      <c r="I735" s="11" t="s">
        <v>143</v>
      </c>
    </row>
    <row r="736" spans="1:9" x14ac:dyDescent="0.15">
      <c r="A736" s="10">
        <v>735</v>
      </c>
      <c r="B736" s="11" t="s">
        <v>9</v>
      </c>
      <c r="C736" s="11" t="s">
        <v>152</v>
      </c>
      <c r="D736" s="11" t="s">
        <v>153</v>
      </c>
      <c r="E736" s="9" t="str">
        <f>+HYPERLINK("http://trademark.i-assist.jp/data/china/image_1906th/79698809.pdf", "79698809")</f>
        <v>79698809</v>
      </c>
      <c r="F736" s="11" t="s">
        <v>2239</v>
      </c>
      <c r="G736" s="11" t="s">
        <v>2240</v>
      </c>
      <c r="H736" s="11" t="s">
        <v>2241</v>
      </c>
      <c r="I736" s="11" t="s">
        <v>143</v>
      </c>
    </row>
    <row r="737" spans="1:9" x14ac:dyDescent="0.15">
      <c r="A737" s="10">
        <v>736</v>
      </c>
      <c r="B737" s="11" t="s">
        <v>9</v>
      </c>
      <c r="C737" s="11" t="s">
        <v>152</v>
      </c>
      <c r="D737" s="11" t="s">
        <v>153</v>
      </c>
      <c r="E737" s="9" t="str">
        <f>+HYPERLINK("http://trademark.i-assist.jp/data/china/image_1906th/79698915.pdf", "79698915")</f>
        <v>79698915</v>
      </c>
      <c r="F737" s="11" t="s">
        <v>2242</v>
      </c>
      <c r="G737" s="11" t="s">
        <v>2243</v>
      </c>
      <c r="H737" s="11" t="s">
        <v>2244</v>
      </c>
      <c r="I737" s="11" t="s">
        <v>143</v>
      </c>
    </row>
    <row r="738" spans="1:9" x14ac:dyDescent="0.15">
      <c r="A738" s="10">
        <v>737</v>
      </c>
      <c r="B738" s="11" t="s">
        <v>9</v>
      </c>
      <c r="C738" s="11" t="s">
        <v>152</v>
      </c>
      <c r="D738" s="11" t="s">
        <v>153</v>
      </c>
      <c r="E738" s="9" t="str">
        <f>+HYPERLINK("http://trademark.i-assist.jp/data/china/image_1906th/79699034.pdf", "79699034")</f>
        <v>79699034</v>
      </c>
      <c r="F738" s="11" t="s">
        <v>2245</v>
      </c>
      <c r="G738" s="11" t="s">
        <v>2246</v>
      </c>
      <c r="H738" s="11" t="s">
        <v>2247</v>
      </c>
      <c r="I738" s="11" t="s">
        <v>143</v>
      </c>
    </row>
    <row r="739" spans="1:9" x14ac:dyDescent="0.15">
      <c r="A739" s="10">
        <v>738</v>
      </c>
      <c r="B739" s="11" t="s">
        <v>9</v>
      </c>
      <c r="C739" s="11" t="s">
        <v>152</v>
      </c>
      <c r="D739" s="11" t="s">
        <v>153</v>
      </c>
      <c r="E739" s="9" t="str">
        <f>+HYPERLINK("http://trademark.i-assist.jp/data/china/image_1906th/79699399.pdf", "79699399")</f>
        <v>79699399</v>
      </c>
      <c r="F739" s="11" t="s">
        <v>2248</v>
      </c>
      <c r="G739" s="11" t="s">
        <v>2249</v>
      </c>
      <c r="H739" s="11" t="s">
        <v>2250</v>
      </c>
      <c r="I739" s="11" t="s">
        <v>143</v>
      </c>
    </row>
    <row r="740" spans="1:9" x14ac:dyDescent="0.15">
      <c r="A740" s="10">
        <v>739</v>
      </c>
      <c r="B740" s="11" t="s">
        <v>9</v>
      </c>
      <c r="C740" s="11" t="s">
        <v>152</v>
      </c>
      <c r="D740" s="11" t="s">
        <v>153</v>
      </c>
      <c r="E740" s="9" t="str">
        <f>+HYPERLINK("http://trademark.i-assist.jp/data/china/image_1906th/79699424.pdf", "79699424")</f>
        <v>79699424</v>
      </c>
      <c r="F740" s="11" t="s">
        <v>2251</v>
      </c>
      <c r="G740" s="11" t="s">
        <v>2182</v>
      </c>
      <c r="H740" s="11" t="s">
        <v>2252</v>
      </c>
      <c r="I740" s="11" t="s">
        <v>143</v>
      </c>
    </row>
    <row r="741" spans="1:9" x14ac:dyDescent="0.15">
      <c r="A741" s="10">
        <v>740</v>
      </c>
      <c r="B741" s="11" t="s">
        <v>9</v>
      </c>
      <c r="C741" s="11" t="s">
        <v>152</v>
      </c>
      <c r="D741" s="11" t="s">
        <v>153</v>
      </c>
      <c r="E741" s="9" t="str">
        <f>+HYPERLINK("http://trademark.i-assist.jp/data/china/image_1906th/79699907.pdf", "79699907")</f>
        <v>79699907</v>
      </c>
      <c r="F741" s="11" t="s">
        <v>2253</v>
      </c>
      <c r="G741" s="11" t="s">
        <v>2200</v>
      </c>
      <c r="H741" s="11" t="s">
        <v>2254</v>
      </c>
      <c r="I741" s="11" t="s">
        <v>143</v>
      </c>
    </row>
    <row r="742" spans="1:9" x14ac:dyDescent="0.15">
      <c r="A742" s="10">
        <v>741</v>
      </c>
      <c r="B742" s="11" t="s">
        <v>9</v>
      </c>
      <c r="C742" s="11" t="s">
        <v>152</v>
      </c>
      <c r="D742" s="11" t="s">
        <v>153</v>
      </c>
      <c r="E742" s="9" t="str">
        <f>+HYPERLINK("http://trademark.i-assist.jp/data/china/image_1906th/79699917.pdf", "79699917")</f>
        <v>79699917</v>
      </c>
      <c r="F742" s="11" t="s">
        <v>2255</v>
      </c>
      <c r="G742" s="11" t="s">
        <v>2256</v>
      </c>
      <c r="H742" s="11" t="s">
        <v>2257</v>
      </c>
      <c r="I742" s="11" t="s">
        <v>143</v>
      </c>
    </row>
    <row r="743" spans="1:9" x14ac:dyDescent="0.15">
      <c r="A743" s="10">
        <v>742</v>
      </c>
      <c r="B743" s="11" t="s">
        <v>9</v>
      </c>
      <c r="C743" s="11" t="s">
        <v>152</v>
      </c>
      <c r="D743" s="11" t="s">
        <v>153</v>
      </c>
      <c r="E743" s="9" t="str">
        <f>+HYPERLINK("http://trademark.i-assist.jp/data/china/image_1906th/79700890.pdf", "79700890")</f>
        <v>79700890</v>
      </c>
      <c r="F743" s="11" t="s">
        <v>2258</v>
      </c>
      <c r="G743" s="11" t="s">
        <v>2259</v>
      </c>
      <c r="H743" s="11" t="s">
        <v>2260</v>
      </c>
      <c r="I743" s="11" t="s">
        <v>143</v>
      </c>
    </row>
    <row r="744" spans="1:9" x14ac:dyDescent="0.15">
      <c r="A744" s="10">
        <v>743</v>
      </c>
      <c r="B744" s="11" t="s">
        <v>9</v>
      </c>
      <c r="C744" s="11" t="s">
        <v>152</v>
      </c>
      <c r="D744" s="11" t="s">
        <v>153</v>
      </c>
      <c r="E744" s="9" t="str">
        <f>+HYPERLINK("http://trademark.i-assist.jp/data/china/image_1906th/79700993.pdf", "79700993")</f>
        <v>79700993</v>
      </c>
      <c r="F744" s="11" t="s">
        <v>2261</v>
      </c>
      <c r="G744" s="11" t="s">
        <v>2158</v>
      </c>
      <c r="H744" s="11" t="s">
        <v>2262</v>
      </c>
      <c r="I744" s="11" t="s">
        <v>143</v>
      </c>
    </row>
    <row r="745" spans="1:9" x14ac:dyDescent="0.15">
      <c r="A745" s="10">
        <v>744</v>
      </c>
      <c r="B745" s="11" t="s">
        <v>9</v>
      </c>
      <c r="C745" s="11" t="s">
        <v>152</v>
      </c>
      <c r="D745" s="11" t="s">
        <v>153</v>
      </c>
      <c r="E745" s="9" t="str">
        <f>+HYPERLINK("http://trademark.i-assist.jp/data/china/image_1906th/79701378.pdf", "79701378")</f>
        <v>79701378</v>
      </c>
      <c r="F745" s="11" t="s">
        <v>2263</v>
      </c>
      <c r="G745" s="11" t="s">
        <v>2264</v>
      </c>
      <c r="H745" s="11" t="s">
        <v>2265</v>
      </c>
      <c r="I745" s="11" t="s">
        <v>143</v>
      </c>
    </row>
    <row r="746" spans="1:9" x14ac:dyDescent="0.15">
      <c r="A746" s="10">
        <v>745</v>
      </c>
      <c r="B746" s="11" t="s">
        <v>9</v>
      </c>
      <c r="C746" s="11" t="s">
        <v>152</v>
      </c>
      <c r="D746" s="11" t="s">
        <v>153</v>
      </c>
      <c r="E746" s="9" t="str">
        <f>+HYPERLINK("http://trademark.i-assist.jp/data/china/image_1906th/79701382.pdf", "79701382")</f>
        <v>79701382</v>
      </c>
      <c r="F746" s="11" t="s">
        <v>2266</v>
      </c>
      <c r="G746" s="11" t="s">
        <v>2264</v>
      </c>
      <c r="H746" s="11" t="s">
        <v>2267</v>
      </c>
      <c r="I746" s="11" t="s">
        <v>143</v>
      </c>
    </row>
    <row r="747" spans="1:9" x14ac:dyDescent="0.15">
      <c r="A747" s="10">
        <v>746</v>
      </c>
      <c r="B747" s="11" t="s">
        <v>9</v>
      </c>
      <c r="C747" s="11" t="s">
        <v>152</v>
      </c>
      <c r="D747" s="11" t="s">
        <v>153</v>
      </c>
      <c r="E747" s="9" t="str">
        <f>+HYPERLINK("http://trademark.i-assist.jp/data/china/image_1906th/79701743.pdf", "79701743")</f>
        <v>79701743</v>
      </c>
      <c r="F747" s="11" t="s">
        <v>2268</v>
      </c>
      <c r="G747" s="11" t="s">
        <v>2269</v>
      </c>
      <c r="H747" s="11" t="s">
        <v>2270</v>
      </c>
      <c r="I747" s="11" t="s">
        <v>143</v>
      </c>
    </row>
    <row r="748" spans="1:9" x14ac:dyDescent="0.15">
      <c r="A748" s="10">
        <v>747</v>
      </c>
      <c r="B748" s="11" t="s">
        <v>9</v>
      </c>
      <c r="C748" s="11" t="s">
        <v>152</v>
      </c>
      <c r="D748" s="11" t="s">
        <v>153</v>
      </c>
      <c r="E748" s="9" t="str">
        <f>+HYPERLINK("http://trademark.i-assist.jp/data/china/image_1906th/79701748.pdf", "79701748")</f>
        <v>79701748</v>
      </c>
      <c r="F748" s="11" t="s">
        <v>2271</v>
      </c>
      <c r="G748" s="11" t="s">
        <v>2179</v>
      </c>
      <c r="H748" s="11" t="s">
        <v>2272</v>
      </c>
      <c r="I748" s="11" t="s">
        <v>143</v>
      </c>
    </row>
    <row r="749" spans="1:9" x14ac:dyDescent="0.15">
      <c r="A749" s="10">
        <v>748</v>
      </c>
      <c r="B749" s="11" t="s">
        <v>9</v>
      </c>
      <c r="C749" s="11" t="s">
        <v>152</v>
      </c>
      <c r="D749" s="11" t="s">
        <v>153</v>
      </c>
      <c r="E749" s="9" t="str">
        <f>+HYPERLINK("http://trademark.i-assist.jp/data/china/image_1906th/79702051.pdf", "79702051")</f>
        <v>79702051</v>
      </c>
      <c r="F749" s="11" t="s">
        <v>2273</v>
      </c>
      <c r="G749" s="11" t="s">
        <v>2249</v>
      </c>
      <c r="H749" s="11" t="s">
        <v>2274</v>
      </c>
      <c r="I749" s="11" t="s">
        <v>143</v>
      </c>
    </row>
    <row r="750" spans="1:9" x14ac:dyDescent="0.15">
      <c r="A750" s="10">
        <v>749</v>
      </c>
      <c r="B750" s="11" t="s">
        <v>9</v>
      </c>
      <c r="C750" s="11" t="s">
        <v>152</v>
      </c>
      <c r="D750" s="11" t="s">
        <v>153</v>
      </c>
      <c r="E750" s="9" t="str">
        <f>+HYPERLINK("http://trademark.i-assist.jp/data/china/image_1906th/79702234.pdf", "79702234")</f>
        <v>79702234</v>
      </c>
      <c r="F750" s="11" t="s">
        <v>2275</v>
      </c>
      <c r="G750" s="11" t="s">
        <v>2276</v>
      </c>
      <c r="H750" s="11" t="s">
        <v>2277</v>
      </c>
      <c r="I750" s="11" t="s">
        <v>143</v>
      </c>
    </row>
    <row r="751" spans="1:9" x14ac:dyDescent="0.15">
      <c r="A751" s="10">
        <v>750</v>
      </c>
      <c r="B751" s="11" t="s">
        <v>9</v>
      </c>
      <c r="C751" s="11" t="s">
        <v>152</v>
      </c>
      <c r="D751" s="11" t="s">
        <v>153</v>
      </c>
      <c r="E751" s="9" t="str">
        <f>+HYPERLINK("http://trademark.i-assist.jp/data/china/image_1906th/79702456.pdf", "79702456")</f>
        <v>79702456</v>
      </c>
      <c r="F751" s="11" t="s">
        <v>2278</v>
      </c>
      <c r="G751" s="11" t="s">
        <v>2279</v>
      </c>
      <c r="H751" s="11" t="s">
        <v>2280</v>
      </c>
      <c r="I751" s="11" t="s">
        <v>143</v>
      </c>
    </row>
    <row r="752" spans="1:9" x14ac:dyDescent="0.15">
      <c r="A752" s="10">
        <v>751</v>
      </c>
      <c r="B752" s="11" t="s">
        <v>9</v>
      </c>
      <c r="C752" s="11" t="s">
        <v>152</v>
      </c>
      <c r="D752" s="11" t="s">
        <v>153</v>
      </c>
      <c r="E752" s="9" t="str">
        <f>+HYPERLINK("http://trademark.i-assist.jp/data/china/image_1906th/79702818.pdf", "79702818")</f>
        <v>79702818</v>
      </c>
      <c r="F752" s="11" t="s">
        <v>2281</v>
      </c>
      <c r="G752" s="11" t="s">
        <v>2146</v>
      </c>
      <c r="H752" s="11" t="s">
        <v>2282</v>
      </c>
      <c r="I752" s="11" t="s">
        <v>143</v>
      </c>
    </row>
    <row r="753" spans="1:9" x14ac:dyDescent="0.15">
      <c r="A753" s="10">
        <v>752</v>
      </c>
      <c r="B753" s="11" t="s">
        <v>9</v>
      </c>
      <c r="C753" s="11" t="s">
        <v>152</v>
      </c>
      <c r="D753" s="11" t="s">
        <v>153</v>
      </c>
      <c r="E753" s="9" t="str">
        <f>+HYPERLINK("http://trademark.i-assist.jp/data/china/image_1906th/79702893.pdf", "79702893")</f>
        <v>79702893</v>
      </c>
      <c r="F753" s="11" t="s">
        <v>2283</v>
      </c>
      <c r="G753" s="11" t="s">
        <v>2284</v>
      </c>
      <c r="H753" s="11" t="s">
        <v>2285</v>
      </c>
      <c r="I753" s="11" t="s">
        <v>143</v>
      </c>
    </row>
    <row r="754" spans="1:9" x14ac:dyDescent="0.15">
      <c r="A754" s="10">
        <v>753</v>
      </c>
      <c r="B754" s="11" t="s">
        <v>9</v>
      </c>
      <c r="C754" s="11" t="s">
        <v>152</v>
      </c>
      <c r="D754" s="11" t="s">
        <v>153</v>
      </c>
      <c r="E754" s="9" t="str">
        <f>+HYPERLINK("http://trademark.i-assist.jp/data/china/image_1906th/79703097.pdf", "79703097")</f>
        <v>79703097</v>
      </c>
      <c r="F754" s="11" t="s">
        <v>2286</v>
      </c>
      <c r="G754" s="11" t="s">
        <v>2287</v>
      </c>
      <c r="H754" s="11" t="s">
        <v>2288</v>
      </c>
      <c r="I754" s="11" t="s">
        <v>143</v>
      </c>
    </row>
    <row r="755" spans="1:9" x14ac:dyDescent="0.15">
      <c r="A755" s="10">
        <v>754</v>
      </c>
      <c r="B755" s="11" t="s">
        <v>9</v>
      </c>
      <c r="C755" s="11" t="s">
        <v>152</v>
      </c>
      <c r="D755" s="11" t="s">
        <v>153</v>
      </c>
      <c r="E755" s="9" t="str">
        <f>+HYPERLINK("http://trademark.i-assist.jp/data/china/image_1906th/79704846.pdf", "79704846")</f>
        <v>79704846</v>
      </c>
      <c r="F755" s="11" t="s">
        <v>2289</v>
      </c>
      <c r="G755" s="11" t="s">
        <v>2290</v>
      </c>
      <c r="H755" s="11" t="s">
        <v>2291</v>
      </c>
      <c r="I755" s="11" t="s">
        <v>145</v>
      </c>
    </row>
    <row r="756" spans="1:9" x14ac:dyDescent="0.15">
      <c r="A756" s="10">
        <v>755</v>
      </c>
      <c r="B756" s="11" t="s">
        <v>9</v>
      </c>
      <c r="C756" s="11" t="s">
        <v>152</v>
      </c>
      <c r="D756" s="11" t="s">
        <v>153</v>
      </c>
      <c r="E756" s="9" t="str">
        <f>+HYPERLINK("http://trademark.i-assist.jp/data/china/image_1906th/79704885.pdf", "79704885")</f>
        <v>79704885</v>
      </c>
      <c r="F756" s="11" t="s">
        <v>12</v>
      </c>
      <c r="G756" s="11" t="s">
        <v>2292</v>
      </c>
      <c r="H756" s="11" t="s">
        <v>2293</v>
      </c>
      <c r="I756" s="11" t="s">
        <v>145</v>
      </c>
    </row>
    <row r="757" spans="1:9" x14ac:dyDescent="0.15">
      <c r="A757" s="10">
        <v>756</v>
      </c>
      <c r="B757" s="11" t="s">
        <v>9</v>
      </c>
      <c r="C757" s="11" t="s">
        <v>152</v>
      </c>
      <c r="D757" s="11" t="s">
        <v>153</v>
      </c>
      <c r="E757" s="9" t="str">
        <f>+HYPERLINK("http://trademark.i-assist.jp/data/china/image_1906th/79705103.pdf", "79705103")</f>
        <v>79705103</v>
      </c>
      <c r="F757" s="11" t="s">
        <v>2294</v>
      </c>
      <c r="G757" s="11" t="s">
        <v>147</v>
      </c>
      <c r="H757" s="11" t="s">
        <v>2295</v>
      </c>
      <c r="I757" s="11" t="s">
        <v>145</v>
      </c>
    </row>
    <row r="758" spans="1:9" x14ac:dyDescent="0.15">
      <c r="A758" s="10">
        <v>757</v>
      </c>
      <c r="B758" s="11" t="s">
        <v>9</v>
      </c>
      <c r="C758" s="11" t="s">
        <v>152</v>
      </c>
      <c r="D758" s="11" t="s">
        <v>153</v>
      </c>
      <c r="E758" s="9" t="str">
        <f>+HYPERLINK("http://trademark.i-assist.jp/data/china/image_1906th/79706672.pdf", "79706672")</f>
        <v>79706672</v>
      </c>
      <c r="F758" s="11" t="s">
        <v>2296</v>
      </c>
      <c r="G758" s="11" t="s">
        <v>2297</v>
      </c>
      <c r="H758" s="11" t="s">
        <v>2298</v>
      </c>
      <c r="I758" s="11" t="s">
        <v>145</v>
      </c>
    </row>
    <row r="759" spans="1:9" x14ac:dyDescent="0.15">
      <c r="A759" s="10">
        <v>758</v>
      </c>
      <c r="B759" s="11" t="s">
        <v>9</v>
      </c>
      <c r="C759" s="11" t="s">
        <v>152</v>
      </c>
      <c r="D759" s="11" t="s">
        <v>153</v>
      </c>
      <c r="E759" s="9" t="str">
        <f>+HYPERLINK("http://trademark.i-assist.jp/data/china/image_1906th/79707118.pdf", "79707118")</f>
        <v>79707118</v>
      </c>
      <c r="F759" s="11" t="s">
        <v>2299</v>
      </c>
      <c r="G759" s="11" t="s">
        <v>2300</v>
      </c>
      <c r="H759" s="11" t="s">
        <v>2301</v>
      </c>
      <c r="I759" s="11" t="s">
        <v>145</v>
      </c>
    </row>
    <row r="760" spans="1:9" x14ac:dyDescent="0.15">
      <c r="A760" s="10">
        <v>759</v>
      </c>
      <c r="B760" s="11" t="s">
        <v>9</v>
      </c>
      <c r="C760" s="11" t="s">
        <v>152</v>
      </c>
      <c r="D760" s="11" t="s">
        <v>153</v>
      </c>
      <c r="E760" s="9" t="str">
        <f>+HYPERLINK("http://trademark.i-assist.jp/data/china/image_1906th/79707257.pdf", "79707257")</f>
        <v>79707257</v>
      </c>
      <c r="F760" s="11" t="s">
        <v>2302</v>
      </c>
      <c r="G760" s="11" t="s">
        <v>2303</v>
      </c>
      <c r="H760" s="11" t="s">
        <v>2304</v>
      </c>
      <c r="I760" s="11" t="s">
        <v>145</v>
      </c>
    </row>
    <row r="761" spans="1:9" x14ac:dyDescent="0.15">
      <c r="A761" s="10">
        <v>760</v>
      </c>
      <c r="B761" s="11" t="s">
        <v>9</v>
      </c>
      <c r="C761" s="11" t="s">
        <v>152</v>
      </c>
      <c r="D761" s="11" t="s">
        <v>153</v>
      </c>
      <c r="E761" s="9" t="str">
        <f>+HYPERLINK("http://trademark.i-assist.jp/data/china/image_1906th/79707574.pdf", "79707574")</f>
        <v>79707574</v>
      </c>
      <c r="F761" s="11" t="s">
        <v>12</v>
      </c>
      <c r="G761" s="11" t="s">
        <v>2305</v>
      </c>
      <c r="H761" s="11" t="s">
        <v>2306</v>
      </c>
      <c r="I761" s="11" t="s">
        <v>145</v>
      </c>
    </row>
    <row r="762" spans="1:9" x14ac:dyDescent="0.15">
      <c r="A762" s="10">
        <v>761</v>
      </c>
      <c r="B762" s="11" t="s">
        <v>9</v>
      </c>
      <c r="C762" s="11" t="s">
        <v>152</v>
      </c>
      <c r="D762" s="11" t="s">
        <v>153</v>
      </c>
      <c r="E762" s="9" t="str">
        <f>+HYPERLINK("http://trademark.i-assist.jp/data/china/image_1906th/79708296.pdf", "79708296")</f>
        <v>79708296</v>
      </c>
      <c r="F762" s="11" t="s">
        <v>2307</v>
      </c>
      <c r="G762" s="11" t="s">
        <v>2308</v>
      </c>
      <c r="H762" s="11" t="s">
        <v>2309</v>
      </c>
      <c r="I762" s="11" t="s">
        <v>145</v>
      </c>
    </row>
    <row r="763" spans="1:9" x14ac:dyDescent="0.15">
      <c r="A763" s="10">
        <v>762</v>
      </c>
      <c r="B763" s="11" t="s">
        <v>9</v>
      </c>
      <c r="C763" s="11" t="s">
        <v>152</v>
      </c>
      <c r="D763" s="11" t="s">
        <v>153</v>
      </c>
      <c r="E763" s="9" t="str">
        <f>+HYPERLINK("http://trademark.i-assist.jp/data/china/image_1906th/79708720.pdf", "79708720")</f>
        <v>79708720</v>
      </c>
      <c r="F763" s="11" t="s">
        <v>2310</v>
      </c>
      <c r="G763" s="11" t="s">
        <v>2311</v>
      </c>
      <c r="H763" s="11" t="s">
        <v>2312</v>
      </c>
      <c r="I763" s="11" t="s">
        <v>145</v>
      </c>
    </row>
    <row r="764" spans="1:9" x14ac:dyDescent="0.15">
      <c r="A764" s="10">
        <v>763</v>
      </c>
      <c r="B764" s="11" t="s">
        <v>9</v>
      </c>
      <c r="C764" s="11" t="s">
        <v>152</v>
      </c>
      <c r="D764" s="11" t="s">
        <v>153</v>
      </c>
      <c r="E764" s="9" t="str">
        <f>+HYPERLINK("http://trademark.i-assist.jp/data/china/image_1906th/79708786.pdf", "79708786")</f>
        <v>79708786</v>
      </c>
      <c r="F764" s="11" t="s">
        <v>2313</v>
      </c>
      <c r="G764" s="11" t="s">
        <v>2314</v>
      </c>
      <c r="H764" s="11" t="s">
        <v>2315</v>
      </c>
      <c r="I764" s="11" t="s">
        <v>145</v>
      </c>
    </row>
    <row r="765" spans="1:9" x14ac:dyDescent="0.15">
      <c r="A765" s="10">
        <v>764</v>
      </c>
      <c r="B765" s="11" t="s">
        <v>9</v>
      </c>
      <c r="C765" s="11" t="s">
        <v>152</v>
      </c>
      <c r="D765" s="11" t="s">
        <v>153</v>
      </c>
      <c r="E765" s="9" t="str">
        <f>+HYPERLINK("http://trademark.i-assist.jp/data/china/image_1906th/79709052.pdf", "79709052")</f>
        <v>79709052</v>
      </c>
      <c r="F765" s="11" t="s">
        <v>2316</v>
      </c>
      <c r="G765" s="11" t="s">
        <v>1505</v>
      </c>
      <c r="H765" s="11" t="s">
        <v>2317</v>
      </c>
      <c r="I765" s="11" t="s">
        <v>145</v>
      </c>
    </row>
    <row r="766" spans="1:9" x14ac:dyDescent="0.15">
      <c r="A766" s="10">
        <v>765</v>
      </c>
      <c r="B766" s="11" t="s">
        <v>9</v>
      </c>
      <c r="C766" s="11" t="s">
        <v>152</v>
      </c>
      <c r="D766" s="11" t="s">
        <v>153</v>
      </c>
      <c r="E766" s="9" t="str">
        <f>+HYPERLINK("http://trademark.i-assist.jp/data/china/image_1906th/79709194.pdf", "79709194")</f>
        <v>79709194</v>
      </c>
      <c r="F766" s="11" t="s">
        <v>2318</v>
      </c>
      <c r="G766" s="11" t="s">
        <v>2319</v>
      </c>
      <c r="H766" s="11" t="s">
        <v>2320</v>
      </c>
      <c r="I766" s="11" t="s">
        <v>145</v>
      </c>
    </row>
    <row r="767" spans="1:9" x14ac:dyDescent="0.15">
      <c r="A767" s="10">
        <v>766</v>
      </c>
      <c r="B767" s="11" t="s">
        <v>9</v>
      </c>
      <c r="C767" s="11" t="s">
        <v>152</v>
      </c>
      <c r="D767" s="11" t="s">
        <v>153</v>
      </c>
      <c r="E767" s="9" t="str">
        <f>+HYPERLINK("http://trademark.i-assist.jp/data/china/image_1906th/79709259.pdf", "79709259")</f>
        <v>79709259</v>
      </c>
      <c r="F767" s="11" t="s">
        <v>2321</v>
      </c>
      <c r="G767" s="11" t="s">
        <v>2322</v>
      </c>
      <c r="H767" s="11" t="s">
        <v>2323</v>
      </c>
      <c r="I767" s="11" t="s">
        <v>145</v>
      </c>
    </row>
    <row r="768" spans="1:9" x14ac:dyDescent="0.15">
      <c r="A768" s="10">
        <v>767</v>
      </c>
      <c r="B768" s="11" t="s">
        <v>9</v>
      </c>
      <c r="C768" s="11" t="s">
        <v>152</v>
      </c>
      <c r="D768" s="11" t="s">
        <v>153</v>
      </c>
      <c r="E768" s="9" t="str">
        <f>+HYPERLINK("http://trademark.i-assist.jp/data/china/image_1906th/79709737.pdf", "79709737")</f>
        <v>79709737</v>
      </c>
      <c r="F768" s="11" t="s">
        <v>2324</v>
      </c>
      <c r="G768" s="11" t="s">
        <v>2290</v>
      </c>
      <c r="H768" s="11" t="s">
        <v>2325</v>
      </c>
      <c r="I768" s="11" t="s">
        <v>145</v>
      </c>
    </row>
    <row r="769" spans="1:9" x14ac:dyDescent="0.15">
      <c r="A769" s="10">
        <v>768</v>
      </c>
      <c r="B769" s="11" t="s">
        <v>9</v>
      </c>
      <c r="C769" s="11" t="s">
        <v>152</v>
      </c>
      <c r="D769" s="11" t="s">
        <v>153</v>
      </c>
      <c r="E769" s="9" t="str">
        <f>+HYPERLINK("http://trademark.i-assist.jp/data/china/image_1906th/79710029.pdf", "79710029")</f>
        <v>79710029</v>
      </c>
      <c r="F769" s="11" t="s">
        <v>2326</v>
      </c>
      <c r="G769" s="11" t="s">
        <v>2327</v>
      </c>
      <c r="H769" s="11" t="s">
        <v>2328</v>
      </c>
      <c r="I769" s="11" t="s">
        <v>145</v>
      </c>
    </row>
    <row r="770" spans="1:9" x14ac:dyDescent="0.15">
      <c r="A770" s="10">
        <v>769</v>
      </c>
      <c r="B770" s="11" t="s">
        <v>9</v>
      </c>
      <c r="C770" s="11" t="s">
        <v>152</v>
      </c>
      <c r="D770" s="11" t="s">
        <v>153</v>
      </c>
      <c r="E770" s="9" t="str">
        <f>+HYPERLINK("http://trademark.i-assist.jp/data/china/image_1906th/79711260.pdf", "79711260")</f>
        <v>79711260</v>
      </c>
      <c r="F770" s="11" t="s">
        <v>2329</v>
      </c>
      <c r="G770" s="11" t="s">
        <v>2330</v>
      </c>
      <c r="H770" s="11" t="s">
        <v>2331</v>
      </c>
      <c r="I770" s="11" t="s">
        <v>145</v>
      </c>
    </row>
    <row r="771" spans="1:9" x14ac:dyDescent="0.15">
      <c r="A771" s="10">
        <v>770</v>
      </c>
      <c r="B771" s="11" t="s">
        <v>9</v>
      </c>
      <c r="C771" s="11" t="s">
        <v>152</v>
      </c>
      <c r="D771" s="11" t="s">
        <v>153</v>
      </c>
      <c r="E771" s="9" t="str">
        <f>+HYPERLINK("http://trademark.i-assist.jp/data/china/image_1906th/79711292.pdf", "79711292")</f>
        <v>79711292</v>
      </c>
      <c r="F771" s="11" t="s">
        <v>2332</v>
      </c>
      <c r="G771" s="11" t="s">
        <v>2333</v>
      </c>
      <c r="H771" s="11" t="s">
        <v>2334</v>
      </c>
      <c r="I771" s="11" t="s">
        <v>145</v>
      </c>
    </row>
    <row r="772" spans="1:9" x14ac:dyDescent="0.15">
      <c r="A772" s="10">
        <v>771</v>
      </c>
      <c r="B772" s="11" t="s">
        <v>9</v>
      </c>
      <c r="C772" s="11" t="s">
        <v>152</v>
      </c>
      <c r="D772" s="11" t="s">
        <v>153</v>
      </c>
      <c r="E772" s="9" t="str">
        <f>+HYPERLINK("http://trademark.i-assist.jp/data/china/image_1906th/79711468.pdf", "79711468")</f>
        <v>79711468</v>
      </c>
      <c r="F772" s="11" t="s">
        <v>2335</v>
      </c>
      <c r="G772" s="11" t="s">
        <v>2336</v>
      </c>
      <c r="H772" s="11" t="s">
        <v>2337</v>
      </c>
      <c r="I772" s="11" t="s">
        <v>145</v>
      </c>
    </row>
    <row r="773" spans="1:9" x14ac:dyDescent="0.15">
      <c r="A773" s="10">
        <v>772</v>
      </c>
      <c r="B773" s="11" t="s">
        <v>9</v>
      </c>
      <c r="C773" s="11" t="s">
        <v>152</v>
      </c>
      <c r="D773" s="11" t="s">
        <v>153</v>
      </c>
      <c r="E773" s="9" t="str">
        <f>+HYPERLINK("http://trademark.i-assist.jp/data/china/image_1906th/79711980.pdf", "79711980")</f>
        <v>79711980</v>
      </c>
      <c r="F773" s="11" t="s">
        <v>2338</v>
      </c>
      <c r="G773" s="11" t="s">
        <v>2339</v>
      </c>
      <c r="H773" s="11" t="s">
        <v>2340</v>
      </c>
      <c r="I773" s="11" t="s">
        <v>145</v>
      </c>
    </row>
    <row r="774" spans="1:9" x14ac:dyDescent="0.15">
      <c r="A774" s="10">
        <v>773</v>
      </c>
      <c r="B774" s="11" t="s">
        <v>9</v>
      </c>
      <c r="C774" s="11" t="s">
        <v>152</v>
      </c>
      <c r="D774" s="11" t="s">
        <v>153</v>
      </c>
      <c r="E774" s="9" t="str">
        <f>+HYPERLINK("http://trademark.i-assist.jp/data/china/image_1906th/79712203.pdf", "79712203")</f>
        <v>79712203</v>
      </c>
      <c r="F774" s="11" t="s">
        <v>2341</v>
      </c>
      <c r="G774" s="11" t="s">
        <v>2342</v>
      </c>
      <c r="H774" s="11" t="s">
        <v>2343</v>
      </c>
      <c r="I774" s="11" t="s">
        <v>145</v>
      </c>
    </row>
    <row r="775" spans="1:9" x14ac:dyDescent="0.15">
      <c r="A775" s="10">
        <v>774</v>
      </c>
      <c r="B775" s="11" t="s">
        <v>9</v>
      </c>
      <c r="C775" s="11" t="s">
        <v>152</v>
      </c>
      <c r="D775" s="11" t="s">
        <v>153</v>
      </c>
      <c r="E775" s="9" t="str">
        <f>+HYPERLINK("http://trademark.i-assist.jp/data/china/image_1906th/79712737.pdf", "79712737")</f>
        <v>79712737</v>
      </c>
      <c r="F775" s="11" t="s">
        <v>2344</v>
      </c>
      <c r="G775" s="11" t="s">
        <v>2345</v>
      </c>
      <c r="H775" s="11" t="s">
        <v>2346</v>
      </c>
      <c r="I775" s="11" t="s">
        <v>145</v>
      </c>
    </row>
    <row r="776" spans="1:9" x14ac:dyDescent="0.15">
      <c r="A776" s="10">
        <v>775</v>
      </c>
      <c r="B776" s="11" t="s">
        <v>9</v>
      </c>
      <c r="C776" s="11" t="s">
        <v>152</v>
      </c>
      <c r="D776" s="11" t="s">
        <v>153</v>
      </c>
      <c r="E776" s="9" t="str">
        <f>+HYPERLINK("http://trademark.i-assist.jp/data/china/image_1906th/79713414.pdf", "79713414")</f>
        <v>79713414</v>
      </c>
      <c r="F776" s="11" t="s">
        <v>2347</v>
      </c>
      <c r="G776" s="11" t="s">
        <v>2348</v>
      </c>
      <c r="H776" s="11" t="s">
        <v>2349</v>
      </c>
      <c r="I776" s="11" t="s">
        <v>145</v>
      </c>
    </row>
    <row r="777" spans="1:9" x14ac:dyDescent="0.15">
      <c r="A777" s="10">
        <v>776</v>
      </c>
      <c r="B777" s="11" t="s">
        <v>9</v>
      </c>
      <c r="C777" s="11" t="s">
        <v>152</v>
      </c>
      <c r="D777" s="11" t="s">
        <v>153</v>
      </c>
      <c r="E777" s="9" t="str">
        <f>+HYPERLINK("http://trademark.i-assist.jp/data/china/image_1906th/79713962.pdf", "79713962")</f>
        <v>79713962</v>
      </c>
      <c r="F777" s="11" t="s">
        <v>2350</v>
      </c>
      <c r="G777" s="11" t="s">
        <v>2351</v>
      </c>
      <c r="H777" s="11" t="s">
        <v>2352</v>
      </c>
      <c r="I777" s="11" t="s">
        <v>145</v>
      </c>
    </row>
    <row r="778" spans="1:9" x14ac:dyDescent="0.15">
      <c r="A778" s="10">
        <v>777</v>
      </c>
      <c r="B778" s="11" t="s">
        <v>9</v>
      </c>
      <c r="C778" s="11" t="s">
        <v>152</v>
      </c>
      <c r="D778" s="11" t="s">
        <v>153</v>
      </c>
      <c r="E778" s="9" t="str">
        <f>+HYPERLINK("http://trademark.i-assist.jp/data/china/image_1906th/79714039.pdf", "79714039")</f>
        <v>79714039</v>
      </c>
      <c r="F778" s="11" t="s">
        <v>2353</v>
      </c>
      <c r="G778" s="11" t="s">
        <v>2354</v>
      </c>
      <c r="H778" s="11" t="s">
        <v>2355</v>
      </c>
      <c r="I778" s="11" t="s">
        <v>145</v>
      </c>
    </row>
    <row r="779" spans="1:9" x14ac:dyDescent="0.15">
      <c r="A779" s="10">
        <v>778</v>
      </c>
      <c r="B779" s="11" t="s">
        <v>9</v>
      </c>
      <c r="C779" s="11" t="s">
        <v>152</v>
      </c>
      <c r="D779" s="11" t="s">
        <v>153</v>
      </c>
      <c r="E779" s="9" t="str">
        <f>+HYPERLINK("http://trademark.i-assist.jp/data/china/image_1906th/79714177.pdf", "79714177")</f>
        <v>79714177</v>
      </c>
      <c r="F779" s="11" t="s">
        <v>2356</v>
      </c>
      <c r="G779" s="11" t="s">
        <v>2357</v>
      </c>
      <c r="H779" s="11" t="s">
        <v>2358</v>
      </c>
      <c r="I779" s="11" t="s">
        <v>145</v>
      </c>
    </row>
    <row r="780" spans="1:9" x14ac:dyDescent="0.15">
      <c r="A780" s="10">
        <v>779</v>
      </c>
      <c r="B780" s="11" t="s">
        <v>9</v>
      </c>
      <c r="C780" s="11" t="s">
        <v>152</v>
      </c>
      <c r="D780" s="11" t="s">
        <v>153</v>
      </c>
      <c r="E780" s="9" t="str">
        <f>+HYPERLINK("http://trademark.i-assist.jp/data/china/image_1906th/79714269.pdf", "79714269")</f>
        <v>79714269</v>
      </c>
      <c r="F780" s="11" t="s">
        <v>2359</v>
      </c>
      <c r="G780" s="11" t="s">
        <v>2360</v>
      </c>
      <c r="H780" s="11" t="s">
        <v>2361</v>
      </c>
      <c r="I780" s="11" t="s">
        <v>145</v>
      </c>
    </row>
    <row r="781" spans="1:9" x14ac:dyDescent="0.15">
      <c r="A781" s="10">
        <v>780</v>
      </c>
      <c r="B781" s="11" t="s">
        <v>9</v>
      </c>
      <c r="C781" s="11" t="s">
        <v>152</v>
      </c>
      <c r="D781" s="11" t="s">
        <v>153</v>
      </c>
      <c r="E781" s="9" t="str">
        <f>+HYPERLINK("http://trademark.i-assist.jp/data/china/image_1906th/79714799.pdf", "79714799")</f>
        <v>79714799</v>
      </c>
      <c r="F781" s="11" t="s">
        <v>2362</v>
      </c>
      <c r="G781" s="11" t="s">
        <v>2363</v>
      </c>
      <c r="H781" s="11" t="s">
        <v>2364</v>
      </c>
      <c r="I781" s="11" t="s">
        <v>145</v>
      </c>
    </row>
    <row r="782" spans="1:9" x14ac:dyDescent="0.15">
      <c r="A782" s="10">
        <v>781</v>
      </c>
      <c r="B782" s="11" t="s">
        <v>9</v>
      </c>
      <c r="C782" s="11" t="s">
        <v>152</v>
      </c>
      <c r="D782" s="11" t="s">
        <v>153</v>
      </c>
      <c r="E782" s="9" t="str">
        <f>+HYPERLINK("http://trademark.i-assist.jp/data/china/image_1906th/79715066.pdf", "79715066")</f>
        <v>79715066</v>
      </c>
      <c r="F782" s="11" t="s">
        <v>2365</v>
      </c>
      <c r="G782" s="11" t="s">
        <v>2366</v>
      </c>
      <c r="H782" s="11" t="s">
        <v>2367</v>
      </c>
      <c r="I782" s="11" t="s">
        <v>145</v>
      </c>
    </row>
    <row r="783" spans="1:9" x14ac:dyDescent="0.15">
      <c r="A783" s="10">
        <v>782</v>
      </c>
      <c r="B783" s="11" t="s">
        <v>9</v>
      </c>
      <c r="C783" s="11" t="s">
        <v>152</v>
      </c>
      <c r="D783" s="11" t="s">
        <v>153</v>
      </c>
      <c r="E783" s="9" t="str">
        <f>+HYPERLINK("http://trademark.i-assist.jp/data/china/image_1906th/79716230.pdf", "79716230")</f>
        <v>79716230</v>
      </c>
      <c r="F783" s="11" t="s">
        <v>2368</v>
      </c>
      <c r="G783" s="11" t="s">
        <v>2369</v>
      </c>
      <c r="H783" s="11" t="s">
        <v>2370</v>
      </c>
      <c r="I783" s="11" t="s">
        <v>145</v>
      </c>
    </row>
    <row r="784" spans="1:9" x14ac:dyDescent="0.15">
      <c r="A784" s="10">
        <v>783</v>
      </c>
      <c r="B784" s="11" t="s">
        <v>9</v>
      </c>
      <c r="C784" s="11" t="s">
        <v>152</v>
      </c>
      <c r="D784" s="11" t="s">
        <v>153</v>
      </c>
      <c r="E784" s="9" t="str">
        <f>+HYPERLINK("http://trademark.i-assist.jp/data/china/image_1906th/79716354.pdf", "79716354")</f>
        <v>79716354</v>
      </c>
      <c r="F784" s="11" t="s">
        <v>2371</v>
      </c>
      <c r="G784" s="11" t="s">
        <v>2342</v>
      </c>
      <c r="H784" s="11" t="s">
        <v>2372</v>
      </c>
      <c r="I784" s="11" t="s">
        <v>145</v>
      </c>
    </row>
    <row r="785" spans="1:9" x14ac:dyDescent="0.15">
      <c r="A785" s="10">
        <v>784</v>
      </c>
      <c r="B785" s="11" t="s">
        <v>9</v>
      </c>
      <c r="C785" s="11" t="s">
        <v>152</v>
      </c>
      <c r="D785" s="11" t="s">
        <v>153</v>
      </c>
      <c r="E785" s="9" t="str">
        <f>+HYPERLINK("http://trademark.i-assist.jp/data/china/image_1906th/79716398.pdf", "79716398")</f>
        <v>79716398</v>
      </c>
      <c r="F785" s="11" t="s">
        <v>2373</v>
      </c>
      <c r="G785" s="11" t="s">
        <v>2374</v>
      </c>
      <c r="H785" s="11" t="s">
        <v>2375</v>
      </c>
      <c r="I785" s="11" t="s">
        <v>145</v>
      </c>
    </row>
    <row r="786" spans="1:9" x14ac:dyDescent="0.15">
      <c r="A786" s="10">
        <v>785</v>
      </c>
      <c r="B786" s="11" t="s">
        <v>9</v>
      </c>
      <c r="C786" s="11" t="s">
        <v>152</v>
      </c>
      <c r="D786" s="11" t="s">
        <v>153</v>
      </c>
      <c r="E786" s="9" t="str">
        <f>+HYPERLINK("http://trademark.i-assist.jp/data/china/image_1906th/79716545.pdf", "79716545")</f>
        <v>79716545</v>
      </c>
      <c r="F786" s="11" t="s">
        <v>2376</v>
      </c>
      <c r="G786" s="11" t="s">
        <v>2377</v>
      </c>
      <c r="H786" s="11" t="s">
        <v>2378</v>
      </c>
      <c r="I786" s="11" t="s">
        <v>145</v>
      </c>
    </row>
    <row r="787" spans="1:9" x14ac:dyDescent="0.15">
      <c r="A787" s="10">
        <v>786</v>
      </c>
      <c r="B787" s="11" t="s">
        <v>9</v>
      </c>
      <c r="C787" s="11" t="s">
        <v>152</v>
      </c>
      <c r="D787" s="11" t="s">
        <v>153</v>
      </c>
      <c r="E787" s="9" t="str">
        <f>+HYPERLINK("http://trademark.i-assist.jp/data/china/image_1906th/79717540.pdf", "79717540")</f>
        <v>79717540</v>
      </c>
      <c r="F787" s="11" t="s">
        <v>2379</v>
      </c>
      <c r="G787" s="11" t="s">
        <v>2380</v>
      </c>
      <c r="H787" s="11" t="s">
        <v>2381</v>
      </c>
      <c r="I787" s="11" t="s">
        <v>145</v>
      </c>
    </row>
    <row r="788" spans="1:9" x14ac:dyDescent="0.15">
      <c r="A788" s="10">
        <v>787</v>
      </c>
      <c r="B788" s="11" t="s">
        <v>9</v>
      </c>
      <c r="C788" s="11" t="s">
        <v>152</v>
      </c>
      <c r="D788" s="11" t="s">
        <v>153</v>
      </c>
      <c r="E788" s="9" t="str">
        <f>+HYPERLINK("http://trademark.i-assist.jp/data/china/image_1906th/79718192.pdf", "79718192")</f>
        <v>79718192</v>
      </c>
      <c r="F788" s="11" t="s">
        <v>2382</v>
      </c>
      <c r="G788" s="11" t="s">
        <v>2383</v>
      </c>
      <c r="H788" s="11" t="s">
        <v>2384</v>
      </c>
      <c r="I788" s="11" t="s">
        <v>145</v>
      </c>
    </row>
    <row r="789" spans="1:9" x14ac:dyDescent="0.15">
      <c r="A789" s="10">
        <v>788</v>
      </c>
      <c r="B789" s="11" t="s">
        <v>9</v>
      </c>
      <c r="C789" s="11" t="s">
        <v>152</v>
      </c>
      <c r="D789" s="11" t="s">
        <v>153</v>
      </c>
      <c r="E789" s="9" t="str">
        <f>+HYPERLINK("http://trademark.i-assist.jp/data/china/image_1906th/79718491.pdf", "79718491")</f>
        <v>79718491</v>
      </c>
      <c r="F789" s="11" t="s">
        <v>2385</v>
      </c>
      <c r="G789" s="11" t="s">
        <v>2386</v>
      </c>
      <c r="H789" s="11" t="s">
        <v>2387</v>
      </c>
      <c r="I789" s="11" t="s">
        <v>145</v>
      </c>
    </row>
    <row r="790" spans="1:9" x14ac:dyDescent="0.15">
      <c r="A790" s="10">
        <v>789</v>
      </c>
      <c r="B790" s="11" t="s">
        <v>9</v>
      </c>
      <c r="C790" s="11" t="s">
        <v>152</v>
      </c>
      <c r="D790" s="11" t="s">
        <v>153</v>
      </c>
      <c r="E790" s="9" t="str">
        <f>+HYPERLINK("http://trademark.i-assist.jp/data/china/image_1906th/79718710.pdf", "79718710")</f>
        <v>79718710</v>
      </c>
      <c r="F790" s="11" t="s">
        <v>2388</v>
      </c>
      <c r="G790" s="11" t="s">
        <v>2389</v>
      </c>
      <c r="H790" s="11" t="s">
        <v>2390</v>
      </c>
      <c r="I790" s="11" t="s">
        <v>145</v>
      </c>
    </row>
    <row r="791" spans="1:9" x14ac:dyDescent="0.15">
      <c r="A791" s="10">
        <v>790</v>
      </c>
      <c r="B791" s="11" t="s">
        <v>9</v>
      </c>
      <c r="C791" s="11" t="s">
        <v>152</v>
      </c>
      <c r="D791" s="11" t="s">
        <v>153</v>
      </c>
      <c r="E791" s="9" t="str">
        <f>+HYPERLINK("http://trademark.i-assist.jp/data/china/image_1906th/79718773.pdf", "79718773")</f>
        <v>79718773</v>
      </c>
      <c r="F791" s="11" t="s">
        <v>2391</v>
      </c>
      <c r="G791" s="11" t="s">
        <v>2392</v>
      </c>
      <c r="H791" s="11" t="s">
        <v>2393</v>
      </c>
      <c r="I791" s="11" t="s">
        <v>145</v>
      </c>
    </row>
    <row r="792" spans="1:9" x14ac:dyDescent="0.15">
      <c r="A792" s="10">
        <v>791</v>
      </c>
      <c r="B792" s="11" t="s">
        <v>9</v>
      </c>
      <c r="C792" s="11" t="s">
        <v>152</v>
      </c>
      <c r="D792" s="11" t="s">
        <v>153</v>
      </c>
      <c r="E792" s="9" t="str">
        <f>+HYPERLINK("http://trademark.i-assist.jp/data/china/image_1906th/79718933.pdf", "79718933")</f>
        <v>79718933</v>
      </c>
      <c r="F792" s="11" t="s">
        <v>2394</v>
      </c>
      <c r="G792" s="11" t="s">
        <v>2395</v>
      </c>
      <c r="H792" s="11" t="s">
        <v>2396</v>
      </c>
      <c r="I792" s="11" t="s">
        <v>145</v>
      </c>
    </row>
    <row r="793" spans="1:9" x14ac:dyDescent="0.15">
      <c r="A793" s="10">
        <v>792</v>
      </c>
      <c r="B793" s="11" t="s">
        <v>9</v>
      </c>
      <c r="C793" s="11" t="s">
        <v>152</v>
      </c>
      <c r="D793" s="11" t="s">
        <v>153</v>
      </c>
      <c r="E793" s="9" t="str">
        <f>+HYPERLINK("http://trademark.i-assist.jp/data/china/image_1906th/79720659.pdf", "79720659")</f>
        <v>79720659</v>
      </c>
      <c r="F793" s="11" t="s">
        <v>2397</v>
      </c>
      <c r="G793" s="11" t="s">
        <v>2398</v>
      </c>
      <c r="H793" s="11" t="s">
        <v>2399</v>
      </c>
      <c r="I793" s="11" t="s">
        <v>145</v>
      </c>
    </row>
    <row r="794" spans="1:9" x14ac:dyDescent="0.15">
      <c r="A794" s="10">
        <v>793</v>
      </c>
      <c r="B794" s="11" t="s">
        <v>9</v>
      </c>
      <c r="C794" s="11" t="s">
        <v>152</v>
      </c>
      <c r="D794" s="11" t="s">
        <v>153</v>
      </c>
      <c r="E794" s="9" t="str">
        <f>+HYPERLINK("http://trademark.i-assist.jp/data/china/image_1906th/79721612.pdf", "79721612")</f>
        <v>79721612</v>
      </c>
      <c r="F794" s="11" t="s">
        <v>2400</v>
      </c>
      <c r="G794" s="11" t="s">
        <v>2401</v>
      </c>
      <c r="H794" s="11" t="s">
        <v>2402</v>
      </c>
      <c r="I794" s="11" t="s">
        <v>145</v>
      </c>
    </row>
    <row r="795" spans="1:9" x14ac:dyDescent="0.15">
      <c r="A795" s="10">
        <v>794</v>
      </c>
      <c r="B795" s="11" t="s">
        <v>9</v>
      </c>
      <c r="C795" s="11" t="s">
        <v>152</v>
      </c>
      <c r="D795" s="11" t="s">
        <v>153</v>
      </c>
      <c r="E795" s="9" t="str">
        <f>+HYPERLINK("http://trademark.i-assist.jp/data/china/image_1906th/79721826.pdf", "79721826")</f>
        <v>79721826</v>
      </c>
      <c r="F795" s="11" t="s">
        <v>2403</v>
      </c>
      <c r="G795" s="11" t="s">
        <v>2404</v>
      </c>
      <c r="H795" s="11" t="s">
        <v>2405</v>
      </c>
      <c r="I795" s="11" t="s">
        <v>145</v>
      </c>
    </row>
    <row r="796" spans="1:9" x14ac:dyDescent="0.15">
      <c r="A796" s="10">
        <v>795</v>
      </c>
      <c r="B796" s="11" t="s">
        <v>9</v>
      </c>
      <c r="C796" s="11" t="s">
        <v>152</v>
      </c>
      <c r="D796" s="11" t="s">
        <v>153</v>
      </c>
      <c r="E796" s="9" t="str">
        <f>+HYPERLINK("http://trademark.i-assist.jp/data/china/image_1906th/79722627.pdf", "79722627")</f>
        <v>79722627</v>
      </c>
      <c r="F796" s="11" t="s">
        <v>2406</v>
      </c>
      <c r="G796" s="11" t="s">
        <v>2407</v>
      </c>
      <c r="H796" s="11" t="s">
        <v>2408</v>
      </c>
      <c r="I796" s="11" t="s">
        <v>145</v>
      </c>
    </row>
    <row r="797" spans="1:9" x14ac:dyDescent="0.15">
      <c r="A797" s="10">
        <v>796</v>
      </c>
      <c r="B797" s="11" t="s">
        <v>9</v>
      </c>
      <c r="C797" s="11" t="s">
        <v>152</v>
      </c>
      <c r="D797" s="11" t="s">
        <v>153</v>
      </c>
      <c r="E797" s="9" t="str">
        <f>+HYPERLINK("http://trademark.i-assist.jp/data/china/image_1906th/79722797.pdf", "79722797")</f>
        <v>79722797</v>
      </c>
      <c r="F797" s="11" t="s">
        <v>2409</v>
      </c>
      <c r="G797" s="11" t="s">
        <v>2410</v>
      </c>
      <c r="H797" s="11" t="s">
        <v>2411</v>
      </c>
      <c r="I797" s="11" t="s">
        <v>145</v>
      </c>
    </row>
    <row r="798" spans="1:9" x14ac:dyDescent="0.15">
      <c r="A798" s="10">
        <v>797</v>
      </c>
      <c r="B798" s="11" t="s">
        <v>9</v>
      </c>
      <c r="C798" s="11" t="s">
        <v>152</v>
      </c>
      <c r="D798" s="11" t="s">
        <v>153</v>
      </c>
      <c r="E798" s="9" t="str">
        <f>+HYPERLINK("http://trademark.i-assist.jp/data/china/image_1906th/79722932.pdf", "79722932")</f>
        <v>79722932</v>
      </c>
      <c r="F798" s="11" t="s">
        <v>2412</v>
      </c>
      <c r="G798" s="11" t="s">
        <v>146</v>
      </c>
      <c r="H798" s="11" t="s">
        <v>2413</v>
      </c>
      <c r="I798" s="11" t="s">
        <v>145</v>
      </c>
    </row>
    <row r="799" spans="1:9" x14ac:dyDescent="0.15">
      <c r="A799" s="10">
        <v>798</v>
      </c>
      <c r="B799" s="11" t="s">
        <v>9</v>
      </c>
      <c r="C799" s="11" t="s">
        <v>152</v>
      </c>
      <c r="D799" s="11" t="s">
        <v>153</v>
      </c>
      <c r="E799" s="9" t="str">
        <f>+HYPERLINK("http://trademark.i-assist.jp/data/china/image_1906th/79723130.pdf", "79723130")</f>
        <v>79723130</v>
      </c>
      <c r="F799" s="11" t="s">
        <v>2414</v>
      </c>
      <c r="G799" s="11" t="s">
        <v>148</v>
      </c>
      <c r="H799" s="11" t="s">
        <v>2415</v>
      </c>
      <c r="I799" s="11" t="s">
        <v>145</v>
      </c>
    </row>
    <row r="800" spans="1:9" x14ac:dyDescent="0.15">
      <c r="A800" s="10">
        <v>799</v>
      </c>
      <c r="B800" s="11" t="s">
        <v>9</v>
      </c>
      <c r="C800" s="11" t="s">
        <v>152</v>
      </c>
      <c r="D800" s="11" t="s">
        <v>153</v>
      </c>
      <c r="E800" s="9" t="str">
        <f>+HYPERLINK("http://trademark.i-assist.jp/data/china/image_1906th/79723555.pdf", "79723555")</f>
        <v>79723555</v>
      </c>
      <c r="F800" s="11" t="s">
        <v>2416</v>
      </c>
      <c r="G800" s="11" t="s">
        <v>2417</v>
      </c>
      <c r="H800" s="11" t="s">
        <v>2418</v>
      </c>
      <c r="I800" s="11" t="s">
        <v>145</v>
      </c>
    </row>
    <row r="801" spans="1:9" x14ac:dyDescent="0.15">
      <c r="A801" s="10">
        <v>800</v>
      </c>
      <c r="B801" s="11" t="s">
        <v>9</v>
      </c>
      <c r="C801" s="11" t="s">
        <v>152</v>
      </c>
      <c r="D801" s="11" t="s">
        <v>153</v>
      </c>
      <c r="E801" s="9" t="str">
        <f>+HYPERLINK("http://trademark.i-assist.jp/data/china/image_1906th/79723832.pdf", "79723832")</f>
        <v>79723832</v>
      </c>
      <c r="F801" s="11" t="s">
        <v>2419</v>
      </c>
      <c r="G801" s="11" t="s">
        <v>2420</v>
      </c>
      <c r="H801" s="11" t="s">
        <v>2421</v>
      </c>
      <c r="I801" s="11" t="s">
        <v>145</v>
      </c>
    </row>
    <row r="802" spans="1:9" x14ac:dyDescent="0.15">
      <c r="A802" s="10">
        <v>801</v>
      </c>
      <c r="B802" s="11" t="s">
        <v>9</v>
      </c>
      <c r="C802" s="11" t="s">
        <v>152</v>
      </c>
      <c r="D802" s="11" t="s">
        <v>153</v>
      </c>
      <c r="E802" s="9" t="str">
        <f>+HYPERLINK("http://trademark.i-assist.jp/data/china/image_1906th/79724195.pdf", "79724195")</f>
        <v>79724195</v>
      </c>
      <c r="F802" s="11" t="s">
        <v>2422</v>
      </c>
      <c r="G802" s="11" t="s">
        <v>2423</v>
      </c>
      <c r="H802" s="11" t="s">
        <v>2424</v>
      </c>
      <c r="I802" s="11" t="s">
        <v>145</v>
      </c>
    </row>
    <row r="803" spans="1:9" x14ac:dyDescent="0.15">
      <c r="A803" s="10">
        <v>802</v>
      </c>
      <c r="B803" s="11" t="s">
        <v>9</v>
      </c>
      <c r="C803" s="11" t="s">
        <v>152</v>
      </c>
      <c r="D803" s="11" t="s">
        <v>153</v>
      </c>
      <c r="E803" s="9" t="str">
        <f>+HYPERLINK("http://trademark.i-assist.jp/data/china/image_1906th/79724498.pdf", "79724498")</f>
        <v>79724498</v>
      </c>
      <c r="F803" s="11" t="s">
        <v>2425</v>
      </c>
      <c r="G803" s="11" t="s">
        <v>94</v>
      </c>
      <c r="H803" s="11" t="s">
        <v>2426</v>
      </c>
      <c r="I803" s="11" t="s">
        <v>145</v>
      </c>
    </row>
    <row r="804" spans="1:9" x14ac:dyDescent="0.15">
      <c r="A804" s="10">
        <v>803</v>
      </c>
      <c r="B804" s="11" t="s">
        <v>9</v>
      </c>
      <c r="C804" s="11" t="s">
        <v>152</v>
      </c>
      <c r="D804" s="11" t="s">
        <v>153</v>
      </c>
      <c r="E804" s="9" t="str">
        <f>+HYPERLINK("http://trademark.i-assist.jp/data/china/image_1906th/79724562.pdf", "79724562")</f>
        <v>79724562</v>
      </c>
      <c r="F804" s="11" t="s">
        <v>2427</v>
      </c>
      <c r="G804" s="11" t="s">
        <v>2354</v>
      </c>
      <c r="H804" s="11" t="s">
        <v>2428</v>
      </c>
      <c r="I804" s="11" t="s">
        <v>145</v>
      </c>
    </row>
    <row r="805" spans="1:9" x14ac:dyDescent="0.15">
      <c r="A805" s="10">
        <v>804</v>
      </c>
      <c r="B805" s="11" t="s">
        <v>9</v>
      </c>
      <c r="C805" s="11" t="s">
        <v>152</v>
      </c>
      <c r="D805" s="11" t="s">
        <v>153</v>
      </c>
      <c r="E805" s="9" t="str">
        <f>+HYPERLINK("http://trademark.i-assist.jp/data/china/image_1906th/79724908.pdf", "79724908")</f>
        <v>79724908</v>
      </c>
      <c r="F805" s="11" t="s">
        <v>2429</v>
      </c>
      <c r="G805" s="11" t="s">
        <v>2430</v>
      </c>
      <c r="H805" s="11" t="s">
        <v>2431</v>
      </c>
      <c r="I805" s="11" t="s">
        <v>145</v>
      </c>
    </row>
    <row r="806" spans="1:9" x14ac:dyDescent="0.15">
      <c r="A806" s="10">
        <v>805</v>
      </c>
      <c r="B806" s="11" t="s">
        <v>9</v>
      </c>
      <c r="C806" s="11" t="s">
        <v>152</v>
      </c>
      <c r="D806" s="11" t="s">
        <v>153</v>
      </c>
      <c r="E806" s="9" t="str">
        <f>+HYPERLINK("http://trademark.i-assist.jp/data/china/image_1906th/79725573.pdf", "79725573")</f>
        <v>79725573</v>
      </c>
      <c r="F806" s="11" t="s">
        <v>2432</v>
      </c>
      <c r="G806" s="11" t="s">
        <v>2433</v>
      </c>
      <c r="H806" s="11" t="s">
        <v>2434</v>
      </c>
      <c r="I806" s="11" t="s">
        <v>145</v>
      </c>
    </row>
    <row r="807" spans="1:9" x14ac:dyDescent="0.15">
      <c r="A807" s="10">
        <v>806</v>
      </c>
      <c r="B807" s="11" t="s">
        <v>9</v>
      </c>
      <c r="C807" s="11" t="s">
        <v>152</v>
      </c>
      <c r="D807" s="11" t="s">
        <v>153</v>
      </c>
      <c r="E807" s="9" t="str">
        <f>+HYPERLINK("http://trademark.i-assist.jp/data/china/image_1906th/79726000.pdf", "79726000")</f>
        <v>79726000</v>
      </c>
      <c r="F807" s="11" t="s">
        <v>2435</v>
      </c>
      <c r="G807" s="11" t="s">
        <v>2436</v>
      </c>
      <c r="H807" s="11" t="s">
        <v>2437</v>
      </c>
      <c r="I807" s="11" t="s">
        <v>145</v>
      </c>
    </row>
    <row r="808" spans="1:9" x14ac:dyDescent="0.15">
      <c r="A808" s="10">
        <v>807</v>
      </c>
      <c r="B808" s="11" t="s">
        <v>9</v>
      </c>
      <c r="C808" s="11" t="s">
        <v>152</v>
      </c>
      <c r="D808" s="11" t="s">
        <v>153</v>
      </c>
      <c r="E808" s="9" t="str">
        <f>+HYPERLINK("http://trademark.i-assist.jp/data/china/image_1906th/79726139.pdf", "79726139")</f>
        <v>79726139</v>
      </c>
      <c r="F808" s="11" t="s">
        <v>2438</v>
      </c>
      <c r="G808" s="11" t="s">
        <v>2439</v>
      </c>
      <c r="H808" s="11" t="s">
        <v>2440</v>
      </c>
      <c r="I808" s="11" t="s">
        <v>145</v>
      </c>
    </row>
    <row r="809" spans="1:9" x14ac:dyDescent="0.15">
      <c r="A809" s="10">
        <v>808</v>
      </c>
      <c r="B809" s="11" t="s">
        <v>9</v>
      </c>
      <c r="C809" s="11" t="s">
        <v>152</v>
      </c>
      <c r="D809" s="11" t="s">
        <v>153</v>
      </c>
      <c r="E809" s="9" t="str">
        <f>+HYPERLINK("http://trademark.i-assist.jp/data/china/image_1906th/79726232.pdf", "79726232")</f>
        <v>79726232</v>
      </c>
      <c r="F809" s="11" t="s">
        <v>2441</v>
      </c>
      <c r="G809" s="11" t="s">
        <v>2442</v>
      </c>
      <c r="H809" s="11" t="s">
        <v>2443</v>
      </c>
      <c r="I809" s="11" t="s">
        <v>145</v>
      </c>
    </row>
    <row r="810" spans="1:9" x14ac:dyDescent="0.15">
      <c r="A810" s="10">
        <v>809</v>
      </c>
      <c r="B810" s="11" t="s">
        <v>9</v>
      </c>
      <c r="C810" s="11" t="s">
        <v>152</v>
      </c>
      <c r="D810" s="11" t="s">
        <v>153</v>
      </c>
      <c r="E810" s="9" t="str">
        <f>+HYPERLINK("http://trademark.i-assist.jp/data/china/image_1906th/79726405.pdf", "79726405")</f>
        <v>79726405</v>
      </c>
      <c r="F810" s="11" t="s">
        <v>12</v>
      </c>
      <c r="G810" s="11" t="s">
        <v>2336</v>
      </c>
      <c r="H810" s="11" t="s">
        <v>2444</v>
      </c>
      <c r="I810" s="11" t="s">
        <v>145</v>
      </c>
    </row>
    <row r="811" spans="1:9" x14ac:dyDescent="0.15">
      <c r="A811" s="10">
        <v>810</v>
      </c>
      <c r="B811" s="11" t="s">
        <v>9</v>
      </c>
      <c r="C811" s="11" t="s">
        <v>152</v>
      </c>
      <c r="D811" s="11" t="s">
        <v>153</v>
      </c>
      <c r="E811" s="9" t="str">
        <f>+HYPERLINK("http://trademark.i-assist.jp/data/china/image_1906th/79726811.pdf", "79726811")</f>
        <v>79726811</v>
      </c>
      <c r="F811" s="11" t="s">
        <v>2445</v>
      </c>
      <c r="G811" s="11" t="s">
        <v>2446</v>
      </c>
      <c r="H811" s="11" t="s">
        <v>2447</v>
      </c>
      <c r="I811" s="11" t="s">
        <v>145</v>
      </c>
    </row>
    <row r="812" spans="1:9" x14ac:dyDescent="0.15">
      <c r="A812" s="10">
        <v>811</v>
      </c>
      <c r="B812" s="11" t="s">
        <v>9</v>
      </c>
      <c r="C812" s="11" t="s">
        <v>152</v>
      </c>
      <c r="D812" s="11" t="s">
        <v>153</v>
      </c>
      <c r="E812" s="9" t="str">
        <f>+HYPERLINK("http://trademark.i-assist.jp/data/china/image_1906th/79726868.pdf", "79726868")</f>
        <v>79726868</v>
      </c>
      <c r="F812" s="11" t="s">
        <v>2448</v>
      </c>
      <c r="G812" s="11" t="s">
        <v>2449</v>
      </c>
      <c r="H812" s="11" t="s">
        <v>2450</v>
      </c>
      <c r="I812" s="11" t="s">
        <v>145</v>
      </c>
    </row>
    <row r="813" spans="1:9" x14ac:dyDescent="0.15">
      <c r="A813" s="10">
        <v>812</v>
      </c>
      <c r="B813" s="11" t="s">
        <v>9</v>
      </c>
      <c r="C813" s="11" t="s">
        <v>152</v>
      </c>
      <c r="D813" s="11" t="s">
        <v>153</v>
      </c>
      <c r="E813" s="9" t="str">
        <f>+HYPERLINK("http://trademark.i-assist.jp/data/china/image_1906th/79727034.pdf", "79727034")</f>
        <v>79727034</v>
      </c>
      <c r="F813" s="11" t="s">
        <v>2451</v>
      </c>
      <c r="G813" s="11" t="s">
        <v>2452</v>
      </c>
      <c r="H813" s="11" t="s">
        <v>2453</v>
      </c>
      <c r="I813" s="11" t="s">
        <v>145</v>
      </c>
    </row>
    <row r="814" spans="1:9" x14ac:dyDescent="0.15">
      <c r="A814" s="10">
        <v>813</v>
      </c>
      <c r="B814" s="11" t="s">
        <v>9</v>
      </c>
      <c r="C814" s="11" t="s">
        <v>152</v>
      </c>
      <c r="D814" s="11" t="s">
        <v>153</v>
      </c>
      <c r="E814" s="9" t="str">
        <f>+HYPERLINK("http://trademark.i-assist.jp/data/china/image_1906th/79727516.pdf", "79727516")</f>
        <v>79727516</v>
      </c>
      <c r="F814" s="11" t="s">
        <v>2454</v>
      </c>
      <c r="G814" s="11" t="s">
        <v>2455</v>
      </c>
      <c r="H814" s="11" t="s">
        <v>2456</v>
      </c>
      <c r="I814" s="11" t="s">
        <v>145</v>
      </c>
    </row>
    <row r="815" spans="1:9" x14ac:dyDescent="0.15">
      <c r="A815" s="10">
        <v>814</v>
      </c>
      <c r="B815" s="11" t="s">
        <v>9</v>
      </c>
      <c r="C815" s="11" t="s">
        <v>152</v>
      </c>
      <c r="D815" s="11" t="s">
        <v>153</v>
      </c>
      <c r="E815" s="9" t="str">
        <f>+HYPERLINK("http://trademark.i-assist.jp/data/china/image_1906th/79727795.pdf", "79727795")</f>
        <v>79727795</v>
      </c>
      <c r="F815" s="11" t="s">
        <v>2457</v>
      </c>
      <c r="G815" s="11" t="s">
        <v>2458</v>
      </c>
      <c r="H815" s="11" t="s">
        <v>2459</v>
      </c>
      <c r="I815" s="11" t="s">
        <v>145</v>
      </c>
    </row>
    <row r="816" spans="1:9" x14ac:dyDescent="0.15">
      <c r="A816" s="10">
        <v>815</v>
      </c>
      <c r="B816" s="11" t="s">
        <v>9</v>
      </c>
      <c r="C816" s="11" t="s">
        <v>152</v>
      </c>
      <c r="D816" s="11" t="s">
        <v>153</v>
      </c>
      <c r="E816" s="9" t="str">
        <f>+HYPERLINK("http://trademark.i-assist.jp/data/china/image_1906th/79729117.pdf", "79729117")</f>
        <v>79729117</v>
      </c>
      <c r="F816" s="11" t="s">
        <v>2460</v>
      </c>
      <c r="G816" s="11" t="s">
        <v>2461</v>
      </c>
      <c r="H816" s="11" t="s">
        <v>2462</v>
      </c>
      <c r="I816" s="11" t="s">
        <v>150</v>
      </c>
    </row>
    <row r="817" spans="1:9" x14ac:dyDescent="0.15">
      <c r="A817" s="10">
        <v>816</v>
      </c>
      <c r="B817" s="11" t="s">
        <v>9</v>
      </c>
      <c r="C817" s="11" t="s">
        <v>152</v>
      </c>
      <c r="D817" s="11" t="s">
        <v>153</v>
      </c>
      <c r="E817" s="9" t="str">
        <f>+HYPERLINK("http://trademark.i-assist.jp/data/china/image_1906th/79729378.pdf", "79729378")</f>
        <v>79729378</v>
      </c>
      <c r="F817" s="11" t="s">
        <v>2463</v>
      </c>
      <c r="G817" s="11" t="s">
        <v>2464</v>
      </c>
      <c r="H817" s="11" t="s">
        <v>2465</v>
      </c>
      <c r="I817" s="11" t="s">
        <v>150</v>
      </c>
    </row>
    <row r="818" spans="1:9" x14ac:dyDescent="0.15">
      <c r="A818" s="10">
        <v>817</v>
      </c>
      <c r="B818" s="11" t="s">
        <v>9</v>
      </c>
      <c r="C818" s="11" t="s">
        <v>152</v>
      </c>
      <c r="D818" s="11" t="s">
        <v>153</v>
      </c>
      <c r="E818" s="9" t="str">
        <f>+HYPERLINK("http://trademark.i-assist.jp/data/china/image_1906th/79730232.pdf", "79730232")</f>
        <v>79730232</v>
      </c>
      <c r="F818" s="11" t="s">
        <v>2466</v>
      </c>
      <c r="G818" s="11" t="s">
        <v>2467</v>
      </c>
      <c r="H818" s="11" t="s">
        <v>2468</v>
      </c>
      <c r="I818" s="11" t="s">
        <v>150</v>
      </c>
    </row>
    <row r="819" spans="1:9" x14ac:dyDescent="0.15">
      <c r="A819" s="10">
        <v>818</v>
      </c>
      <c r="B819" s="11" t="s">
        <v>9</v>
      </c>
      <c r="C819" s="11" t="s">
        <v>152</v>
      </c>
      <c r="D819" s="11" t="s">
        <v>153</v>
      </c>
      <c r="E819" s="9" t="str">
        <f>+HYPERLINK("http://trademark.i-assist.jp/data/china/image_1906th/79730478.pdf", "79730478")</f>
        <v>79730478</v>
      </c>
      <c r="F819" s="11" t="s">
        <v>2469</v>
      </c>
      <c r="G819" s="11" t="s">
        <v>2470</v>
      </c>
      <c r="H819" s="11" t="s">
        <v>2471</v>
      </c>
      <c r="I819" s="11" t="s">
        <v>150</v>
      </c>
    </row>
    <row r="820" spans="1:9" x14ac:dyDescent="0.15">
      <c r="A820" s="10">
        <v>819</v>
      </c>
      <c r="B820" s="11" t="s">
        <v>9</v>
      </c>
      <c r="C820" s="11" t="s">
        <v>152</v>
      </c>
      <c r="D820" s="11" t="s">
        <v>153</v>
      </c>
      <c r="E820" s="9" t="str">
        <f>+HYPERLINK("http://trademark.i-assist.jp/data/china/image_1906th/79733184.pdf", "79733184")</f>
        <v>79733184</v>
      </c>
      <c r="F820" s="11" t="s">
        <v>2472</v>
      </c>
      <c r="G820" s="11" t="s">
        <v>2473</v>
      </c>
      <c r="H820" s="11" t="s">
        <v>2474</v>
      </c>
      <c r="I820" s="11" t="s">
        <v>150</v>
      </c>
    </row>
    <row r="821" spans="1:9" x14ac:dyDescent="0.15">
      <c r="A821" s="10">
        <v>820</v>
      </c>
      <c r="B821" s="11" t="s">
        <v>9</v>
      </c>
      <c r="C821" s="11" t="s">
        <v>152</v>
      </c>
      <c r="D821" s="11" t="s">
        <v>153</v>
      </c>
      <c r="E821" s="9" t="str">
        <f>+HYPERLINK("http://trademark.i-assist.jp/data/china/image_1906th/79733406.pdf", "79733406")</f>
        <v>79733406</v>
      </c>
      <c r="F821" s="11" t="s">
        <v>2475</v>
      </c>
      <c r="G821" s="11" t="s">
        <v>2476</v>
      </c>
      <c r="H821" s="11" t="s">
        <v>2477</v>
      </c>
      <c r="I821" s="11" t="s">
        <v>150</v>
      </c>
    </row>
    <row r="822" spans="1:9" x14ac:dyDescent="0.15">
      <c r="A822" s="10">
        <v>821</v>
      </c>
      <c r="B822" s="11" t="s">
        <v>9</v>
      </c>
      <c r="C822" s="11" t="s">
        <v>152</v>
      </c>
      <c r="D822" s="11" t="s">
        <v>153</v>
      </c>
      <c r="E822" s="9" t="str">
        <f>+HYPERLINK("http://trademark.i-assist.jp/data/china/image_1906th/79733891.pdf", "79733891")</f>
        <v>79733891</v>
      </c>
      <c r="F822" s="11" t="s">
        <v>2478</v>
      </c>
      <c r="G822" s="11" t="s">
        <v>2479</v>
      </c>
      <c r="H822" s="11" t="s">
        <v>2480</v>
      </c>
      <c r="I822" s="11" t="s">
        <v>150</v>
      </c>
    </row>
    <row r="823" spans="1:9" x14ac:dyDescent="0.15">
      <c r="A823" s="10">
        <v>822</v>
      </c>
      <c r="B823" s="11" t="s">
        <v>9</v>
      </c>
      <c r="C823" s="11" t="s">
        <v>152</v>
      </c>
      <c r="D823" s="11" t="s">
        <v>153</v>
      </c>
      <c r="E823" s="9" t="str">
        <f>+HYPERLINK("http://trademark.i-assist.jp/data/china/image_1906th/79734321.pdf", "79734321")</f>
        <v>79734321</v>
      </c>
      <c r="F823" s="11" t="s">
        <v>2481</v>
      </c>
      <c r="G823" s="11" t="s">
        <v>2482</v>
      </c>
      <c r="H823" s="11" t="s">
        <v>2483</v>
      </c>
      <c r="I823" s="11" t="s">
        <v>150</v>
      </c>
    </row>
    <row r="824" spans="1:9" x14ac:dyDescent="0.15">
      <c r="A824" s="10">
        <v>823</v>
      </c>
      <c r="B824" s="11" t="s">
        <v>9</v>
      </c>
      <c r="C824" s="11" t="s">
        <v>152</v>
      </c>
      <c r="D824" s="11" t="s">
        <v>153</v>
      </c>
      <c r="E824" s="9" t="str">
        <f>+HYPERLINK("http://trademark.i-assist.jp/data/china/image_1906th/79734360.pdf", "79734360")</f>
        <v>79734360</v>
      </c>
      <c r="F824" s="11" t="s">
        <v>2484</v>
      </c>
      <c r="G824" s="11" t="s">
        <v>151</v>
      </c>
      <c r="H824" s="11" t="s">
        <v>2485</v>
      </c>
      <c r="I824" s="11" t="s">
        <v>150</v>
      </c>
    </row>
    <row r="825" spans="1:9" x14ac:dyDescent="0.15">
      <c r="A825" s="10">
        <v>824</v>
      </c>
      <c r="B825" s="11" t="s">
        <v>9</v>
      </c>
      <c r="C825" s="11" t="s">
        <v>152</v>
      </c>
      <c r="D825" s="11" t="s">
        <v>153</v>
      </c>
      <c r="E825" s="9" t="str">
        <f>+HYPERLINK("http://trademark.i-assist.jp/data/china/image_1906th/79734503.pdf", "79734503")</f>
        <v>79734503</v>
      </c>
      <c r="F825" s="11" t="s">
        <v>2486</v>
      </c>
      <c r="G825" s="11" t="s">
        <v>2470</v>
      </c>
      <c r="H825" s="11" t="s">
        <v>2487</v>
      </c>
      <c r="I825" s="11" t="s">
        <v>150</v>
      </c>
    </row>
    <row r="826" spans="1:9" x14ac:dyDescent="0.15">
      <c r="A826" s="10">
        <v>825</v>
      </c>
      <c r="B826" s="11" t="s">
        <v>9</v>
      </c>
      <c r="C826" s="11" t="s">
        <v>152</v>
      </c>
      <c r="D826" s="11" t="s">
        <v>153</v>
      </c>
      <c r="E826" s="9" t="str">
        <f>+HYPERLINK("http://trademark.i-assist.jp/data/china/image_1906th/79736333.pdf", "79736333")</f>
        <v>79736333</v>
      </c>
      <c r="F826" s="11" t="s">
        <v>2488</v>
      </c>
      <c r="G826" s="11" t="s">
        <v>2489</v>
      </c>
      <c r="H826" s="11" t="s">
        <v>2490</v>
      </c>
      <c r="I826" s="11" t="s">
        <v>150</v>
      </c>
    </row>
    <row r="827" spans="1:9" x14ac:dyDescent="0.15">
      <c r="A827" s="10">
        <v>826</v>
      </c>
      <c r="B827" s="11" t="s">
        <v>9</v>
      </c>
      <c r="C827" s="11" t="s">
        <v>152</v>
      </c>
      <c r="D827" s="11" t="s">
        <v>153</v>
      </c>
      <c r="E827" s="9" t="str">
        <f>+HYPERLINK("http://trademark.i-assist.jp/data/china/image_1906th/79736412.pdf", "79736412")</f>
        <v>79736412</v>
      </c>
      <c r="F827" s="11" t="s">
        <v>2491</v>
      </c>
      <c r="G827" s="11" t="s">
        <v>2492</v>
      </c>
      <c r="H827" s="11" t="s">
        <v>2493</v>
      </c>
      <c r="I827" s="11" t="s">
        <v>150</v>
      </c>
    </row>
    <row r="828" spans="1:9" x14ac:dyDescent="0.15">
      <c r="A828" s="10">
        <v>827</v>
      </c>
      <c r="B828" s="11" t="s">
        <v>9</v>
      </c>
      <c r="C828" s="11" t="s">
        <v>152</v>
      </c>
      <c r="D828" s="11" t="s">
        <v>153</v>
      </c>
      <c r="E828" s="9" t="str">
        <f>+HYPERLINK("http://trademark.i-assist.jp/data/china/image_1906th/79736621.pdf", "79736621")</f>
        <v>79736621</v>
      </c>
      <c r="F828" s="11" t="s">
        <v>2494</v>
      </c>
      <c r="G828" s="11" t="s">
        <v>2495</v>
      </c>
      <c r="H828" s="11" t="s">
        <v>2496</v>
      </c>
      <c r="I828" s="11" t="s">
        <v>150</v>
      </c>
    </row>
    <row r="829" spans="1:9" x14ac:dyDescent="0.15">
      <c r="A829" s="10">
        <v>828</v>
      </c>
      <c r="B829" s="11" t="s">
        <v>9</v>
      </c>
      <c r="C829" s="11" t="s">
        <v>152</v>
      </c>
      <c r="D829" s="11" t="s">
        <v>153</v>
      </c>
      <c r="E829" s="9" t="str">
        <f>+HYPERLINK("http://trademark.i-assist.jp/data/china/image_1906th/79736653.pdf", "79736653")</f>
        <v>79736653</v>
      </c>
      <c r="F829" s="11" t="s">
        <v>2497</v>
      </c>
      <c r="G829" s="11" t="s">
        <v>2498</v>
      </c>
      <c r="H829" s="11" t="s">
        <v>2499</v>
      </c>
      <c r="I829" s="11" t="s">
        <v>150</v>
      </c>
    </row>
    <row r="830" spans="1:9" x14ac:dyDescent="0.15">
      <c r="A830" s="10">
        <v>829</v>
      </c>
      <c r="B830" s="11" t="s">
        <v>9</v>
      </c>
      <c r="C830" s="11" t="s">
        <v>152</v>
      </c>
      <c r="D830" s="11" t="s">
        <v>153</v>
      </c>
      <c r="E830" s="9" t="str">
        <f>+HYPERLINK("http://trademark.i-assist.jp/data/china/image_1906th/79736678.pdf", "79736678")</f>
        <v>79736678</v>
      </c>
      <c r="F830" s="11" t="s">
        <v>2500</v>
      </c>
      <c r="G830" s="11" t="s">
        <v>2501</v>
      </c>
      <c r="H830" s="11" t="s">
        <v>2502</v>
      </c>
      <c r="I830" s="11" t="s">
        <v>150</v>
      </c>
    </row>
    <row r="831" spans="1:9" x14ac:dyDescent="0.15">
      <c r="A831" s="10">
        <v>830</v>
      </c>
      <c r="B831" s="11" t="s">
        <v>9</v>
      </c>
      <c r="C831" s="11" t="s">
        <v>152</v>
      </c>
      <c r="D831" s="11" t="s">
        <v>153</v>
      </c>
      <c r="E831" s="9" t="str">
        <f>+HYPERLINK("http://trademark.i-assist.jp/data/china/image_1906th/79736721.pdf", "79736721")</f>
        <v>79736721</v>
      </c>
      <c r="F831" s="11" t="s">
        <v>2503</v>
      </c>
      <c r="G831" s="11" t="s">
        <v>2504</v>
      </c>
      <c r="H831" s="11" t="s">
        <v>2505</v>
      </c>
      <c r="I831" s="11" t="s">
        <v>150</v>
      </c>
    </row>
    <row r="832" spans="1:9" x14ac:dyDescent="0.15">
      <c r="A832" s="10">
        <v>831</v>
      </c>
      <c r="B832" s="11" t="s">
        <v>9</v>
      </c>
      <c r="C832" s="11" t="s">
        <v>152</v>
      </c>
      <c r="D832" s="11" t="s">
        <v>153</v>
      </c>
      <c r="E832" s="9" t="str">
        <f>+HYPERLINK("http://trademark.i-assist.jp/data/china/image_1906th/79737122.pdf", "79737122")</f>
        <v>79737122</v>
      </c>
      <c r="F832" s="11" t="s">
        <v>2506</v>
      </c>
      <c r="G832" s="11" t="s">
        <v>2507</v>
      </c>
      <c r="H832" s="11" t="s">
        <v>2508</v>
      </c>
      <c r="I832" s="11" t="s">
        <v>150</v>
      </c>
    </row>
    <row r="833" spans="1:9" x14ac:dyDescent="0.15">
      <c r="A833" s="10">
        <v>832</v>
      </c>
      <c r="B833" s="11" t="s">
        <v>9</v>
      </c>
      <c r="C833" s="11" t="s">
        <v>152</v>
      </c>
      <c r="D833" s="11" t="s">
        <v>153</v>
      </c>
      <c r="E833" s="9" t="str">
        <f>+HYPERLINK("http://trademark.i-assist.jp/data/china/image_1906th/79737139.pdf", "79737139")</f>
        <v>79737139</v>
      </c>
      <c r="F833" s="11" t="s">
        <v>2509</v>
      </c>
      <c r="G833" s="11" t="s">
        <v>2510</v>
      </c>
      <c r="H833" s="11" t="s">
        <v>2511</v>
      </c>
      <c r="I833" s="11" t="s">
        <v>150</v>
      </c>
    </row>
    <row r="834" spans="1:9" x14ac:dyDescent="0.15">
      <c r="A834" s="10">
        <v>833</v>
      </c>
      <c r="B834" s="11" t="s">
        <v>9</v>
      </c>
      <c r="C834" s="11" t="s">
        <v>152</v>
      </c>
      <c r="D834" s="11" t="s">
        <v>153</v>
      </c>
      <c r="E834" s="9" t="str">
        <f>+HYPERLINK("http://trademark.i-assist.jp/data/china/image_1906th/79738263.pdf", "79738263")</f>
        <v>79738263</v>
      </c>
      <c r="F834" s="11" t="s">
        <v>2512</v>
      </c>
      <c r="G834" s="11" t="s">
        <v>2513</v>
      </c>
      <c r="H834" s="11" t="s">
        <v>2514</v>
      </c>
      <c r="I834" s="11" t="s">
        <v>150</v>
      </c>
    </row>
    <row r="835" spans="1:9" x14ac:dyDescent="0.15">
      <c r="A835" s="10">
        <v>834</v>
      </c>
      <c r="B835" s="11" t="s">
        <v>9</v>
      </c>
      <c r="C835" s="11" t="s">
        <v>152</v>
      </c>
      <c r="D835" s="11" t="s">
        <v>153</v>
      </c>
      <c r="E835" s="9" t="str">
        <f>+HYPERLINK("http://trademark.i-assist.jp/data/china/image_1906th/79738417.pdf", "79738417")</f>
        <v>79738417</v>
      </c>
      <c r="F835" s="11" t="s">
        <v>2515</v>
      </c>
      <c r="G835" s="11" t="s">
        <v>2467</v>
      </c>
      <c r="H835" s="11" t="s">
        <v>2516</v>
      </c>
      <c r="I835" s="11" t="s">
        <v>150</v>
      </c>
    </row>
    <row r="836" spans="1:9" x14ac:dyDescent="0.15">
      <c r="A836" s="10">
        <v>835</v>
      </c>
      <c r="B836" s="11" t="s">
        <v>9</v>
      </c>
      <c r="C836" s="11" t="s">
        <v>152</v>
      </c>
      <c r="D836" s="11" t="s">
        <v>153</v>
      </c>
      <c r="E836" s="9" t="str">
        <f>+HYPERLINK("http://trademark.i-assist.jp/data/china/image_1906th/79738432.pdf", "79738432")</f>
        <v>79738432</v>
      </c>
      <c r="F836" s="11" t="s">
        <v>2517</v>
      </c>
      <c r="G836" s="11" t="s">
        <v>2467</v>
      </c>
      <c r="H836" s="11" t="s">
        <v>2518</v>
      </c>
      <c r="I836" s="11" t="s">
        <v>150</v>
      </c>
    </row>
    <row r="837" spans="1:9" x14ac:dyDescent="0.15">
      <c r="A837" s="10">
        <v>836</v>
      </c>
      <c r="B837" s="11" t="s">
        <v>9</v>
      </c>
      <c r="C837" s="11" t="s">
        <v>152</v>
      </c>
      <c r="D837" s="11" t="s">
        <v>153</v>
      </c>
      <c r="E837" s="9" t="str">
        <f>+HYPERLINK("http://trademark.i-assist.jp/data/china/image_1906th/79739115.pdf", "79739115")</f>
        <v>79739115</v>
      </c>
      <c r="F837" s="11" t="s">
        <v>2519</v>
      </c>
      <c r="G837" s="11" t="s">
        <v>2492</v>
      </c>
      <c r="H837" s="11" t="s">
        <v>2520</v>
      </c>
      <c r="I837" s="11" t="s">
        <v>150</v>
      </c>
    </row>
    <row r="838" spans="1:9" x14ac:dyDescent="0.15">
      <c r="A838" s="10">
        <v>837</v>
      </c>
      <c r="B838" s="11" t="s">
        <v>9</v>
      </c>
      <c r="C838" s="11" t="s">
        <v>152</v>
      </c>
      <c r="D838" s="11" t="s">
        <v>153</v>
      </c>
      <c r="E838" s="9" t="str">
        <f>+HYPERLINK("http://trademark.i-assist.jp/data/china/image_1906th/79739136.pdf", "79739136")</f>
        <v>79739136</v>
      </c>
      <c r="F838" s="11" t="s">
        <v>2521</v>
      </c>
      <c r="G838" s="11" t="s">
        <v>2492</v>
      </c>
      <c r="H838" s="11" t="s">
        <v>2522</v>
      </c>
      <c r="I838" s="11" t="s">
        <v>150</v>
      </c>
    </row>
    <row r="839" spans="1:9" x14ac:dyDescent="0.15">
      <c r="A839" s="10">
        <v>838</v>
      </c>
      <c r="B839" s="11" t="s">
        <v>9</v>
      </c>
      <c r="C839" s="11" t="s">
        <v>152</v>
      </c>
      <c r="D839" s="11" t="s">
        <v>153</v>
      </c>
      <c r="E839" s="9" t="str">
        <f>+HYPERLINK("http://trademark.i-assist.jp/data/china/image_1906th/79739813.pdf", "79739813")</f>
        <v>79739813</v>
      </c>
      <c r="F839" s="11" t="s">
        <v>2523</v>
      </c>
      <c r="G839" s="11" t="s">
        <v>2524</v>
      </c>
      <c r="H839" s="11" t="s">
        <v>2525</v>
      </c>
      <c r="I839" s="11" t="s">
        <v>150</v>
      </c>
    </row>
    <row r="840" spans="1:9" x14ac:dyDescent="0.15">
      <c r="A840" s="10">
        <v>839</v>
      </c>
      <c r="B840" s="11" t="s">
        <v>9</v>
      </c>
      <c r="C840" s="11" t="s">
        <v>152</v>
      </c>
      <c r="D840" s="11" t="s">
        <v>153</v>
      </c>
      <c r="E840" s="9" t="str">
        <f>+HYPERLINK("http://trademark.i-assist.jp/data/china/image_1906th/79739830.pdf", "79739830")</f>
        <v>79739830</v>
      </c>
      <c r="F840" s="11" t="s">
        <v>2526</v>
      </c>
      <c r="G840" s="11" t="s">
        <v>2507</v>
      </c>
      <c r="H840" s="11" t="s">
        <v>2527</v>
      </c>
      <c r="I840" s="11" t="s">
        <v>150</v>
      </c>
    </row>
    <row r="841" spans="1:9" x14ac:dyDescent="0.15">
      <c r="A841" s="10">
        <v>840</v>
      </c>
      <c r="B841" s="11" t="s">
        <v>9</v>
      </c>
      <c r="C841" s="11" t="s">
        <v>152</v>
      </c>
      <c r="D841" s="11" t="s">
        <v>153</v>
      </c>
      <c r="E841" s="9" t="str">
        <f>+HYPERLINK("http://trademark.i-assist.jp/data/china/image_1906th/79740435.pdf", "79740435")</f>
        <v>79740435</v>
      </c>
      <c r="F841" s="11" t="s">
        <v>2528</v>
      </c>
      <c r="G841" s="11" t="s">
        <v>2529</v>
      </c>
      <c r="H841" s="11" t="s">
        <v>2530</v>
      </c>
      <c r="I841" s="11" t="s">
        <v>150</v>
      </c>
    </row>
    <row r="842" spans="1:9" x14ac:dyDescent="0.15">
      <c r="A842" s="10">
        <v>841</v>
      </c>
      <c r="B842" s="11" t="s">
        <v>9</v>
      </c>
      <c r="C842" s="11" t="s">
        <v>152</v>
      </c>
      <c r="D842" s="11" t="s">
        <v>153</v>
      </c>
      <c r="E842" s="9" t="str">
        <f>+HYPERLINK("http://trademark.i-assist.jp/data/china/image_1906th/79740899.pdf", "79740899")</f>
        <v>79740899</v>
      </c>
      <c r="F842" s="11" t="s">
        <v>2531</v>
      </c>
      <c r="G842" s="11" t="s">
        <v>2532</v>
      </c>
      <c r="H842" s="11" t="s">
        <v>2533</v>
      </c>
      <c r="I842" s="11" t="s">
        <v>150</v>
      </c>
    </row>
    <row r="843" spans="1:9" x14ac:dyDescent="0.15">
      <c r="A843" s="10">
        <v>842</v>
      </c>
      <c r="B843" s="11" t="s">
        <v>9</v>
      </c>
      <c r="C843" s="11" t="s">
        <v>152</v>
      </c>
      <c r="D843" s="11" t="s">
        <v>153</v>
      </c>
      <c r="E843" s="9" t="str">
        <f>+HYPERLINK("http://trademark.i-assist.jp/data/china/image_1906th/79741281.pdf", "79741281")</f>
        <v>79741281</v>
      </c>
      <c r="F843" s="11" t="s">
        <v>2534</v>
      </c>
      <c r="G843" s="11" t="s">
        <v>2535</v>
      </c>
      <c r="H843" s="11" t="s">
        <v>2536</v>
      </c>
      <c r="I843" s="11" t="s">
        <v>150</v>
      </c>
    </row>
    <row r="844" spans="1:9" x14ac:dyDescent="0.15">
      <c r="A844" s="10">
        <v>843</v>
      </c>
      <c r="B844" s="11" t="s">
        <v>9</v>
      </c>
      <c r="C844" s="11" t="s">
        <v>152</v>
      </c>
      <c r="D844" s="11" t="s">
        <v>153</v>
      </c>
      <c r="E844" s="9" t="str">
        <f>+HYPERLINK("http://trademark.i-assist.jp/data/china/image_1906th/79741325.pdf", "79741325")</f>
        <v>79741325</v>
      </c>
      <c r="F844" s="11" t="s">
        <v>2537</v>
      </c>
      <c r="G844" s="11" t="s">
        <v>2538</v>
      </c>
      <c r="H844" s="11" t="s">
        <v>2539</v>
      </c>
      <c r="I844" s="11" t="s">
        <v>150</v>
      </c>
    </row>
    <row r="845" spans="1:9" x14ac:dyDescent="0.15">
      <c r="A845" s="10">
        <v>844</v>
      </c>
      <c r="B845" s="11" t="s">
        <v>9</v>
      </c>
      <c r="C845" s="11" t="s">
        <v>152</v>
      </c>
      <c r="D845" s="11" t="s">
        <v>153</v>
      </c>
      <c r="E845" s="9" t="str">
        <f>+HYPERLINK("http://trademark.i-assist.jp/data/china/image_1906th/79742821.pdf", "79742821")</f>
        <v>79742821</v>
      </c>
      <c r="F845" s="11" t="s">
        <v>2540</v>
      </c>
      <c r="G845" s="11" t="s">
        <v>2541</v>
      </c>
      <c r="H845" s="11" t="s">
        <v>2542</v>
      </c>
      <c r="I845" s="11" t="s">
        <v>150</v>
      </c>
    </row>
    <row r="846" spans="1:9" x14ac:dyDescent="0.15">
      <c r="A846" s="10">
        <v>845</v>
      </c>
      <c r="B846" s="11" t="s">
        <v>9</v>
      </c>
      <c r="C846" s="11" t="s">
        <v>152</v>
      </c>
      <c r="D846" s="11" t="s">
        <v>153</v>
      </c>
      <c r="E846" s="9" t="str">
        <f>+HYPERLINK("http://trademark.i-assist.jp/data/china/image_1906th/79743433.pdf", "79743433")</f>
        <v>79743433</v>
      </c>
      <c r="F846" s="11" t="s">
        <v>12</v>
      </c>
      <c r="G846" s="11" t="s">
        <v>2543</v>
      </c>
      <c r="H846" s="11" t="s">
        <v>2544</v>
      </c>
      <c r="I846" s="11" t="s">
        <v>150</v>
      </c>
    </row>
    <row r="847" spans="1:9" x14ac:dyDescent="0.15">
      <c r="A847" s="10">
        <v>846</v>
      </c>
      <c r="B847" s="11" t="s">
        <v>9</v>
      </c>
      <c r="C847" s="11" t="s">
        <v>152</v>
      </c>
      <c r="D847" s="11" t="s">
        <v>153</v>
      </c>
      <c r="E847" s="9" t="str">
        <f>+HYPERLINK("http://trademark.i-assist.jp/data/china/image_1906th/79744705.pdf", "79744705")</f>
        <v>79744705</v>
      </c>
      <c r="F847" s="11" t="s">
        <v>2545</v>
      </c>
      <c r="G847" s="11" t="s">
        <v>2546</v>
      </c>
      <c r="H847" s="11" t="s">
        <v>2547</v>
      </c>
      <c r="I847" s="11" t="s">
        <v>150</v>
      </c>
    </row>
    <row r="848" spans="1:9" x14ac:dyDescent="0.15">
      <c r="A848" s="10">
        <v>847</v>
      </c>
      <c r="B848" s="11" t="s">
        <v>9</v>
      </c>
      <c r="C848" s="11" t="s">
        <v>152</v>
      </c>
      <c r="D848" s="11" t="s">
        <v>153</v>
      </c>
      <c r="E848" s="9" t="str">
        <f>+HYPERLINK("http://trademark.i-assist.jp/data/china/image_1906th/79745757.pdf", "79745757")</f>
        <v>79745757</v>
      </c>
      <c r="F848" s="11" t="s">
        <v>2548</v>
      </c>
      <c r="G848" s="11" t="s">
        <v>2549</v>
      </c>
      <c r="H848" s="11" t="s">
        <v>2550</v>
      </c>
      <c r="I848" s="11" t="s">
        <v>150</v>
      </c>
    </row>
    <row r="849" spans="1:9" x14ac:dyDescent="0.15">
      <c r="A849" s="10">
        <v>848</v>
      </c>
      <c r="B849" s="11" t="s">
        <v>9</v>
      </c>
      <c r="C849" s="11" t="s">
        <v>152</v>
      </c>
      <c r="D849" s="11" t="s">
        <v>153</v>
      </c>
      <c r="E849" s="9" t="str">
        <f>+HYPERLINK("http://trademark.i-assist.jp/data/china/image_1906th/79746296.pdf", "79746296")</f>
        <v>79746296</v>
      </c>
      <c r="F849" s="11" t="s">
        <v>2551</v>
      </c>
      <c r="G849" s="11" t="s">
        <v>2467</v>
      </c>
      <c r="H849" s="11" t="s">
        <v>2552</v>
      </c>
      <c r="I849" s="11" t="s">
        <v>150</v>
      </c>
    </row>
    <row r="850" spans="1:9" x14ac:dyDescent="0.15">
      <c r="A850" s="10">
        <v>849</v>
      </c>
      <c r="B850" s="11" t="s">
        <v>9</v>
      </c>
      <c r="C850" s="11" t="s">
        <v>152</v>
      </c>
      <c r="D850" s="11" t="s">
        <v>153</v>
      </c>
      <c r="E850" s="9" t="str">
        <f>+HYPERLINK("http://trademark.i-assist.jp/data/china/image_1906th/79746537.pdf", "79746537")</f>
        <v>79746537</v>
      </c>
      <c r="F850" s="11" t="s">
        <v>2553</v>
      </c>
      <c r="G850" s="11" t="s">
        <v>2553</v>
      </c>
      <c r="H850" s="11" t="s">
        <v>2554</v>
      </c>
      <c r="I850" s="11" t="s">
        <v>150</v>
      </c>
    </row>
    <row r="851" spans="1:9" x14ac:dyDescent="0.15">
      <c r="A851" s="10">
        <v>850</v>
      </c>
      <c r="B851" s="11" t="s">
        <v>9</v>
      </c>
      <c r="C851" s="11" t="s">
        <v>152</v>
      </c>
      <c r="D851" s="11" t="s">
        <v>153</v>
      </c>
      <c r="E851" s="9" t="str">
        <f>+HYPERLINK("http://trademark.i-assist.jp/data/china/image_1906th/79747093.pdf", "79747093")</f>
        <v>79747093</v>
      </c>
      <c r="F851" s="11" t="s">
        <v>2555</v>
      </c>
      <c r="G851" s="11" t="s">
        <v>2556</v>
      </c>
      <c r="H851" s="11" t="s">
        <v>2557</v>
      </c>
      <c r="I851" s="11" t="s">
        <v>150</v>
      </c>
    </row>
    <row r="852" spans="1:9" x14ac:dyDescent="0.15">
      <c r="A852" s="10">
        <v>851</v>
      </c>
      <c r="B852" s="11" t="s">
        <v>9</v>
      </c>
      <c r="C852" s="11" t="s">
        <v>152</v>
      </c>
      <c r="D852" s="11" t="s">
        <v>153</v>
      </c>
      <c r="E852" s="9" t="str">
        <f>+HYPERLINK("http://trademark.i-assist.jp/data/china/image_1906th/79747201.pdf", "79747201")</f>
        <v>79747201</v>
      </c>
      <c r="F852" s="11" t="s">
        <v>2558</v>
      </c>
      <c r="G852" s="11" t="s">
        <v>2535</v>
      </c>
      <c r="H852" s="11" t="s">
        <v>2559</v>
      </c>
      <c r="I852" s="11" t="s">
        <v>150</v>
      </c>
    </row>
    <row r="853" spans="1:9" x14ac:dyDescent="0.15">
      <c r="A853" s="10">
        <v>852</v>
      </c>
      <c r="B853" s="11" t="s">
        <v>9</v>
      </c>
      <c r="C853" s="11" t="s">
        <v>152</v>
      </c>
      <c r="D853" s="11" t="s">
        <v>153</v>
      </c>
      <c r="E853" s="9" t="str">
        <f>+HYPERLINK("http://trademark.i-assist.jp/data/china/image_1906th/79747237.pdf", "79747237")</f>
        <v>79747237</v>
      </c>
      <c r="F853" s="11" t="s">
        <v>2560</v>
      </c>
      <c r="G853" s="11" t="s">
        <v>2495</v>
      </c>
      <c r="H853" s="11" t="s">
        <v>2561</v>
      </c>
      <c r="I853" s="11" t="s">
        <v>150</v>
      </c>
    </row>
    <row r="854" spans="1:9" x14ac:dyDescent="0.15">
      <c r="A854" s="10">
        <v>853</v>
      </c>
      <c r="B854" s="11" t="s">
        <v>9</v>
      </c>
      <c r="C854" s="11" t="s">
        <v>152</v>
      </c>
      <c r="D854" s="11" t="s">
        <v>153</v>
      </c>
      <c r="E854" s="9" t="str">
        <f>+HYPERLINK("http://trademark.i-assist.jp/data/china/image_1906th/79747770.pdf", "79747770")</f>
        <v>79747770</v>
      </c>
      <c r="F854" s="11" t="s">
        <v>2562</v>
      </c>
      <c r="G854" s="11" t="s">
        <v>2563</v>
      </c>
      <c r="H854" s="11" t="s">
        <v>2564</v>
      </c>
      <c r="I854" s="11" t="s">
        <v>150</v>
      </c>
    </row>
    <row r="855" spans="1:9" x14ac:dyDescent="0.15">
      <c r="A855" s="10">
        <v>854</v>
      </c>
      <c r="B855" s="11" t="s">
        <v>9</v>
      </c>
      <c r="C855" s="11" t="s">
        <v>152</v>
      </c>
      <c r="D855" s="11" t="s">
        <v>153</v>
      </c>
      <c r="E855" s="9" t="str">
        <f>+HYPERLINK("http://trademark.i-assist.jp/data/china/image_1906th/79749347.pdf", "79749347")</f>
        <v>79749347</v>
      </c>
      <c r="F855" s="11" t="s">
        <v>12</v>
      </c>
      <c r="G855" s="11" t="s">
        <v>2565</v>
      </c>
      <c r="H855" s="11" t="s">
        <v>2566</v>
      </c>
      <c r="I855" s="11" t="s">
        <v>150</v>
      </c>
    </row>
    <row r="856" spans="1:9" x14ac:dyDescent="0.15">
      <c r="A856" s="10">
        <v>855</v>
      </c>
      <c r="B856" s="11" t="s">
        <v>9</v>
      </c>
      <c r="C856" s="11" t="s">
        <v>152</v>
      </c>
      <c r="D856" s="11" t="s">
        <v>153</v>
      </c>
      <c r="E856" s="9" t="str">
        <f>+HYPERLINK("http://trademark.i-assist.jp/data/china/image_1906th/79749380.pdf", "79749380")</f>
        <v>79749380</v>
      </c>
      <c r="F856" s="11" t="s">
        <v>2567</v>
      </c>
      <c r="G856" s="11" t="s">
        <v>93</v>
      </c>
      <c r="H856" s="11" t="s">
        <v>2568</v>
      </c>
      <c r="I856" s="11" t="s">
        <v>150</v>
      </c>
    </row>
    <row r="857" spans="1:9" x14ac:dyDescent="0.15">
      <c r="A857" s="10">
        <v>856</v>
      </c>
      <c r="B857" s="11" t="s">
        <v>9</v>
      </c>
      <c r="C857" s="11" t="s">
        <v>152</v>
      </c>
      <c r="D857" s="11" t="s">
        <v>153</v>
      </c>
      <c r="E857" s="9" t="str">
        <f>+HYPERLINK("http://trademark.i-assist.jp/data/china/image_1906th/79749535.pdf", "79749535")</f>
        <v>79749535</v>
      </c>
      <c r="F857" s="11" t="s">
        <v>2569</v>
      </c>
      <c r="G857" s="11" t="s">
        <v>2467</v>
      </c>
      <c r="H857" s="11" t="s">
        <v>2570</v>
      </c>
      <c r="I857" s="11" t="s">
        <v>150</v>
      </c>
    </row>
    <row r="858" spans="1:9" x14ac:dyDescent="0.15">
      <c r="A858" s="10">
        <v>857</v>
      </c>
      <c r="B858" s="11" t="s">
        <v>9</v>
      </c>
      <c r="C858" s="11" t="s">
        <v>152</v>
      </c>
      <c r="D858" s="11" t="s">
        <v>153</v>
      </c>
      <c r="E858" s="9" t="str">
        <f>+HYPERLINK("http://trademark.i-assist.jp/data/china/image_1906th/79749574.pdf", "79749574")</f>
        <v>79749574</v>
      </c>
      <c r="F858" s="11" t="s">
        <v>2571</v>
      </c>
      <c r="G858" s="11" t="s">
        <v>2492</v>
      </c>
      <c r="H858" s="11" t="s">
        <v>2572</v>
      </c>
      <c r="I858" s="11" t="s">
        <v>150</v>
      </c>
    </row>
    <row r="859" spans="1:9" x14ac:dyDescent="0.15">
      <c r="A859" s="10">
        <v>858</v>
      </c>
      <c r="B859" s="11" t="s">
        <v>9</v>
      </c>
      <c r="C859" s="11" t="s">
        <v>152</v>
      </c>
      <c r="D859" s="11" t="s">
        <v>153</v>
      </c>
      <c r="E859" s="9" t="str">
        <f>+HYPERLINK("http://trademark.i-assist.jp/data/china/image_1906th/79749738.pdf", "79749738")</f>
        <v>79749738</v>
      </c>
      <c r="F859" s="11" t="s">
        <v>2573</v>
      </c>
      <c r="G859" s="11" t="s">
        <v>2574</v>
      </c>
      <c r="H859" s="11" t="s">
        <v>15</v>
      </c>
      <c r="I859" s="11" t="s">
        <v>150</v>
      </c>
    </row>
    <row r="860" spans="1:9" x14ac:dyDescent="0.15">
      <c r="A860" s="10">
        <v>859</v>
      </c>
      <c r="B860" s="11" t="s">
        <v>9</v>
      </c>
      <c r="C860" s="11" t="s">
        <v>152</v>
      </c>
      <c r="D860" s="11" t="s">
        <v>153</v>
      </c>
      <c r="E860" s="9" t="str">
        <f>+HYPERLINK("http://trademark.i-assist.jp/data/china/image_1906th/79750708.pdf", "79750708")</f>
        <v>79750708</v>
      </c>
      <c r="F860" s="11" t="s">
        <v>2575</v>
      </c>
      <c r="G860" s="11" t="s">
        <v>2576</v>
      </c>
      <c r="H860" s="11" t="s">
        <v>2577</v>
      </c>
      <c r="I860" s="11" t="s">
        <v>150</v>
      </c>
    </row>
    <row r="861" spans="1:9" x14ac:dyDescent="0.15">
      <c r="A861" s="10">
        <v>860</v>
      </c>
      <c r="B861" s="11" t="s">
        <v>9</v>
      </c>
      <c r="C861" s="11" t="s">
        <v>152</v>
      </c>
      <c r="D861" s="11" t="s">
        <v>153</v>
      </c>
      <c r="E861" s="9" t="str">
        <f>+HYPERLINK("http://trademark.i-assist.jp/data/china/image_1906th/79750928.pdf", "79750928")</f>
        <v>79750928</v>
      </c>
      <c r="F861" s="11" t="s">
        <v>2578</v>
      </c>
      <c r="G861" s="11" t="s">
        <v>2579</v>
      </c>
      <c r="H861" s="11" t="s">
        <v>2580</v>
      </c>
      <c r="I861" s="11" t="s">
        <v>150</v>
      </c>
    </row>
    <row r="862" spans="1:9" x14ac:dyDescent="0.15">
      <c r="A862" s="10">
        <v>861</v>
      </c>
      <c r="B862" s="11" t="s">
        <v>9</v>
      </c>
      <c r="C862" s="11" t="s">
        <v>152</v>
      </c>
      <c r="D862" s="11" t="s">
        <v>153</v>
      </c>
      <c r="E862" s="9" t="str">
        <f>+HYPERLINK("http://trademark.i-assist.jp/data/china/image_1906th/79751094.pdf", "79751094")</f>
        <v>79751094</v>
      </c>
      <c r="F862" s="11" t="s">
        <v>2581</v>
      </c>
      <c r="G862" s="11" t="s">
        <v>113</v>
      </c>
      <c r="H862" s="11" t="s">
        <v>2582</v>
      </c>
      <c r="I862" s="11" t="s">
        <v>150</v>
      </c>
    </row>
    <row r="863" spans="1:9" x14ac:dyDescent="0.15">
      <c r="A863" s="10">
        <v>862</v>
      </c>
      <c r="B863" s="11" t="s">
        <v>9</v>
      </c>
      <c r="C863" s="11" t="s">
        <v>152</v>
      </c>
      <c r="D863" s="11" t="s">
        <v>153</v>
      </c>
      <c r="E863" s="9" t="str">
        <f>+HYPERLINK("http://trademark.i-assist.jp/data/china/image_1906th/79751314.pdf", "79751314")</f>
        <v>79751314</v>
      </c>
      <c r="F863" s="11" t="s">
        <v>2583</v>
      </c>
      <c r="G863" s="11" t="s">
        <v>2584</v>
      </c>
      <c r="H863" s="11" t="s">
        <v>2585</v>
      </c>
      <c r="I863" s="11" t="s">
        <v>150</v>
      </c>
    </row>
    <row r="864" spans="1:9" x14ac:dyDescent="0.15">
      <c r="A864" s="10">
        <v>863</v>
      </c>
      <c r="B864" s="11" t="s">
        <v>9</v>
      </c>
      <c r="C864" s="11" t="s">
        <v>152</v>
      </c>
      <c r="D864" s="11" t="s">
        <v>153</v>
      </c>
      <c r="E864" s="9" t="str">
        <f>+HYPERLINK("http://trademark.i-assist.jp/data/china/image_1906th/79751434.pdf", "79751434")</f>
        <v>79751434</v>
      </c>
      <c r="F864" s="11" t="s">
        <v>2586</v>
      </c>
      <c r="G864" s="11" t="s">
        <v>2587</v>
      </c>
      <c r="H864" s="11" t="s">
        <v>2588</v>
      </c>
      <c r="I864" s="11" t="s">
        <v>150</v>
      </c>
    </row>
    <row r="865" spans="1:9" x14ac:dyDescent="0.15">
      <c r="A865" s="10">
        <v>864</v>
      </c>
      <c r="B865" s="11" t="s">
        <v>9</v>
      </c>
      <c r="C865" s="11" t="s">
        <v>152</v>
      </c>
      <c r="D865" s="11" t="s">
        <v>153</v>
      </c>
      <c r="E865" s="9" t="str">
        <f>+HYPERLINK("http://trademark.i-assist.jp/data/china/image_1906th/79752112.pdf", "79752112")</f>
        <v>79752112</v>
      </c>
      <c r="F865" s="11" t="s">
        <v>2589</v>
      </c>
      <c r="G865" s="11" t="s">
        <v>2590</v>
      </c>
      <c r="H865" s="11" t="s">
        <v>2591</v>
      </c>
      <c r="I865" s="11" t="s">
        <v>150</v>
      </c>
    </row>
    <row r="866" spans="1:9" x14ac:dyDescent="0.15">
      <c r="A866" s="10">
        <v>865</v>
      </c>
      <c r="B866" s="11" t="s">
        <v>9</v>
      </c>
      <c r="C866" s="11" t="s">
        <v>152</v>
      </c>
      <c r="D866" s="11" t="s">
        <v>153</v>
      </c>
      <c r="E866" s="9" t="str">
        <f>+HYPERLINK("http://trademark.i-assist.jp/data/china/image_1906th/79752149.pdf", "79752149")</f>
        <v>79752149</v>
      </c>
      <c r="F866" s="11" t="s">
        <v>2592</v>
      </c>
      <c r="G866" s="11" t="s">
        <v>2593</v>
      </c>
      <c r="H866" s="11" t="s">
        <v>2594</v>
      </c>
      <c r="I866" s="11" t="s">
        <v>150</v>
      </c>
    </row>
    <row r="867" spans="1:9" x14ac:dyDescent="0.15">
      <c r="A867" s="10">
        <v>866</v>
      </c>
      <c r="B867" s="11" t="s">
        <v>9</v>
      </c>
      <c r="C867" s="11" t="s">
        <v>152</v>
      </c>
      <c r="D867" s="11" t="s">
        <v>153</v>
      </c>
      <c r="E867" s="9" t="str">
        <f>+HYPERLINK("http://trademark.i-assist.jp/data/china/image_1906th/79753086.pdf", "79753086")</f>
        <v>79753086</v>
      </c>
      <c r="F867" s="11" t="s">
        <v>2595</v>
      </c>
      <c r="G867" s="11" t="s">
        <v>2596</v>
      </c>
      <c r="H867" s="11" t="s">
        <v>2597</v>
      </c>
      <c r="I867" s="11" t="s">
        <v>2598</v>
      </c>
    </row>
    <row r="868" spans="1:9" x14ac:dyDescent="0.15">
      <c r="A868" s="10">
        <v>867</v>
      </c>
      <c r="B868" s="11" t="s">
        <v>9</v>
      </c>
      <c r="C868" s="11" t="s">
        <v>152</v>
      </c>
      <c r="D868" s="11" t="s">
        <v>153</v>
      </c>
      <c r="E868" s="9" t="str">
        <f>+HYPERLINK("http://trademark.i-assist.jp/data/china/image_1906th/79753347.pdf", "79753347")</f>
        <v>79753347</v>
      </c>
      <c r="F868" s="11" t="s">
        <v>12</v>
      </c>
      <c r="G868" s="11" t="s">
        <v>2599</v>
      </c>
      <c r="H868" s="11" t="s">
        <v>2600</v>
      </c>
      <c r="I868" s="11" t="s">
        <v>2598</v>
      </c>
    </row>
    <row r="869" spans="1:9" x14ac:dyDescent="0.15">
      <c r="A869" s="10">
        <v>868</v>
      </c>
      <c r="B869" s="11" t="s">
        <v>9</v>
      </c>
      <c r="C869" s="11" t="s">
        <v>152</v>
      </c>
      <c r="D869" s="11" t="s">
        <v>153</v>
      </c>
      <c r="E869" s="9" t="str">
        <f>+HYPERLINK("http://trademark.i-assist.jp/data/china/image_1906th/79754219.pdf", "79754219")</f>
        <v>79754219</v>
      </c>
      <c r="F869" s="11" t="s">
        <v>2601</v>
      </c>
      <c r="G869" s="11" t="s">
        <v>2602</v>
      </c>
      <c r="H869" s="11" t="s">
        <v>2603</v>
      </c>
      <c r="I869" s="11" t="s">
        <v>2598</v>
      </c>
    </row>
    <row r="870" spans="1:9" x14ac:dyDescent="0.15">
      <c r="A870" s="10">
        <v>869</v>
      </c>
      <c r="B870" s="11" t="s">
        <v>9</v>
      </c>
      <c r="C870" s="11" t="s">
        <v>152</v>
      </c>
      <c r="D870" s="11" t="s">
        <v>153</v>
      </c>
      <c r="E870" s="9" t="str">
        <f>+HYPERLINK("http://trademark.i-assist.jp/data/china/image_1906th/79754278.pdf", "79754278")</f>
        <v>79754278</v>
      </c>
      <c r="F870" s="11" t="s">
        <v>2604</v>
      </c>
      <c r="G870" s="11" t="s">
        <v>2605</v>
      </c>
      <c r="H870" s="11" t="s">
        <v>2606</v>
      </c>
      <c r="I870" s="11" t="s">
        <v>2598</v>
      </c>
    </row>
    <row r="871" spans="1:9" x14ac:dyDescent="0.15">
      <c r="A871" s="10">
        <v>870</v>
      </c>
      <c r="B871" s="11" t="s">
        <v>9</v>
      </c>
      <c r="C871" s="11" t="s">
        <v>152</v>
      </c>
      <c r="D871" s="11" t="s">
        <v>153</v>
      </c>
      <c r="E871" s="9" t="str">
        <f>+HYPERLINK("http://trademark.i-assist.jp/data/china/image_1906th/79754351.pdf", "79754351")</f>
        <v>79754351</v>
      </c>
      <c r="F871" s="11" t="s">
        <v>2607</v>
      </c>
      <c r="G871" s="11" t="s">
        <v>2608</v>
      </c>
      <c r="H871" s="11" t="s">
        <v>2609</v>
      </c>
      <c r="I871" s="11" t="s">
        <v>2598</v>
      </c>
    </row>
    <row r="872" spans="1:9" x14ac:dyDescent="0.15">
      <c r="A872" s="10">
        <v>871</v>
      </c>
      <c r="B872" s="11" t="s">
        <v>9</v>
      </c>
      <c r="C872" s="11" t="s">
        <v>152</v>
      </c>
      <c r="D872" s="11" t="s">
        <v>153</v>
      </c>
      <c r="E872" s="9" t="str">
        <f>+HYPERLINK("http://trademark.i-assist.jp/data/china/image_1906th/79754405.pdf", "79754405")</f>
        <v>79754405</v>
      </c>
      <c r="F872" s="11" t="s">
        <v>2610</v>
      </c>
      <c r="G872" s="11" t="s">
        <v>2611</v>
      </c>
      <c r="H872" s="11" t="s">
        <v>2612</v>
      </c>
      <c r="I872" s="11" t="s">
        <v>2598</v>
      </c>
    </row>
    <row r="873" spans="1:9" x14ac:dyDescent="0.15">
      <c r="A873" s="10">
        <v>872</v>
      </c>
      <c r="B873" s="11" t="s">
        <v>9</v>
      </c>
      <c r="C873" s="11" t="s">
        <v>152</v>
      </c>
      <c r="D873" s="11" t="s">
        <v>153</v>
      </c>
      <c r="E873" s="9" t="str">
        <f>+HYPERLINK("http://trademark.i-assist.jp/data/china/image_1906th/79754539.pdf", "79754539")</f>
        <v>79754539</v>
      </c>
      <c r="F873" s="11" t="s">
        <v>12</v>
      </c>
      <c r="G873" s="11" t="s">
        <v>2613</v>
      </c>
      <c r="H873" s="11" t="s">
        <v>2614</v>
      </c>
      <c r="I873" s="11" t="s">
        <v>2598</v>
      </c>
    </row>
    <row r="874" spans="1:9" x14ac:dyDescent="0.15">
      <c r="A874" s="10">
        <v>873</v>
      </c>
      <c r="B874" s="11" t="s">
        <v>9</v>
      </c>
      <c r="C874" s="11" t="s">
        <v>152</v>
      </c>
      <c r="D874" s="11" t="s">
        <v>153</v>
      </c>
      <c r="E874" s="9" t="str">
        <f>+HYPERLINK("http://trademark.i-assist.jp/data/china/image_1906th/79754618.pdf", "79754618")</f>
        <v>79754618</v>
      </c>
      <c r="F874" s="11" t="s">
        <v>2615</v>
      </c>
      <c r="G874" s="11" t="s">
        <v>2616</v>
      </c>
      <c r="H874" s="11" t="s">
        <v>2617</v>
      </c>
      <c r="I874" s="11" t="s">
        <v>2598</v>
      </c>
    </row>
    <row r="875" spans="1:9" x14ac:dyDescent="0.15">
      <c r="A875" s="10">
        <v>874</v>
      </c>
      <c r="B875" s="11" t="s">
        <v>9</v>
      </c>
      <c r="C875" s="11" t="s">
        <v>152</v>
      </c>
      <c r="D875" s="11" t="s">
        <v>153</v>
      </c>
      <c r="E875" s="9" t="str">
        <f>+HYPERLINK("http://trademark.i-assist.jp/data/china/image_1906th/79754747.pdf", "79754747")</f>
        <v>79754747</v>
      </c>
      <c r="F875" s="11" t="s">
        <v>2618</v>
      </c>
      <c r="G875" s="11" t="s">
        <v>2619</v>
      </c>
      <c r="H875" s="11" t="s">
        <v>2620</v>
      </c>
      <c r="I875" s="11" t="s">
        <v>2598</v>
      </c>
    </row>
    <row r="876" spans="1:9" x14ac:dyDescent="0.15">
      <c r="A876" s="10">
        <v>875</v>
      </c>
      <c r="B876" s="11" t="s">
        <v>9</v>
      </c>
      <c r="C876" s="11" t="s">
        <v>152</v>
      </c>
      <c r="D876" s="11" t="s">
        <v>153</v>
      </c>
      <c r="E876" s="9" t="str">
        <f>+HYPERLINK("http://trademark.i-assist.jp/data/china/image_1906th/79754756.pdf", "79754756")</f>
        <v>79754756</v>
      </c>
      <c r="F876" s="11" t="s">
        <v>2621</v>
      </c>
      <c r="G876" s="11" t="s">
        <v>2622</v>
      </c>
      <c r="H876" s="11" t="s">
        <v>2623</v>
      </c>
      <c r="I876" s="11" t="s">
        <v>2598</v>
      </c>
    </row>
    <row r="877" spans="1:9" x14ac:dyDescent="0.15">
      <c r="A877" s="10">
        <v>876</v>
      </c>
      <c r="B877" s="11" t="s">
        <v>9</v>
      </c>
      <c r="C877" s="11" t="s">
        <v>152</v>
      </c>
      <c r="D877" s="11" t="s">
        <v>153</v>
      </c>
      <c r="E877" s="9" t="str">
        <f>+HYPERLINK("http://trademark.i-assist.jp/data/china/image_1906th/79755380.pdf", "79755380")</f>
        <v>79755380</v>
      </c>
      <c r="F877" s="11" t="s">
        <v>2624</v>
      </c>
      <c r="G877" s="11" t="s">
        <v>2625</v>
      </c>
      <c r="H877" s="11" t="s">
        <v>14</v>
      </c>
      <c r="I877" s="11" t="s">
        <v>2598</v>
      </c>
    </row>
    <row r="878" spans="1:9" x14ac:dyDescent="0.15">
      <c r="A878" s="10">
        <v>877</v>
      </c>
      <c r="B878" s="11" t="s">
        <v>9</v>
      </c>
      <c r="C878" s="11" t="s">
        <v>152</v>
      </c>
      <c r="D878" s="11" t="s">
        <v>153</v>
      </c>
      <c r="E878" s="9" t="str">
        <f>+HYPERLINK("http://trademark.i-assist.jp/data/china/image_1906th/79755472.pdf", "79755472")</f>
        <v>79755472</v>
      </c>
      <c r="F878" s="11" t="s">
        <v>2626</v>
      </c>
      <c r="G878" s="11" t="s">
        <v>2627</v>
      </c>
      <c r="H878" s="11" t="s">
        <v>2628</v>
      </c>
      <c r="I878" s="11" t="s">
        <v>2598</v>
      </c>
    </row>
    <row r="879" spans="1:9" x14ac:dyDescent="0.15">
      <c r="A879" s="10">
        <v>878</v>
      </c>
      <c r="B879" s="11" t="s">
        <v>9</v>
      </c>
      <c r="C879" s="11" t="s">
        <v>152</v>
      </c>
      <c r="D879" s="11" t="s">
        <v>153</v>
      </c>
      <c r="E879" s="9" t="str">
        <f>+HYPERLINK("http://trademark.i-assist.jp/data/china/image_1906th/79755561.pdf", "79755561")</f>
        <v>79755561</v>
      </c>
      <c r="F879" s="11" t="s">
        <v>2629</v>
      </c>
      <c r="G879" s="11" t="s">
        <v>2630</v>
      </c>
      <c r="H879" s="11" t="s">
        <v>2631</v>
      </c>
      <c r="I879" s="11" t="s">
        <v>2598</v>
      </c>
    </row>
    <row r="880" spans="1:9" x14ac:dyDescent="0.15">
      <c r="A880" s="10">
        <v>879</v>
      </c>
      <c r="B880" s="11" t="s">
        <v>9</v>
      </c>
      <c r="C880" s="11" t="s">
        <v>152</v>
      </c>
      <c r="D880" s="11" t="s">
        <v>153</v>
      </c>
      <c r="E880" s="9" t="str">
        <f>+HYPERLINK("http://trademark.i-assist.jp/data/china/image_1906th/79756147.pdf", "79756147")</f>
        <v>79756147</v>
      </c>
      <c r="F880" s="11" t="s">
        <v>2632</v>
      </c>
      <c r="G880" s="11" t="s">
        <v>2633</v>
      </c>
      <c r="H880" s="11" t="s">
        <v>2634</v>
      </c>
      <c r="I880" s="11" t="s">
        <v>2598</v>
      </c>
    </row>
    <row r="881" spans="1:9" x14ac:dyDescent="0.15">
      <c r="A881" s="10">
        <v>880</v>
      </c>
      <c r="B881" s="11" t="s">
        <v>9</v>
      </c>
      <c r="C881" s="11" t="s">
        <v>152</v>
      </c>
      <c r="D881" s="11" t="s">
        <v>153</v>
      </c>
      <c r="E881" s="9" t="str">
        <f>+HYPERLINK("http://trademark.i-assist.jp/data/china/image_1906th/79756325.pdf", "79756325")</f>
        <v>79756325</v>
      </c>
      <c r="F881" s="11" t="s">
        <v>2635</v>
      </c>
      <c r="G881" s="11" t="s">
        <v>2636</v>
      </c>
      <c r="H881" s="11" t="s">
        <v>2637</v>
      </c>
      <c r="I881" s="11" t="s">
        <v>2598</v>
      </c>
    </row>
    <row r="882" spans="1:9" x14ac:dyDescent="0.15">
      <c r="A882" s="10">
        <v>881</v>
      </c>
      <c r="B882" s="11" t="s">
        <v>9</v>
      </c>
      <c r="C882" s="11" t="s">
        <v>152</v>
      </c>
      <c r="D882" s="11" t="s">
        <v>153</v>
      </c>
      <c r="E882" s="9" t="str">
        <f>+HYPERLINK("http://trademark.i-assist.jp/data/china/image_1906th/79756345.pdf", "79756345")</f>
        <v>79756345</v>
      </c>
      <c r="F882" s="11" t="s">
        <v>2638</v>
      </c>
      <c r="G882" s="11" t="s">
        <v>2639</v>
      </c>
      <c r="H882" s="11" t="s">
        <v>2640</v>
      </c>
      <c r="I882" s="11" t="s">
        <v>2598</v>
      </c>
    </row>
    <row r="883" spans="1:9" x14ac:dyDescent="0.15">
      <c r="A883" s="10">
        <v>882</v>
      </c>
      <c r="B883" s="11" t="s">
        <v>9</v>
      </c>
      <c r="C883" s="11" t="s">
        <v>152</v>
      </c>
      <c r="D883" s="11" t="s">
        <v>153</v>
      </c>
      <c r="E883" s="9" t="str">
        <f>+HYPERLINK("http://trademark.i-assist.jp/data/china/image_1906th/79757132.pdf", "79757132")</f>
        <v>79757132</v>
      </c>
      <c r="F883" s="11" t="s">
        <v>2641</v>
      </c>
      <c r="G883" s="11" t="s">
        <v>2642</v>
      </c>
      <c r="H883" s="11" t="s">
        <v>2643</v>
      </c>
      <c r="I883" s="11" t="s">
        <v>2598</v>
      </c>
    </row>
    <row r="884" spans="1:9" x14ac:dyDescent="0.15">
      <c r="A884" s="10">
        <v>883</v>
      </c>
      <c r="B884" s="11" t="s">
        <v>9</v>
      </c>
      <c r="C884" s="11" t="s">
        <v>152</v>
      </c>
      <c r="D884" s="11" t="s">
        <v>153</v>
      </c>
      <c r="E884" s="9" t="str">
        <f>+HYPERLINK("http://trademark.i-assist.jp/data/china/image_1906th/79757508.pdf", "79757508")</f>
        <v>79757508</v>
      </c>
      <c r="F884" s="11" t="s">
        <v>2644</v>
      </c>
      <c r="G884" s="11" t="s">
        <v>2645</v>
      </c>
      <c r="H884" s="11" t="s">
        <v>2646</v>
      </c>
      <c r="I884" s="11" t="s">
        <v>2598</v>
      </c>
    </row>
    <row r="885" spans="1:9" x14ac:dyDescent="0.15">
      <c r="A885" s="10">
        <v>884</v>
      </c>
      <c r="B885" s="11" t="s">
        <v>9</v>
      </c>
      <c r="C885" s="11" t="s">
        <v>152</v>
      </c>
      <c r="D885" s="11" t="s">
        <v>153</v>
      </c>
      <c r="E885" s="9" t="str">
        <f>+HYPERLINK("http://trademark.i-assist.jp/data/china/image_1906th/79757702.pdf", "79757702")</f>
        <v>79757702</v>
      </c>
      <c r="F885" s="11" t="s">
        <v>2647</v>
      </c>
      <c r="G885" s="11" t="s">
        <v>2619</v>
      </c>
      <c r="H885" s="11" t="s">
        <v>2648</v>
      </c>
      <c r="I885" s="11" t="s">
        <v>2598</v>
      </c>
    </row>
    <row r="886" spans="1:9" x14ac:dyDescent="0.15">
      <c r="A886" s="10">
        <v>885</v>
      </c>
      <c r="B886" s="11" t="s">
        <v>9</v>
      </c>
      <c r="C886" s="11" t="s">
        <v>152</v>
      </c>
      <c r="D886" s="11" t="s">
        <v>153</v>
      </c>
      <c r="E886" s="9" t="str">
        <f>+HYPERLINK("http://trademark.i-assist.jp/data/china/image_1906th/79757859.pdf", "79757859")</f>
        <v>79757859</v>
      </c>
      <c r="F886" s="11" t="s">
        <v>12</v>
      </c>
      <c r="G886" s="11" t="s">
        <v>2649</v>
      </c>
      <c r="H886" s="11" t="s">
        <v>2650</v>
      </c>
      <c r="I886" s="11" t="s">
        <v>2598</v>
      </c>
    </row>
    <row r="887" spans="1:9" x14ac:dyDescent="0.15">
      <c r="A887" s="10">
        <v>886</v>
      </c>
      <c r="B887" s="11" t="s">
        <v>9</v>
      </c>
      <c r="C887" s="11" t="s">
        <v>152</v>
      </c>
      <c r="D887" s="11" t="s">
        <v>153</v>
      </c>
      <c r="E887" s="9" t="str">
        <f>+HYPERLINK("http://trademark.i-assist.jp/data/china/image_1906th/79757962.pdf", "79757962")</f>
        <v>79757962</v>
      </c>
      <c r="F887" s="11" t="s">
        <v>2651</v>
      </c>
      <c r="G887" s="11" t="s">
        <v>2652</v>
      </c>
      <c r="H887" s="11" t="s">
        <v>2653</v>
      </c>
      <c r="I887" s="11" t="s">
        <v>2598</v>
      </c>
    </row>
    <row r="888" spans="1:9" x14ac:dyDescent="0.15">
      <c r="A888" s="10">
        <v>887</v>
      </c>
      <c r="B888" s="11" t="s">
        <v>9</v>
      </c>
      <c r="C888" s="11" t="s">
        <v>152</v>
      </c>
      <c r="D888" s="11" t="s">
        <v>153</v>
      </c>
      <c r="E888" s="9" t="str">
        <f>+HYPERLINK("http://trademark.i-assist.jp/data/china/image_1906th/79758310.pdf", "79758310")</f>
        <v>79758310</v>
      </c>
      <c r="F888" s="11" t="s">
        <v>2654</v>
      </c>
      <c r="G888" s="11" t="s">
        <v>2655</v>
      </c>
      <c r="H888" s="11" t="s">
        <v>2656</v>
      </c>
      <c r="I888" s="11" t="s">
        <v>2598</v>
      </c>
    </row>
    <row r="889" spans="1:9" x14ac:dyDescent="0.15">
      <c r="A889" s="10">
        <v>888</v>
      </c>
      <c r="B889" s="11" t="s">
        <v>9</v>
      </c>
      <c r="C889" s="11" t="s">
        <v>152</v>
      </c>
      <c r="D889" s="11" t="s">
        <v>153</v>
      </c>
      <c r="E889" s="9" t="str">
        <f>+HYPERLINK("http://trademark.i-assist.jp/data/china/image_1906th/79759461.pdf", "79759461")</f>
        <v>79759461</v>
      </c>
      <c r="F889" s="11" t="s">
        <v>2657</v>
      </c>
      <c r="G889" s="11" t="s">
        <v>2658</v>
      </c>
      <c r="H889" s="11" t="s">
        <v>2659</v>
      </c>
      <c r="I889" s="11" t="s">
        <v>2598</v>
      </c>
    </row>
    <row r="890" spans="1:9" x14ac:dyDescent="0.15">
      <c r="A890" s="10">
        <v>889</v>
      </c>
      <c r="B890" s="11" t="s">
        <v>9</v>
      </c>
      <c r="C890" s="11" t="s">
        <v>152</v>
      </c>
      <c r="D890" s="11" t="s">
        <v>153</v>
      </c>
      <c r="E890" s="9" t="str">
        <f>+HYPERLINK("http://trademark.i-assist.jp/data/china/image_1906th/79759623.pdf", "79759623")</f>
        <v>79759623</v>
      </c>
      <c r="F890" s="11" t="s">
        <v>2660</v>
      </c>
      <c r="G890" s="11" t="s">
        <v>2655</v>
      </c>
      <c r="H890" s="11" t="s">
        <v>2661</v>
      </c>
      <c r="I890" s="11" t="s">
        <v>2598</v>
      </c>
    </row>
    <row r="891" spans="1:9" x14ac:dyDescent="0.15">
      <c r="A891" s="10">
        <v>890</v>
      </c>
      <c r="B891" s="11" t="s">
        <v>9</v>
      </c>
      <c r="C891" s="11" t="s">
        <v>152</v>
      </c>
      <c r="D891" s="11" t="s">
        <v>153</v>
      </c>
      <c r="E891" s="9" t="str">
        <f>+HYPERLINK("http://trademark.i-assist.jp/data/china/image_1906th/79759812.pdf", "79759812")</f>
        <v>79759812</v>
      </c>
      <c r="F891" s="11" t="s">
        <v>2662</v>
      </c>
      <c r="G891" s="11" t="s">
        <v>2663</v>
      </c>
      <c r="H891" s="11" t="s">
        <v>2664</v>
      </c>
      <c r="I891" s="11" t="s">
        <v>2598</v>
      </c>
    </row>
    <row r="892" spans="1:9" x14ac:dyDescent="0.15">
      <c r="A892" s="10">
        <v>891</v>
      </c>
      <c r="B892" s="11" t="s">
        <v>9</v>
      </c>
      <c r="C892" s="11" t="s">
        <v>152</v>
      </c>
      <c r="D892" s="11" t="s">
        <v>153</v>
      </c>
      <c r="E892" s="9" t="str">
        <f>+HYPERLINK("http://trademark.i-assist.jp/data/china/image_1906th/79759826.pdf", "79759826")</f>
        <v>79759826</v>
      </c>
      <c r="F892" s="11" t="s">
        <v>2665</v>
      </c>
      <c r="G892" s="11" t="s">
        <v>2663</v>
      </c>
      <c r="H892" s="11" t="s">
        <v>2666</v>
      </c>
      <c r="I892" s="11" t="s">
        <v>2598</v>
      </c>
    </row>
    <row r="893" spans="1:9" x14ac:dyDescent="0.15">
      <c r="A893" s="10">
        <v>892</v>
      </c>
      <c r="B893" s="11" t="s">
        <v>9</v>
      </c>
      <c r="C893" s="11" t="s">
        <v>152</v>
      </c>
      <c r="D893" s="11" t="s">
        <v>153</v>
      </c>
      <c r="E893" s="9" t="str">
        <f>+HYPERLINK("http://trademark.i-assist.jp/data/china/image_1906th/79760108.pdf", "79760108")</f>
        <v>79760108</v>
      </c>
      <c r="F893" s="11" t="s">
        <v>2667</v>
      </c>
      <c r="G893" s="11" t="s">
        <v>2668</v>
      </c>
      <c r="H893" s="11" t="s">
        <v>2669</v>
      </c>
      <c r="I893" s="11" t="s">
        <v>2598</v>
      </c>
    </row>
    <row r="894" spans="1:9" x14ac:dyDescent="0.15">
      <c r="A894" s="10">
        <v>893</v>
      </c>
      <c r="B894" s="11" t="s">
        <v>9</v>
      </c>
      <c r="C894" s="11" t="s">
        <v>152</v>
      </c>
      <c r="D894" s="11" t="s">
        <v>153</v>
      </c>
      <c r="E894" s="9" t="str">
        <f>+HYPERLINK("http://trademark.i-assist.jp/data/china/image_1906th/79760181.pdf", "79760181")</f>
        <v>79760181</v>
      </c>
      <c r="F894" s="11" t="s">
        <v>2670</v>
      </c>
      <c r="G894" s="11" t="s">
        <v>2671</v>
      </c>
      <c r="H894" s="11" t="s">
        <v>2672</v>
      </c>
      <c r="I894" s="11" t="s">
        <v>2598</v>
      </c>
    </row>
    <row r="895" spans="1:9" x14ac:dyDescent="0.15">
      <c r="A895" s="10">
        <v>894</v>
      </c>
      <c r="B895" s="11" t="s">
        <v>9</v>
      </c>
      <c r="C895" s="11" t="s">
        <v>152</v>
      </c>
      <c r="D895" s="11" t="s">
        <v>153</v>
      </c>
      <c r="E895" s="9" t="str">
        <f>+HYPERLINK("http://trademark.i-assist.jp/data/china/image_1906th/79760269.pdf", "79760269")</f>
        <v>79760269</v>
      </c>
      <c r="F895" s="11" t="s">
        <v>2673</v>
      </c>
      <c r="G895" s="11" t="s">
        <v>2674</v>
      </c>
      <c r="H895" s="11" t="s">
        <v>2675</v>
      </c>
      <c r="I895" s="11" t="s">
        <v>2598</v>
      </c>
    </row>
    <row r="896" spans="1:9" x14ac:dyDescent="0.15">
      <c r="A896" s="10">
        <v>895</v>
      </c>
      <c r="B896" s="11" t="s">
        <v>9</v>
      </c>
      <c r="C896" s="11" t="s">
        <v>152</v>
      </c>
      <c r="D896" s="11" t="s">
        <v>153</v>
      </c>
      <c r="E896" s="9" t="str">
        <f>+HYPERLINK("http://trademark.i-assist.jp/data/china/image_1906th/79761205.pdf", "79761205")</f>
        <v>79761205</v>
      </c>
      <c r="F896" s="11" t="s">
        <v>2676</v>
      </c>
      <c r="G896" s="11" t="s">
        <v>2677</v>
      </c>
      <c r="H896" s="11" t="s">
        <v>2678</v>
      </c>
      <c r="I896" s="11" t="s">
        <v>2598</v>
      </c>
    </row>
    <row r="897" spans="1:9" x14ac:dyDescent="0.15">
      <c r="A897" s="10">
        <v>896</v>
      </c>
      <c r="B897" s="11" t="s">
        <v>9</v>
      </c>
      <c r="C897" s="11" t="s">
        <v>152</v>
      </c>
      <c r="D897" s="11" t="s">
        <v>153</v>
      </c>
      <c r="E897" s="9" t="str">
        <f>+HYPERLINK("http://trademark.i-assist.jp/data/china/image_1906th/79761386.pdf", "79761386")</f>
        <v>79761386</v>
      </c>
      <c r="F897" s="11" t="s">
        <v>2679</v>
      </c>
      <c r="G897" s="11" t="s">
        <v>2680</v>
      </c>
      <c r="H897" s="11" t="s">
        <v>2681</v>
      </c>
      <c r="I897" s="11" t="s">
        <v>2598</v>
      </c>
    </row>
    <row r="898" spans="1:9" x14ac:dyDescent="0.15">
      <c r="A898" s="10">
        <v>897</v>
      </c>
      <c r="B898" s="11" t="s">
        <v>9</v>
      </c>
      <c r="C898" s="11" t="s">
        <v>152</v>
      </c>
      <c r="D898" s="11" t="s">
        <v>153</v>
      </c>
      <c r="E898" s="9" t="str">
        <f>+HYPERLINK("http://trademark.i-assist.jp/data/china/image_1906th/79762291.pdf", "79762291")</f>
        <v>79762291</v>
      </c>
      <c r="F898" s="11" t="s">
        <v>2682</v>
      </c>
      <c r="G898" s="11" t="s">
        <v>2683</v>
      </c>
      <c r="H898" s="11" t="s">
        <v>2684</v>
      </c>
      <c r="I898" s="11" t="s">
        <v>2598</v>
      </c>
    </row>
    <row r="899" spans="1:9" x14ac:dyDescent="0.15">
      <c r="A899" s="10">
        <v>898</v>
      </c>
      <c r="B899" s="11" t="s">
        <v>9</v>
      </c>
      <c r="C899" s="11" t="s">
        <v>152</v>
      </c>
      <c r="D899" s="11" t="s">
        <v>153</v>
      </c>
      <c r="E899" s="9" t="str">
        <f>+HYPERLINK("http://trademark.i-assist.jp/data/china/image_1906th/79762860.pdf", "79762860")</f>
        <v>79762860</v>
      </c>
      <c r="F899" s="11" t="s">
        <v>2685</v>
      </c>
      <c r="G899" s="11" t="s">
        <v>2686</v>
      </c>
      <c r="H899" s="11" t="s">
        <v>2687</v>
      </c>
      <c r="I899" s="11" t="s">
        <v>2598</v>
      </c>
    </row>
    <row r="900" spans="1:9" x14ac:dyDescent="0.15">
      <c r="A900" s="10">
        <v>899</v>
      </c>
      <c r="B900" s="11" t="s">
        <v>9</v>
      </c>
      <c r="C900" s="11" t="s">
        <v>152</v>
      </c>
      <c r="D900" s="11" t="s">
        <v>153</v>
      </c>
      <c r="E900" s="9" t="str">
        <f>+HYPERLINK("http://trademark.i-assist.jp/data/china/image_1906th/79763132.pdf", "79763132")</f>
        <v>79763132</v>
      </c>
      <c r="F900" s="11" t="s">
        <v>2688</v>
      </c>
      <c r="G900" s="11" t="s">
        <v>2689</v>
      </c>
      <c r="H900" s="11" t="s">
        <v>2690</v>
      </c>
      <c r="I900" s="11" t="s">
        <v>2598</v>
      </c>
    </row>
    <row r="901" spans="1:9" x14ac:dyDescent="0.15">
      <c r="A901" s="10">
        <v>900</v>
      </c>
      <c r="B901" s="11" t="s">
        <v>9</v>
      </c>
      <c r="C901" s="11" t="s">
        <v>152</v>
      </c>
      <c r="D901" s="11" t="s">
        <v>153</v>
      </c>
      <c r="E901" s="9" t="str">
        <f>+HYPERLINK("http://trademark.i-assist.jp/data/china/image_1906th/79763191.pdf", "79763191")</f>
        <v>79763191</v>
      </c>
      <c r="F901" s="11" t="s">
        <v>2691</v>
      </c>
      <c r="G901" s="11" t="s">
        <v>2655</v>
      </c>
      <c r="H901" s="11" t="s">
        <v>2692</v>
      </c>
      <c r="I901" s="11" t="s">
        <v>2598</v>
      </c>
    </row>
    <row r="902" spans="1:9" x14ac:dyDescent="0.15">
      <c r="A902" s="10">
        <v>901</v>
      </c>
      <c r="B902" s="11" t="s">
        <v>9</v>
      </c>
      <c r="C902" s="11" t="s">
        <v>152</v>
      </c>
      <c r="D902" s="11" t="s">
        <v>153</v>
      </c>
      <c r="E902" s="9" t="str">
        <f>+HYPERLINK("http://trademark.i-assist.jp/data/china/image_1906th/79763509.pdf", "79763509")</f>
        <v>79763509</v>
      </c>
      <c r="F902" s="11" t="s">
        <v>2693</v>
      </c>
      <c r="G902" s="11" t="s">
        <v>2694</v>
      </c>
      <c r="H902" s="11" t="s">
        <v>2695</v>
      </c>
      <c r="I902" s="11" t="s">
        <v>2598</v>
      </c>
    </row>
    <row r="903" spans="1:9" x14ac:dyDescent="0.15">
      <c r="A903" s="10">
        <v>902</v>
      </c>
      <c r="B903" s="11" t="s">
        <v>9</v>
      </c>
      <c r="C903" s="11" t="s">
        <v>152</v>
      </c>
      <c r="D903" s="11" t="s">
        <v>153</v>
      </c>
      <c r="E903" s="9" t="str">
        <f>+HYPERLINK("http://trademark.i-assist.jp/data/china/image_1906th/79763533.pdf", "79763533")</f>
        <v>79763533</v>
      </c>
      <c r="F903" s="11" t="s">
        <v>2696</v>
      </c>
      <c r="G903" s="11" t="s">
        <v>2671</v>
      </c>
      <c r="H903" s="11" t="s">
        <v>2697</v>
      </c>
      <c r="I903" s="11" t="s">
        <v>2598</v>
      </c>
    </row>
    <row r="904" spans="1:9" x14ac:dyDescent="0.15">
      <c r="A904" s="10">
        <v>903</v>
      </c>
      <c r="B904" s="11" t="s">
        <v>9</v>
      </c>
      <c r="C904" s="11" t="s">
        <v>152</v>
      </c>
      <c r="D904" s="11" t="s">
        <v>153</v>
      </c>
      <c r="E904" s="9" t="str">
        <f>+HYPERLINK("http://trademark.i-assist.jp/data/china/image_1906th/79763792.pdf", "79763792")</f>
        <v>79763792</v>
      </c>
      <c r="F904" s="11" t="s">
        <v>2698</v>
      </c>
      <c r="G904" s="11" t="s">
        <v>2699</v>
      </c>
      <c r="H904" s="11" t="s">
        <v>2700</v>
      </c>
      <c r="I904" s="11" t="s">
        <v>2598</v>
      </c>
    </row>
    <row r="905" spans="1:9" x14ac:dyDescent="0.15">
      <c r="A905" s="10">
        <v>904</v>
      </c>
      <c r="B905" s="11" t="s">
        <v>9</v>
      </c>
      <c r="C905" s="11" t="s">
        <v>152</v>
      </c>
      <c r="D905" s="11" t="s">
        <v>153</v>
      </c>
      <c r="E905" s="9" t="str">
        <f>+HYPERLINK("http://trademark.i-assist.jp/data/china/image_1906th/79764424.pdf", "79764424")</f>
        <v>79764424</v>
      </c>
      <c r="F905" s="11" t="s">
        <v>2701</v>
      </c>
      <c r="G905" s="11" t="s">
        <v>2702</v>
      </c>
      <c r="H905" s="11" t="s">
        <v>2703</v>
      </c>
      <c r="I905" s="11" t="s">
        <v>2598</v>
      </c>
    </row>
    <row r="906" spans="1:9" x14ac:dyDescent="0.15">
      <c r="A906" s="10">
        <v>905</v>
      </c>
      <c r="B906" s="11" t="s">
        <v>9</v>
      </c>
      <c r="C906" s="11" t="s">
        <v>152</v>
      </c>
      <c r="D906" s="11" t="s">
        <v>153</v>
      </c>
      <c r="E906" s="9" t="str">
        <f>+HYPERLINK("http://trademark.i-assist.jp/data/china/image_1906th/79764489.pdf", "79764489")</f>
        <v>79764489</v>
      </c>
      <c r="F906" s="11" t="s">
        <v>2704</v>
      </c>
      <c r="G906" s="11" t="s">
        <v>2658</v>
      </c>
      <c r="H906" s="11" t="s">
        <v>2705</v>
      </c>
      <c r="I906" s="11" t="s">
        <v>2598</v>
      </c>
    </row>
    <row r="907" spans="1:9" x14ac:dyDescent="0.15">
      <c r="A907" s="10">
        <v>906</v>
      </c>
      <c r="B907" s="11" t="s">
        <v>9</v>
      </c>
      <c r="C907" s="11" t="s">
        <v>152</v>
      </c>
      <c r="D907" s="11" t="s">
        <v>153</v>
      </c>
      <c r="E907" s="9" t="str">
        <f>+HYPERLINK("http://trademark.i-assist.jp/data/china/image_1906th/79764751.pdf", "79764751")</f>
        <v>79764751</v>
      </c>
      <c r="F907" s="11" t="s">
        <v>2706</v>
      </c>
      <c r="G907" s="11" t="s">
        <v>2707</v>
      </c>
      <c r="H907" s="11" t="s">
        <v>2708</v>
      </c>
      <c r="I907" s="11" t="s">
        <v>2598</v>
      </c>
    </row>
    <row r="908" spans="1:9" x14ac:dyDescent="0.15">
      <c r="A908" s="10">
        <v>907</v>
      </c>
      <c r="B908" s="11" t="s">
        <v>9</v>
      </c>
      <c r="C908" s="11" t="s">
        <v>152</v>
      </c>
      <c r="D908" s="11" t="s">
        <v>153</v>
      </c>
      <c r="E908" s="9" t="str">
        <f>+HYPERLINK("http://trademark.i-assist.jp/data/china/image_1906th/79765503.pdf", "79765503")</f>
        <v>79765503</v>
      </c>
      <c r="F908" s="11" t="s">
        <v>2709</v>
      </c>
      <c r="G908" s="11" t="s">
        <v>2710</v>
      </c>
      <c r="H908" s="11" t="s">
        <v>2711</v>
      </c>
      <c r="I908" s="11" t="s">
        <v>2598</v>
      </c>
    </row>
    <row r="909" spans="1:9" x14ac:dyDescent="0.15">
      <c r="A909" s="10">
        <v>908</v>
      </c>
      <c r="B909" s="11" t="s">
        <v>9</v>
      </c>
      <c r="C909" s="11" t="s">
        <v>152</v>
      </c>
      <c r="D909" s="11" t="s">
        <v>153</v>
      </c>
      <c r="E909" s="9" t="str">
        <f>+HYPERLINK("http://trademark.i-assist.jp/data/china/image_1906th/79766235.pdf", "79766235")</f>
        <v>79766235</v>
      </c>
      <c r="F909" s="11" t="s">
        <v>2712</v>
      </c>
      <c r="G909" s="11" t="s">
        <v>2713</v>
      </c>
      <c r="H909" s="11" t="s">
        <v>2714</v>
      </c>
      <c r="I909" s="11" t="s">
        <v>2598</v>
      </c>
    </row>
    <row r="910" spans="1:9" x14ac:dyDescent="0.15">
      <c r="A910" s="10">
        <v>909</v>
      </c>
      <c r="B910" s="11" t="s">
        <v>9</v>
      </c>
      <c r="C910" s="11" t="s">
        <v>152</v>
      </c>
      <c r="D910" s="11" t="s">
        <v>153</v>
      </c>
      <c r="E910" s="9" t="str">
        <f>+HYPERLINK("http://trademark.i-assist.jp/data/china/image_1906th/79766304.pdf", "79766304")</f>
        <v>79766304</v>
      </c>
      <c r="F910" s="11" t="s">
        <v>2715</v>
      </c>
      <c r="G910" s="11" t="s">
        <v>149</v>
      </c>
      <c r="H910" s="11" t="s">
        <v>2716</v>
      </c>
      <c r="I910" s="11" t="s">
        <v>2598</v>
      </c>
    </row>
    <row r="911" spans="1:9" x14ac:dyDescent="0.15">
      <c r="A911" s="10">
        <v>910</v>
      </c>
      <c r="B911" s="11" t="s">
        <v>9</v>
      </c>
      <c r="C911" s="11" t="s">
        <v>152</v>
      </c>
      <c r="D911" s="11" t="s">
        <v>153</v>
      </c>
      <c r="E911" s="9" t="str">
        <f>+HYPERLINK("http://trademark.i-assist.jp/data/china/image_1906th/79766676.pdf", "79766676")</f>
        <v>79766676</v>
      </c>
      <c r="F911" s="11" t="s">
        <v>2717</v>
      </c>
      <c r="G911" s="11" t="s">
        <v>2718</v>
      </c>
      <c r="H911" s="11" t="s">
        <v>2719</v>
      </c>
      <c r="I911" s="11" t="s">
        <v>2598</v>
      </c>
    </row>
    <row r="912" spans="1:9" x14ac:dyDescent="0.15">
      <c r="A912" s="10">
        <v>911</v>
      </c>
      <c r="B912" s="11" t="s">
        <v>9</v>
      </c>
      <c r="C912" s="11" t="s">
        <v>152</v>
      </c>
      <c r="D912" s="11" t="s">
        <v>153</v>
      </c>
      <c r="E912" s="9" t="str">
        <f>+HYPERLINK("http://trademark.i-assist.jp/data/china/image_1906th/79766708.pdf", "79766708")</f>
        <v>79766708</v>
      </c>
      <c r="F912" s="11" t="s">
        <v>2720</v>
      </c>
      <c r="G912" s="11" t="s">
        <v>2721</v>
      </c>
      <c r="H912" s="11" t="s">
        <v>2722</v>
      </c>
      <c r="I912" s="11" t="s">
        <v>2598</v>
      </c>
    </row>
    <row r="913" spans="1:9" x14ac:dyDescent="0.15">
      <c r="A913" s="10">
        <v>912</v>
      </c>
      <c r="B913" s="11" t="s">
        <v>9</v>
      </c>
      <c r="C913" s="11" t="s">
        <v>152</v>
      </c>
      <c r="D913" s="11" t="s">
        <v>153</v>
      </c>
      <c r="E913" s="9" t="str">
        <f>+HYPERLINK("http://trademark.i-assist.jp/data/china/image_1906th/79766943.pdf", "79766943")</f>
        <v>79766943</v>
      </c>
      <c r="F913" s="11" t="s">
        <v>2723</v>
      </c>
      <c r="G913" s="11" t="s">
        <v>2724</v>
      </c>
      <c r="H913" s="11" t="s">
        <v>2725</v>
      </c>
      <c r="I913" s="11" t="s">
        <v>2598</v>
      </c>
    </row>
    <row r="914" spans="1:9" x14ac:dyDescent="0.15">
      <c r="A914" s="10">
        <v>913</v>
      </c>
      <c r="B914" s="11" t="s">
        <v>9</v>
      </c>
      <c r="C914" s="11" t="s">
        <v>152</v>
      </c>
      <c r="D914" s="11" t="s">
        <v>153</v>
      </c>
      <c r="E914" s="9" t="str">
        <f>+HYPERLINK("http://trademark.i-assist.jp/data/china/image_1906th/79767115.pdf", "79767115")</f>
        <v>79767115</v>
      </c>
      <c r="F914" s="11" t="s">
        <v>2726</v>
      </c>
      <c r="G914" s="11" t="s">
        <v>2727</v>
      </c>
      <c r="H914" s="11" t="s">
        <v>2728</v>
      </c>
      <c r="I914" s="11" t="s">
        <v>2598</v>
      </c>
    </row>
    <row r="915" spans="1:9" x14ac:dyDescent="0.15">
      <c r="A915" s="10">
        <v>914</v>
      </c>
      <c r="B915" s="11" t="s">
        <v>9</v>
      </c>
      <c r="C915" s="11" t="s">
        <v>152</v>
      </c>
      <c r="D915" s="11" t="s">
        <v>153</v>
      </c>
      <c r="E915" s="9" t="str">
        <f>+HYPERLINK("http://trademark.i-assist.jp/data/china/image_1906th/79767807.pdf", "79767807")</f>
        <v>79767807</v>
      </c>
      <c r="F915" s="11" t="s">
        <v>2729</v>
      </c>
      <c r="G915" s="11" t="s">
        <v>128</v>
      </c>
      <c r="H915" s="11" t="s">
        <v>2730</v>
      </c>
      <c r="I915" s="11" t="s">
        <v>2598</v>
      </c>
    </row>
    <row r="916" spans="1:9" x14ac:dyDescent="0.15">
      <c r="A916" s="10">
        <v>915</v>
      </c>
      <c r="B916" s="11" t="s">
        <v>9</v>
      </c>
      <c r="C916" s="11" t="s">
        <v>152</v>
      </c>
      <c r="D916" s="11" t="s">
        <v>153</v>
      </c>
      <c r="E916" s="9" t="str">
        <f>+HYPERLINK("http://trademark.i-assist.jp/data/china/image_1906th/79768360.pdf", "79768360")</f>
        <v>79768360</v>
      </c>
      <c r="F916" s="11" t="s">
        <v>2731</v>
      </c>
      <c r="G916" s="11" t="s">
        <v>2732</v>
      </c>
      <c r="H916" s="11" t="s">
        <v>2733</v>
      </c>
      <c r="I916" s="11" t="s">
        <v>2598</v>
      </c>
    </row>
    <row r="917" spans="1:9" x14ac:dyDescent="0.15">
      <c r="A917" s="10">
        <v>916</v>
      </c>
      <c r="B917" s="11" t="s">
        <v>9</v>
      </c>
      <c r="C917" s="11" t="s">
        <v>152</v>
      </c>
      <c r="D917" s="11" t="s">
        <v>153</v>
      </c>
      <c r="E917" s="9" t="str">
        <f>+HYPERLINK("http://trademark.i-assist.jp/data/china/image_1906th/79768729.pdf", "79768729")</f>
        <v>79768729</v>
      </c>
      <c r="F917" s="11" t="s">
        <v>2734</v>
      </c>
      <c r="G917" s="11" t="s">
        <v>2735</v>
      </c>
      <c r="H917" s="11" t="s">
        <v>2736</v>
      </c>
      <c r="I917" s="11" t="s">
        <v>2598</v>
      </c>
    </row>
    <row r="918" spans="1:9" x14ac:dyDescent="0.15">
      <c r="A918" s="10">
        <v>917</v>
      </c>
      <c r="B918" s="11" t="s">
        <v>9</v>
      </c>
      <c r="C918" s="11" t="s">
        <v>152</v>
      </c>
      <c r="D918" s="11" t="s">
        <v>153</v>
      </c>
      <c r="E918" s="9" t="str">
        <f>+HYPERLINK("http://trademark.i-assist.jp/data/china/image_1906th/79768793.pdf", "79768793")</f>
        <v>79768793</v>
      </c>
      <c r="F918" s="11" t="s">
        <v>2737</v>
      </c>
      <c r="G918" s="11" t="s">
        <v>2738</v>
      </c>
      <c r="H918" s="11" t="s">
        <v>2739</v>
      </c>
      <c r="I918" s="11" t="s">
        <v>2598</v>
      </c>
    </row>
    <row r="919" spans="1:9" x14ac:dyDescent="0.15">
      <c r="A919" s="10">
        <v>918</v>
      </c>
      <c r="B919" s="11" t="s">
        <v>9</v>
      </c>
      <c r="C919" s="11" t="s">
        <v>152</v>
      </c>
      <c r="D919" s="11" t="s">
        <v>153</v>
      </c>
      <c r="E919" s="9" t="str">
        <f>+HYPERLINK("http://trademark.i-assist.jp/data/china/image_1906th/79769098.pdf", "79769098")</f>
        <v>79769098</v>
      </c>
      <c r="F919" s="11" t="s">
        <v>2740</v>
      </c>
      <c r="G919" s="11" t="s">
        <v>2713</v>
      </c>
      <c r="H919" s="11" t="s">
        <v>2741</v>
      </c>
      <c r="I919" s="11" t="s">
        <v>2598</v>
      </c>
    </row>
    <row r="920" spans="1:9" x14ac:dyDescent="0.15">
      <c r="A920" s="10">
        <v>919</v>
      </c>
      <c r="B920" s="11" t="s">
        <v>9</v>
      </c>
      <c r="C920" s="11" t="s">
        <v>152</v>
      </c>
      <c r="D920" s="11" t="s">
        <v>153</v>
      </c>
      <c r="E920" s="9" t="str">
        <f>+HYPERLINK("http://trademark.i-assist.jp/data/china/image_1906th/79769825.pdf", "79769825")</f>
        <v>79769825</v>
      </c>
      <c r="F920" s="11" t="s">
        <v>2742</v>
      </c>
      <c r="G920" s="11" t="s">
        <v>2743</v>
      </c>
      <c r="H920" s="11" t="s">
        <v>2744</v>
      </c>
      <c r="I920" s="11" t="s">
        <v>2598</v>
      </c>
    </row>
    <row r="921" spans="1:9" x14ac:dyDescent="0.15">
      <c r="A921" s="10">
        <v>920</v>
      </c>
      <c r="B921" s="11" t="s">
        <v>9</v>
      </c>
      <c r="C921" s="11" t="s">
        <v>152</v>
      </c>
      <c r="D921" s="11" t="s">
        <v>153</v>
      </c>
      <c r="E921" s="9" t="str">
        <f>+HYPERLINK("http://trademark.i-assist.jp/data/china/image_1906th/79770703.pdf", "79770703")</f>
        <v>79770703</v>
      </c>
      <c r="F921" s="11" t="s">
        <v>2745</v>
      </c>
      <c r="G921" s="11" t="s">
        <v>2746</v>
      </c>
      <c r="H921" s="11" t="s">
        <v>2747</v>
      </c>
      <c r="I921" s="11" t="s">
        <v>2598</v>
      </c>
    </row>
    <row r="922" spans="1:9" x14ac:dyDescent="0.15">
      <c r="A922" s="10">
        <v>921</v>
      </c>
      <c r="B922" s="11" t="s">
        <v>9</v>
      </c>
      <c r="C922" s="11" t="s">
        <v>152</v>
      </c>
      <c r="D922" s="11" t="s">
        <v>153</v>
      </c>
      <c r="E922" s="9" t="str">
        <f>+HYPERLINK("http://trademark.i-assist.jp/data/china/image_1906th/79771104.pdf", "79771104")</f>
        <v>79771104</v>
      </c>
      <c r="F922" s="11" t="s">
        <v>2748</v>
      </c>
      <c r="G922" s="11" t="s">
        <v>2749</v>
      </c>
      <c r="H922" s="11" t="s">
        <v>2750</v>
      </c>
      <c r="I922" s="11" t="s">
        <v>2598</v>
      </c>
    </row>
    <row r="923" spans="1:9" x14ac:dyDescent="0.15">
      <c r="A923" s="10">
        <v>922</v>
      </c>
      <c r="B923" s="11" t="s">
        <v>9</v>
      </c>
      <c r="C923" s="11" t="s">
        <v>152</v>
      </c>
      <c r="D923" s="11" t="s">
        <v>153</v>
      </c>
      <c r="E923" s="9" t="str">
        <f>+HYPERLINK("http://trademark.i-assist.jp/data/china/image_1906th/79771190.pdf", "79771190")</f>
        <v>79771190</v>
      </c>
      <c r="F923" s="11" t="s">
        <v>2751</v>
      </c>
      <c r="G923" s="11" t="s">
        <v>2752</v>
      </c>
      <c r="H923" s="11" t="s">
        <v>2753</v>
      </c>
      <c r="I923" s="11" t="s">
        <v>2598</v>
      </c>
    </row>
    <row r="924" spans="1:9" x14ac:dyDescent="0.15">
      <c r="A924" s="10">
        <v>923</v>
      </c>
      <c r="B924" s="11" t="s">
        <v>9</v>
      </c>
      <c r="C924" s="11" t="s">
        <v>152</v>
      </c>
      <c r="D924" s="11" t="s">
        <v>153</v>
      </c>
      <c r="E924" s="9" t="str">
        <f>+HYPERLINK("http://trademark.i-assist.jp/data/china/image_1906th/79771325.pdf", "79771325")</f>
        <v>79771325</v>
      </c>
      <c r="F924" s="11" t="s">
        <v>2754</v>
      </c>
      <c r="G924" s="11" t="s">
        <v>2755</v>
      </c>
      <c r="H924" s="11" t="s">
        <v>2756</v>
      </c>
      <c r="I924" s="11" t="s">
        <v>2598</v>
      </c>
    </row>
    <row r="925" spans="1:9" x14ac:dyDescent="0.15">
      <c r="A925" s="10">
        <v>924</v>
      </c>
      <c r="B925" s="11" t="s">
        <v>9</v>
      </c>
      <c r="C925" s="11" t="s">
        <v>152</v>
      </c>
      <c r="D925" s="11" t="s">
        <v>153</v>
      </c>
      <c r="E925" s="9" t="str">
        <f>+HYPERLINK("http://trademark.i-assist.jp/data/china/image_1906th/79771608.pdf", "79771608")</f>
        <v>79771608</v>
      </c>
      <c r="F925" s="11" t="s">
        <v>2757</v>
      </c>
      <c r="G925" s="11" t="s">
        <v>2758</v>
      </c>
      <c r="H925" s="11" t="s">
        <v>2759</v>
      </c>
      <c r="I925" s="11" t="s">
        <v>2598</v>
      </c>
    </row>
    <row r="926" spans="1:9" x14ac:dyDescent="0.15">
      <c r="A926" s="10">
        <v>925</v>
      </c>
      <c r="B926" s="11" t="s">
        <v>9</v>
      </c>
      <c r="C926" s="11" t="s">
        <v>152</v>
      </c>
      <c r="D926" s="11" t="s">
        <v>153</v>
      </c>
      <c r="E926" s="9" t="str">
        <f>+HYPERLINK("http://trademark.i-assist.jp/data/china/image_1906th/79772012.pdf", "79772012")</f>
        <v>79772012</v>
      </c>
      <c r="F926" s="11" t="s">
        <v>2760</v>
      </c>
      <c r="G926" s="11" t="s">
        <v>2761</v>
      </c>
      <c r="H926" s="11" t="s">
        <v>2762</v>
      </c>
      <c r="I926" s="11" t="s">
        <v>2598</v>
      </c>
    </row>
    <row r="927" spans="1:9" x14ac:dyDescent="0.15">
      <c r="A927" s="10">
        <v>926</v>
      </c>
      <c r="B927" s="11" t="s">
        <v>9</v>
      </c>
      <c r="C927" s="11" t="s">
        <v>152</v>
      </c>
      <c r="D927" s="11" t="s">
        <v>153</v>
      </c>
      <c r="E927" s="9" t="str">
        <f>+HYPERLINK("http://trademark.i-assist.jp/data/china/image_1906th/79772374.pdf", "79772374")</f>
        <v>79772374</v>
      </c>
      <c r="F927" s="11" t="s">
        <v>2763</v>
      </c>
      <c r="G927" s="11" t="s">
        <v>2764</v>
      </c>
      <c r="H927" s="11" t="s">
        <v>2765</v>
      </c>
      <c r="I927" s="11" t="s">
        <v>2598</v>
      </c>
    </row>
    <row r="928" spans="1:9" x14ac:dyDescent="0.15">
      <c r="A928" s="10">
        <v>927</v>
      </c>
      <c r="B928" s="11" t="s">
        <v>9</v>
      </c>
      <c r="C928" s="11" t="s">
        <v>152</v>
      </c>
      <c r="D928" s="11" t="s">
        <v>153</v>
      </c>
      <c r="E928" s="9" t="str">
        <f>+HYPERLINK("http://trademark.i-assist.jp/data/china/image_1906th/79772380.pdf", "79772380")</f>
        <v>79772380</v>
      </c>
      <c r="F928" s="11" t="s">
        <v>2766</v>
      </c>
      <c r="G928" s="11" t="s">
        <v>2767</v>
      </c>
      <c r="H928" s="11" t="s">
        <v>2768</v>
      </c>
      <c r="I928" s="11" t="s">
        <v>2598</v>
      </c>
    </row>
    <row r="929" spans="1:9" x14ac:dyDescent="0.15">
      <c r="A929" s="10">
        <v>928</v>
      </c>
      <c r="B929" s="11" t="s">
        <v>9</v>
      </c>
      <c r="C929" s="11" t="s">
        <v>152</v>
      </c>
      <c r="D929" s="11" t="s">
        <v>153</v>
      </c>
      <c r="E929" s="9" t="str">
        <f>+HYPERLINK("http://trademark.i-assist.jp/data/china/image_1906th/79772381.pdf", "79772381")</f>
        <v>79772381</v>
      </c>
      <c r="F929" s="11" t="s">
        <v>2769</v>
      </c>
      <c r="G929" s="11" t="s">
        <v>2764</v>
      </c>
      <c r="H929" s="11" t="s">
        <v>2770</v>
      </c>
      <c r="I929" s="11" t="s">
        <v>2598</v>
      </c>
    </row>
    <row r="930" spans="1:9" x14ac:dyDescent="0.15">
      <c r="A930" s="10">
        <v>929</v>
      </c>
      <c r="B930" s="11" t="s">
        <v>9</v>
      </c>
      <c r="C930" s="11" t="s">
        <v>152</v>
      </c>
      <c r="D930" s="11" t="s">
        <v>153</v>
      </c>
      <c r="E930" s="9" t="str">
        <f>+HYPERLINK("http://trademark.i-assist.jp/data/china/image_1906th/79772766.pdf", "79772766")</f>
        <v>79772766</v>
      </c>
      <c r="F930" s="11" t="s">
        <v>2771</v>
      </c>
      <c r="G930" s="11" t="s">
        <v>2772</v>
      </c>
      <c r="H930" s="11" t="s">
        <v>2773</v>
      </c>
      <c r="I930" s="11" t="s">
        <v>2598</v>
      </c>
    </row>
    <row r="931" spans="1:9" x14ac:dyDescent="0.15">
      <c r="A931" s="10">
        <v>930</v>
      </c>
      <c r="B931" s="11" t="s">
        <v>9</v>
      </c>
      <c r="C931" s="11" t="s">
        <v>152</v>
      </c>
      <c r="D931" s="11" t="s">
        <v>153</v>
      </c>
      <c r="E931" s="9" t="str">
        <f>+HYPERLINK("http://trademark.i-assist.jp/data/china/image_1906th/79772923.pdf", "79772923")</f>
        <v>79772923</v>
      </c>
      <c r="F931" s="11" t="s">
        <v>2774</v>
      </c>
      <c r="G931" s="11" t="s">
        <v>2775</v>
      </c>
      <c r="H931" s="11" t="s">
        <v>2776</v>
      </c>
      <c r="I931" s="11" t="s">
        <v>2598</v>
      </c>
    </row>
    <row r="932" spans="1:9" x14ac:dyDescent="0.15">
      <c r="A932" s="10">
        <v>931</v>
      </c>
      <c r="B932" s="11" t="s">
        <v>9</v>
      </c>
      <c r="C932" s="11" t="s">
        <v>152</v>
      </c>
      <c r="D932" s="11" t="s">
        <v>153</v>
      </c>
      <c r="E932" s="9" t="str">
        <f>+HYPERLINK("http://trademark.i-assist.jp/data/china/image_1906th/79773257.pdf", "79773257")</f>
        <v>79773257</v>
      </c>
      <c r="F932" s="11" t="s">
        <v>2777</v>
      </c>
      <c r="G932" s="11" t="s">
        <v>2778</v>
      </c>
      <c r="H932" s="11" t="s">
        <v>2779</v>
      </c>
      <c r="I932" s="11" t="s">
        <v>2598</v>
      </c>
    </row>
    <row r="933" spans="1:9" x14ac:dyDescent="0.15">
      <c r="A933" s="10">
        <v>932</v>
      </c>
      <c r="B933" s="11" t="s">
        <v>9</v>
      </c>
      <c r="C933" s="11" t="s">
        <v>152</v>
      </c>
      <c r="D933" s="11" t="s">
        <v>153</v>
      </c>
      <c r="E933" s="9" t="str">
        <f>+HYPERLINK("http://trademark.i-assist.jp/data/china/image_1906th/79773613.pdf", "79773613")</f>
        <v>79773613</v>
      </c>
      <c r="F933" s="11" t="s">
        <v>2780</v>
      </c>
      <c r="G933" s="11" t="s">
        <v>2781</v>
      </c>
      <c r="H933" s="11" t="s">
        <v>2782</v>
      </c>
      <c r="I933" s="11" t="s">
        <v>2598</v>
      </c>
    </row>
    <row r="934" spans="1:9" x14ac:dyDescent="0.15">
      <c r="A934" s="10">
        <v>933</v>
      </c>
      <c r="B934" s="11" t="s">
        <v>9</v>
      </c>
      <c r="C934" s="11" t="s">
        <v>152</v>
      </c>
      <c r="D934" s="11" t="s">
        <v>153</v>
      </c>
      <c r="E934" s="9" t="str">
        <f>+HYPERLINK("http://trademark.i-assist.jp/data/china/image_1906th/79773860.pdf", "79773860")</f>
        <v>79773860</v>
      </c>
      <c r="F934" s="11" t="s">
        <v>12</v>
      </c>
      <c r="G934" s="11" t="s">
        <v>2783</v>
      </c>
      <c r="H934" s="11" t="s">
        <v>2784</v>
      </c>
      <c r="I934" s="11" t="s">
        <v>2598</v>
      </c>
    </row>
    <row r="935" spans="1:9" x14ac:dyDescent="0.15">
      <c r="A935" s="10">
        <v>934</v>
      </c>
      <c r="B935" s="11" t="s">
        <v>9</v>
      </c>
      <c r="C935" s="11" t="s">
        <v>152</v>
      </c>
      <c r="D935" s="11" t="s">
        <v>153</v>
      </c>
      <c r="E935" s="9" t="str">
        <f>+HYPERLINK("http://trademark.i-assist.jp/data/china/image_1906th/79774018.pdf", "79774018")</f>
        <v>79774018</v>
      </c>
      <c r="F935" s="11" t="s">
        <v>2785</v>
      </c>
      <c r="G935" s="11" t="s">
        <v>2786</v>
      </c>
      <c r="H935" s="11" t="s">
        <v>2787</v>
      </c>
      <c r="I935" s="11" t="s">
        <v>2598</v>
      </c>
    </row>
    <row r="936" spans="1:9" x14ac:dyDescent="0.15">
      <c r="A936" s="10">
        <v>935</v>
      </c>
      <c r="B936" s="11" t="s">
        <v>9</v>
      </c>
      <c r="C936" s="11" t="s">
        <v>152</v>
      </c>
      <c r="D936" s="11" t="s">
        <v>153</v>
      </c>
      <c r="E936" s="9" t="str">
        <f>+HYPERLINK("http://trademark.i-assist.jp/data/china/image_1906th/79774495.pdf", "79774495")</f>
        <v>79774495</v>
      </c>
      <c r="F936" s="11" t="s">
        <v>2788</v>
      </c>
      <c r="G936" s="11" t="s">
        <v>2724</v>
      </c>
      <c r="H936" s="11" t="s">
        <v>2789</v>
      </c>
      <c r="I936" s="11" t="s">
        <v>2598</v>
      </c>
    </row>
    <row r="937" spans="1:9" x14ac:dyDescent="0.15">
      <c r="A937" s="10">
        <v>936</v>
      </c>
      <c r="B937" s="11" t="s">
        <v>9</v>
      </c>
      <c r="C937" s="11" t="s">
        <v>152</v>
      </c>
      <c r="D937" s="11" t="s">
        <v>153</v>
      </c>
      <c r="E937" s="9" t="str">
        <f>+HYPERLINK("http://trademark.i-assist.jp/data/china/image_1906th/79774809.pdf", "79774809")</f>
        <v>79774809</v>
      </c>
      <c r="F937" s="11" t="s">
        <v>2790</v>
      </c>
      <c r="G937" s="11" t="s">
        <v>2791</v>
      </c>
      <c r="H937" s="11" t="s">
        <v>2792</v>
      </c>
      <c r="I937" s="11" t="s">
        <v>2598</v>
      </c>
    </row>
    <row r="938" spans="1:9" x14ac:dyDescent="0.15">
      <c r="A938" s="10">
        <v>937</v>
      </c>
      <c r="B938" s="11" t="s">
        <v>9</v>
      </c>
      <c r="C938" s="11" t="s">
        <v>152</v>
      </c>
      <c r="D938" s="11" t="s">
        <v>153</v>
      </c>
      <c r="E938" s="9" t="str">
        <f>+HYPERLINK("http://trademark.i-assist.jp/data/china/image_1906th/79776430.pdf", "79776430")</f>
        <v>79776430</v>
      </c>
      <c r="F938" s="11" t="s">
        <v>2793</v>
      </c>
      <c r="G938" s="11" t="s">
        <v>2794</v>
      </c>
      <c r="H938" s="11" t="s">
        <v>2795</v>
      </c>
      <c r="I938" s="11" t="s">
        <v>2796</v>
      </c>
    </row>
    <row r="939" spans="1:9" x14ac:dyDescent="0.15">
      <c r="A939" s="10">
        <v>938</v>
      </c>
      <c r="B939" s="11" t="s">
        <v>9</v>
      </c>
      <c r="C939" s="11" t="s">
        <v>152</v>
      </c>
      <c r="D939" s="11" t="s">
        <v>153</v>
      </c>
      <c r="E939" s="9" t="str">
        <f>+HYPERLINK("http://trademark.i-assist.jp/data/china/image_1906th/79776513.pdf", "79776513")</f>
        <v>79776513</v>
      </c>
      <c r="F939" s="11" t="s">
        <v>2797</v>
      </c>
      <c r="G939" s="11" t="s">
        <v>2798</v>
      </c>
      <c r="H939" s="11" t="s">
        <v>2799</v>
      </c>
      <c r="I939" s="11" t="s">
        <v>2796</v>
      </c>
    </row>
    <row r="940" spans="1:9" x14ac:dyDescent="0.15">
      <c r="A940" s="10">
        <v>939</v>
      </c>
      <c r="B940" s="11" t="s">
        <v>9</v>
      </c>
      <c r="C940" s="11" t="s">
        <v>152</v>
      </c>
      <c r="D940" s="11" t="s">
        <v>153</v>
      </c>
      <c r="E940" s="9" t="str">
        <f>+HYPERLINK("http://trademark.i-assist.jp/data/china/image_1906th/79776698.pdf", "79776698")</f>
        <v>79776698</v>
      </c>
      <c r="F940" s="11" t="s">
        <v>2800</v>
      </c>
      <c r="G940" s="11" t="s">
        <v>2801</v>
      </c>
      <c r="H940" s="11" t="s">
        <v>2802</v>
      </c>
      <c r="I940" s="11" t="s">
        <v>2796</v>
      </c>
    </row>
    <row r="941" spans="1:9" x14ac:dyDescent="0.15">
      <c r="A941" s="10">
        <v>940</v>
      </c>
      <c r="B941" s="11" t="s">
        <v>9</v>
      </c>
      <c r="C941" s="11" t="s">
        <v>152</v>
      </c>
      <c r="D941" s="11" t="s">
        <v>153</v>
      </c>
      <c r="E941" s="9" t="str">
        <f>+HYPERLINK("http://trademark.i-assist.jp/data/china/image_1906th/79777152.pdf", "79777152")</f>
        <v>79777152</v>
      </c>
      <c r="F941" s="11" t="s">
        <v>2803</v>
      </c>
      <c r="G941" s="11" t="s">
        <v>2804</v>
      </c>
      <c r="H941" s="11" t="s">
        <v>2805</v>
      </c>
      <c r="I941" s="11" t="s">
        <v>2796</v>
      </c>
    </row>
    <row r="942" spans="1:9" x14ac:dyDescent="0.15">
      <c r="A942" s="10">
        <v>941</v>
      </c>
      <c r="B942" s="11" t="s">
        <v>9</v>
      </c>
      <c r="C942" s="11" t="s">
        <v>152</v>
      </c>
      <c r="D942" s="11" t="s">
        <v>153</v>
      </c>
      <c r="E942" s="9" t="str">
        <f>+HYPERLINK("http://trademark.i-assist.jp/data/china/image_1906th/79778387.pdf", "79778387")</f>
        <v>79778387</v>
      </c>
      <c r="F942" s="11" t="s">
        <v>2806</v>
      </c>
      <c r="G942" s="11" t="s">
        <v>2807</v>
      </c>
      <c r="H942" s="11" t="s">
        <v>2808</v>
      </c>
      <c r="I942" s="11" t="s">
        <v>2796</v>
      </c>
    </row>
    <row r="943" spans="1:9" x14ac:dyDescent="0.15">
      <c r="A943" s="10">
        <v>942</v>
      </c>
      <c r="B943" s="11" t="s">
        <v>9</v>
      </c>
      <c r="C943" s="11" t="s">
        <v>152</v>
      </c>
      <c r="D943" s="11" t="s">
        <v>153</v>
      </c>
      <c r="E943" s="9" t="str">
        <f>+HYPERLINK("http://trademark.i-assist.jp/data/china/image_1906th/79778593.pdf", "79778593")</f>
        <v>79778593</v>
      </c>
      <c r="F943" s="11" t="s">
        <v>2809</v>
      </c>
      <c r="G943" s="11" t="s">
        <v>2810</v>
      </c>
      <c r="H943" s="11" t="s">
        <v>2811</v>
      </c>
      <c r="I943" s="11" t="s">
        <v>2796</v>
      </c>
    </row>
    <row r="944" spans="1:9" x14ac:dyDescent="0.15">
      <c r="A944" s="10">
        <v>943</v>
      </c>
      <c r="B944" s="11" t="s">
        <v>9</v>
      </c>
      <c r="C944" s="11" t="s">
        <v>152</v>
      </c>
      <c r="D944" s="11" t="s">
        <v>153</v>
      </c>
      <c r="E944" s="9" t="str">
        <f>+HYPERLINK("http://trademark.i-assist.jp/data/china/image_1906th/79779274.pdf", "79779274")</f>
        <v>79779274</v>
      </c>
      <c r="F944" s="11" t="s">
        <v>2812</v>
      </c>
      <c r="G944" s="11" t="s">
        <v>2813</v>
      </c>
      <c r="H944" s="11" t="s">
        <v>2814</v>
      </c>
      <c r="I944" s="11" t="s">
        <v>2796</v>
      </c>
    </row>
    <row r="945" spans="1:9" x14ac:dyDescent="0.15">
      <c r="A945" s="10">
        <v>944</v>
      </c>
      <c r="B945" s="11" t="s">
        <v>9</v>
      </c>
      <c r="C945" s="11" t="s">
        <v>152</v>
      </c>
      <c r="D945" s="11" t="s">
        <v>153</v>
      </c>
      <c r="E945" s="9" t="str">
        <f>+HYPERLINK("http://trademark.i-assist.jp/data/china/image_1906th/79779275.pdf", "79779275")</f>
        <v>79779275</v>
      </c>
      <c r="F945" s="11" t="s">
        <v>2815</v>
      </c>
      <c r="G945" s="11" t="s">
        <v>2813</v>
      </c>
      <c r="H945" s="11" t="s">
        <v>2816</v>
      </c>
      <c r="I945" s="11" t="s">
        <v>2796</v>
      </c>
    </row>
    <row r="946" spans="1:9" x14ac:dyDescent="0.15">
      <c r="A946" s="10">
        <v>945</v>
      </c>
      <c r="B946" s="11" t="s">
        <v>9</v>
      </c>
      <c r="C946" s="11" t="s">
        <v>152</v>
      </c>
      <c r="D946" s="11" t="s">
        <v>153</v>
      </c>
      <c r="E946" s="9" t="str">
        <f>+HYPERLINK("http://trademark.i-assist.jp/data/china/image_1906th/79779285.pdf", "79779285")</f>
        <v>79779285</v>
      </c>
      <c r="F946" s="11" t="s">
        <v>2817</v>
      </c>
      <c r="G946" s="11" t="s">
        <v>2818</v>
      </c>
      <c r="H946" s="11" t="s">
        <v>2819</v>
      </c>
      <c r="I946" s="11" t="s">
        <v>2796</v>
      </c>
    </row>
    <row r="947" spans="1:9" x14ac:dyDescent="0.15">
      <c r="A947" s="10">
        <v>946</v>
      </c>
      <c r="B947" s="11" t="s">
        <v>9</v>
      </c>
      <c r="C947" s="11" t="s">
        <v>152</v>
      </c>
      <c r="D947" s="11" t="s">
        <v>153</v>
      </c>
      <c r="E947" s="9" t="str">
        <f>+HYPERLINK("http://trademark.i-assist.jp/data/china/image_1906th/79779299.pdf", "79779299")</f>
        <v>79779299</v>
      </c>
      <c r="F947" s="11" t="s">
        <v>2820</v>
      </c>
      <c r="G947" s="11" t="s">
        <v>2821</v>
      </c>
      <c r="H947" s="11" t="s">
        <v>2822</v>
      </c>
      <c r="I947" s="11" t="s">
        <v>2796</v>
      </c>
    </row>
    <row r="948" spans="1:9" x14ac:dyDescent="0.15">
      <c r="A948" s="10">
        <v>947</v>
      </c>
      <c r="B948" s="11" t="s">
        <v>9</v>
      </c>
      <c r="C948" s="11" t="s">
        <v>152</v>
      </c>
      <c r="D948" s="11" t="s">
        <v>153</v>
      </c>
      <c r="E948" s="9" t="str">
        <f>+HYPERLINK("http://trademark.i-assist.jp/data/china/image_1906th/79779335.pdf", "79779335")</f>
        <v>79779335</v>
      </c>
      <c r="F948" s="11" t="s">
        <v>2823</v>
      </c>
      <c r="G948" s="11" t="s">
        <v>2824</v>
      </c>
      <c r="H948" s="11" t="s">
        <v>2825</v>
      </c>
      <c r="I948" s="11" t="s">
        <v>2796</v>
      </c>
    </row>
    <row r="949" spans="1:9" x14ac:dyDescent="0.15">
      <c r="A949" s="10">
        <v>948</v>
      </c>
      <c r="B949" s="11" t="s">
        <v>9</v>
      </c>
      <c r="C949" s="11" t="s">
        <v>152</v>
      </c>
      <c r="D949" s="11" t="s">
        <v>153</v>
      </c>
      <c r="E949" s="9" t="str">
        <f>+HYPERLINK("http://trademark.i-assist.jp/data/china/image_1906th/79779359.pdf", "79779359")</f>
        <v>79779359</v>
      </c>
      <c r="F949" s="11" t="s">
        <v>2826</v>
      </c>
      <c r="G949" s="11" t="s">
        <v>2827</v>
      </c>
      <c r="H949" s="11" t="s">
        <v>2828</v>
      </c>
      <c r="I949" s="11" t="s">
        <v>2796</v>
      </c>
    </row>
    <row r="950" spans="1:9" x14ac:dyDescent="0.15">
      <c r="A950" s="10">
        <v>949</v>
      </c>
      <c r="B950" s="11" t="s">
        <v>9</v>
      </c>
      <c r="C950" s="11" t="s">
        <v>152</v>
      </c>
      <c r="D950" s="11" t="s">
        <v>153</v>
      </c>
      <c r="E950" s="9" t="str">
        <f>+HYPERLINK("http://trademark.i-assist.jp/data/china/image_1906th/79779666.pdf", "79779666")</f>
        <v>79779666</v>
      </c>
      <c r="F950" s="11" t="s">
        <v>2829</v>
      </c>
      <c r="G950" s="11" t="s">
        <v>2702</v>
      </c>
      <c r="H950" s="11" t="s">
        <v>2830</v>
      </c>
      <c r="I950" s="11" t="s">
        <v>2796</v>
      </c>
    </row>
    <row r="951" spans="1:9" x14ac:dyDescent="0.15">
      <c r="A951" s="10">
        <v>950</v>
      </c>
      <c r="B951" s="11" t="s">
        <v>9</v>
      </c>
      <c r="C951" s="11" t="s">
        <v>152</v>
      </c>
      <c r="D951" s="11" t="s">
        <v>153</v>
      </c>
      <c r="E951" s="9" t="str">
        <f>+HYPERLINK("http://trademark.i-assist.jp/data/china/image_1906th/79779744.pdf", "79779744")</f>
        <v>79779744</v>
      </c>
      <c r="F951" s="11" t="s">
        <v>2831</v>
      </c>
      <c r="G951" s="11" t="s">
        <v>2824</v>
      </c>
      <c r="H951" s="11" t="s">
        <v>2832</v>
      </c>
      <c r="I951" s="11" t="s">
        <v>2796</v>
      </c>
    </row>
    <row r="952" spans="1:9" x14ac:dyDescent="0.15">
      <c r="A952" s="10">
        <v>951</v>
      </c>
      <c r="B952" s="11" t="s">
        <v>9</v>
      </c>
      <c r="C952" s="11" t="s">
        <v>152</v>
      </c>
      <c r="D952" s="11" t="s">
        <v>153</v>
      </c>
      <c r="E952" s="9" t="str">
        <f>+HYPERLINK("http://trademark.i-assist.jp/data/china/image_1906th/79780072.pdf", "79780072")</f>
        <v>79780072</v>
      </c>
      <c r="F952" s="11" t="s">
        <v>2833</v>
      </c>
      <c r="G952" s="11" t="s">
        <v>2813</v>
      </c>
      <c r="H952" s="11" t="s">
        <v>2834</v>
      </c>
      <c r="I952" s="11" t="s">
        <v>2796</v>
      </c>
    </row>
    <row r="953" spans="1:9" x14ac:dyDescent="0.15">
      <c r="A953" s="10">
        <v>952</v>
      </c>
      <c r="B953" s="11" t="s">
        <v>9</v>
      </c>
      <c r="C953" s="11" t="s">
        <v>152</v>
      </c>
      <c r="D953" s="11" t="s">
        <v>153</v>
      </c>
      <c r="E953" s="9" t="str">
        <f>+HYPERLINK("http://trademark.i-assist.jp/data/china/image_1906th/79780342.pdf", "79780342")</f>
        <v>79780342</v>
      </c>
      <c r="F953" s="11" t="s">
        <v>2835</v>
      </c>
      <c r="G953" s="11" t="s">
        <v>2836</v>
      </c>
      <c r="H953" s="11" t="s">
        <v>2837</v>
      </c>
      <c r="I953" s="11" t="s">
        <v>2796</v>
      </c>
    </row>
    <row r="954" spans="1:9" x14ac:dyDescent="0.15">
      <c r="A954" s="10">
        <v>953</v>
      </c>
      <c r="B954" s="11" t="s">
        <v>9</v>
      </c>
      <c r="C954" s="11" t="s">
        <v>152</v>
      </c>
      <c r="D954" s="11" t="s">
        <v>153</v>
      </c>
      <c r="E954" s="9" t="str">
        <f>+HYPERLINK("http://trademark.i-assist.jp/data/china/image_1906th/79781072.pdf", "79781072")</f>
        <v>79781072</v>
      </c>
      <c r="F954" s="11" t="s">
        <v>2838</v>
      </c>
      <c r="G954" s="11" t="s">
        <v>2839</v>
      </c>
      <c r="H954" s="11" t="s">
        <v>2840</v>
      </c>
      <c r="I954" s="11" t="s">
        <v>2796</v>
      </c>
    </row>
    <row r="955" spans="1:9" x14ac:dyDescent="0.15">
      <c r="A955" s="10">
        <v>954</v>
      </c>
      <c r="B955" s="11" t="s">
        <v>9</v>
      </c>
      <c r="C955" s="11" t="s">
        <v>152</v>
      </c>
      <c r="D955" s="11" t="s">
        <v>153</v>
      </c>
      <c r="E955" s="9" t="str">
        <f>+HYPERLINK("http://trademark.i-assist.jp/data/china/image_1906th/79782003.pdf", "79782003")</f>
        <v>79782003</v>
      </c>
      <c r="F955" s="11" t="s">
        <v>2841</v>
      </c>
      <c r="G955" s="11" t="s">
        <v>2813</v>
      </c>
      <c r="H955" s="11" t="s">
        <v>2842</v>
      </c>
      <c r="I955" s="11" t="s">
        <v>2796</v>
      </c>
    </row>
    <row r="956" spans="1:9" x14ac:dyDescent="0.15">
      <c r="A956" s="10">
        <v>955</v>
      </c>
      <c r="B956" s="11" t="s">
        <v>9</v>
      </c>
      <c r="C956" s="11" t="s">
        <v>152</v>
      </c>
      <c r="D956" s="11" t="s">
        <v>153</v>
      </c>
      <c r="E956" s="9" t="str">
        <f>+HYPERLINK("http://trademark.i-assist.jp/data/china/image_1906th/79782224.pdf", "79782224")</f>
        <v>79782224</v>
      </c>
      <c r="F956" s="11" t="s">
        <v>2843</v>
      </c>
      <c r="G956" s="11" t="s">
        <v>2844</v>
      </c>
      <c r="H956" s="11" t="s">
        <v>2845</v>
      </c>
      <c r="I956" s="11" t="s">
        <v>2846</v>
      </c>
    </row>
    <row r="957" spans="1:9" x14ac:dyDescent="0.15">
      <c r="A957" s="10">
        <v>956</v>
      </c>
      <c r="B957" s="11" t="s">
        <v>9</v>
      </c>
      <c r="C957" s="11" t="s">
        <v>152</v>
      </c>
      <c r="D957" s="11" t="s">
        <v>153</v>
      </c>
      <c r="E957" s="9" t="str">
        <f>+HYPERLINK("http://trademark.i-assist.jp/data/china/image_1906th/79782226.pdf", "79782226")</f>
        <v>79782226</v>
      </c>
      <c r="F957" s="11" t="s">
        <v>2847</v>
      </c>
      <c r="G957" s="11" t="s">
        <v>122</v>
      </c>
      <c r="H957" s="11" t="s">
        <v>2848</v>
      </c>
      <c r="I957" s="11" t="s">
        <v>2846</v>
      </c>
    </row>
    <row r="958" spans="1:9" x14ac:dyDescent="0.15">
      <c r="A958" s="10">
        <v>957</v>
      </c>
      <c r="B958" s="11" t="s">
        <v>9</v>
      </c>
      <c r="C958" s="11" t="s">
        <v>152</v>
      </c>
      <c r="D958" s="11" t="s">
        <v>153</v>
      </c>
      <c r="E958" s="9" t="str">
        <f>+HYPERLINK("http://trademark.i-assist.jp/data/china/image_1906th/79782350.pdf", "79782350")</f>
        <v>79782350</v>
      </c>
      <c r="F958" s="11" t="s">
        <v>2849</v>
      </c>
      <c r="G958" s="11" t="s">
        <v>2221</v>
      </c>
      <c r="H958" s="11" t="s">
        <v>2850</v>
      </c>
      <c r="I958" s="11" t="s">
        <v>2846</v>
      </c>
    </row>
    <row r="959" spans="1:9" x14ac:dyDescent="0.15">
      <c r="A959" s="10">
        <v>958</v>
      </c>
      <c r="B959" s="11" t="s">
        <v>9</v>
      </c>
      <c r="C959" s="11" t="s">
        <v>152</v>
      </c>
      <c r="D959" s="11" t="s">
        <v>153</v>
      </c>
      <c r="E959" s="9" t="str">
        <f>+HYPERLINK("http://trademark.i-assist.jp/data/china/image_1906th/79782406.pdf", "79782406")</f>
        <v>79782406</v>
      </c>
      <c r="F959" s="11" t="s">
        <v>2851</v>
      </c>
      <c r="G959" s="11" t="s">
        <v>2852</v>
      </c>
      <c r="H959" s="11" t="s">
        <v>2853</v>
      </c>
      <c r="I959" s="11" t="s">
        <v>2846</v>
      </c>
    </row>
    <row r="960" spans="1:9" x14ac:dyDescent="0.15">
      <c r="A960" s="10">
        <v>959</v>
      </c>
      <c r="B960" s="11" t="s">
        <v>9</v>
      </c>
      <c r="C960" s="11" t="s">
        <v>152</v>
      </c>
      <c r="D960" s="11" t="s">
        <v>153</v>
      </c>
      <c r="E960" s="9" t="str">
        <f>+HYPERLINK("http://trademark.i-assist.jp/data/china/image_1906th/79782540.pdf", "79782540")</f>
        <v>79782540</v>
      </c>
      <c r="F960" s="11" t="s">
        <v>2854</v>
      </c>
      <c r="G960" s="11" t="s">
        <v>2855</v>
      </c>
      <c r="H960" s="11" t="s">
        <v>2856</v>
      </c>
      <c r="I960" s="11" t="s">
        <v>2846</v>
      </c>
    </row>
    <row r="961" spans="1:9" x14ac:dyDescent="0.15">
      <c r="A961" s="10">
        <v>960</v>
      </c>
      <c r="B961" s="11" t="s">
        <v>9</v>
      </c>
      <c r="C961" s="11" t="s">
        <v>152</v>
      </c>
      <c r="D961" s="11" t="s">
        <v>153</v>
      </c>
      <c r="E961" s="9" t="str">
        <f>+HYPERLINK("http://trademark.i-assist.jp/data/china/image_1906th/79782637.pdf", "79782637")</f>
        <v>79782637</v>
      </c>
      <c r="F961" s="11" t="s">
        <v>2857</v>
      </c>
      <c r="G961" s="11" t="s">
        <v>2858</v>
      </c>
      <c r="H961" s="11" t="s">
        <v>2859</v>
      </c>
      <c r="I961" s="11" t="s">
        <v>2846</v>
      </c>
    </row>
    <row r="962" spans="1:9" x14ac:dyDescent="0.15">
      <c r="A962" s="10">
        <v>961</v>
      </c>
      <c r="B962" s="11" t="s">
        <v>9</v>
      </c>
      <c r="C962" s="11" t="s">
        <v>152</v>
      </c>
      <c r="D962" s="11" t="s">
        <v>153</v>
      </c>
      <c r="E962" s="9" t="str">
        <f>+HYPERLINK("http://trademark.i-assist.jp/data/china/image_1906th/79782641.pdf", "79782641")</f>
        <v>79782641</v>
      </c>
      <c r="F962" s="11" t="s">
        <v>2860</v>
      </c>
      <c r="G962" s="11" t="s">
        <v>42</v>
      </c>
      <c r="H962" s="11" t="s">
        <v>2861</v>
      </c>
      <c r="I962" s="11" t="s">
        <v>2846</v>
      </c>
    </row>
    <row r="963" spans="1:9" x14ac:dyDescent="0.15">
      <c r="A963" s="10">
        <v>962</v>
      </c>
      <c r="B963" s="11" t="s">
        <v>9</v>
      </c>
      <c r="C963" s="11" t="s">
        <v>152</v>
      </c>
      <c r="D963" s="11" t="s">
        <v>153</v>
      </c>
      <c r="E963" s="9" t="str">
        <f>+HYPERLINK("http://trademark.i-assist.jp/data/china/image_1906th/79782771.pdf", "79782771")</f>
        <v>79782771</v>
      </c>
      <c r="F963" s="11" t="s">
        <v>2862</v>
      </c>
      <c r="G963" s="11" t="s">
        <v>122</v>
      </c>
      <c r="H963" s="11" t="s">
        <v>2863</v>
      </c>
      <c r="I963" s="11" t="s">
        <v>2846</v>
      </c>
    </row>
    <row r="964" spans="1:9" x14ac:dyDescent="0.15">
      <c r="A964" s="10">
        <v>963</v>
      </c>
      <c r="B964" s="11" t="s">
        <v>9</v>
      </c>
      <c r="C964" s="11" t="s">
        <v>152</v>
      </c>
      <c r="D964" s="11" t="s">
        <v>153</v>
      </c>
      <c r="E964" s="9" t="str">
        <f>+HYPERLINK("http://trademark.i-assist.jp/data/china/image_1906th/79783196.pdf", "79783196")</f>
        <v>79783196</v>
      </c>
      <c r="F964" s="11" t="s">
        <v>2864</v>
      </c>
      <c r="G964" s="11" t="s">
        <v>2865</v>
      </c>
      <c r="H964" s="11" t="s">
        <v>2866</v>
      </c>
      <c r="I964" s="11" t="s">
        <v>2846</v>
      </c>
    </row>
    <row r="965" spans="1:9" x14ac:dyDescent="0.15">
      <c r="A965" s="10">
        <v>964</v>
      </c>
      <c r="B965" s="11" t="s">
        <v>9</v>
      </c>
      <c r="C965" s="11" t="s">
        <v>152</v>
      </c>
      <c r="D965" s="11" t="s">
        <v>153</v>
      </c>
      <c r="E965" s="9" t="str">
        <f>+HYPERLINK("http://trademark.i-assist.jp/data/china/image_1906th/79783265.pdf", "79783265")</f>
        <v>79783265</v>
      </c>
      <c r="F965" s="11" t="s">
        <v>2867</v>
      </c>
      <c r="G965" s="11" t="s">
        <v>2868</v>
      </c>
      <c r="H965" s="11" t="s">
        <v>2869</v>
      </c>
      <c r="I965" s="11" t="s">
        <v>2846</v>
      </c>
    </row>
    <row r="966" spans="1:9" x14ac:dyDescent="0.15">
      <c r="A966" s="10">
        <v>965</v>
      </c>
      <c r="B966" s="11" t="s">
        <v>9</v>
      </c>
      <c r="C966" s="11" t="s">
        <v>152</v>
      </c>
      <c r="D966" s="11" t="s">
        <v>153</v>
      </c>
      <c r="E966" s="9" t="str">
        <f>+HYPERLINK("http://trademark.i-assist.jp/data/china/image_1906th/79783295.pdf", "79783295")</f>
        <v>79783295</v>
      </c>
      <c r="F966" s="11" t="s">
        <v>2870</v>
      </c>
      <c r="G966" s="11" t="s">
        <v>2871</v>
      </c>
      <c r="H966" s="11" t="s">
        <v>2872</v>
      </c>
      <c r="I966" s="11" t="s">
        <v>2846</v>
      </c>
    </row>
    <row r="967" spans="1:9" x14ac:dyDescent="0.15">
      <c r="A967" s="10">
        <v>966</v>
      </c>
      <c r="B967" s="11" t="s">
        <v>9</v>
      </c>
      <c r="C967" s="11" t="s">
        <v>152</v>
      </c>
      <c r="D967" s="11" t="s">
        <v>153</v>
      </c>
      <c r="E967" s="9" t="str">
        <f>+HYPERLINK("http://trademark.i-assist.jp/data/china/image_1906th/79783317.pdf", "79783317")</f>
        <v>79783317</v>
      </c>
      <c r="F967" s="11" t="s">
        <v>2873</v>
      </c>
      <c r="G967" s="11" t="s">
        <v>2874</v>
      </c>
      <c r="H967" s="11" t="s">
        <v>2875</v>
      </c>
      <c r="I967" s="11" t="s">
        <v>2846</v>
      </c>
    </row>
    <row r="968" spans="1:9" x14ac:dyDescent="0.15">
      <c r="A968" s="10">
        <v>967</v>
      </c>
      <c r="B968" s="11" t="s">
        <v>9</v>
      </c>
      <c r="C968" s="11" t="s">
        <v>152</v>
      </c>
      <c r="D968" s="11" t="s">
        <v>153</v>
      </c>
      <c r="E968" s="9" t="str">
        <f>+HYPERLINK("http://trademark.i-assist.jp/data/china/image_1906th/79783434.pdf", "79783434")</f>
        <v>79783434</v>
      </c>
      <c r="F968" s="11" t="s">
        <v>2876</v>
      </c>
      <c r="G968" s="11" t="s">
        <v>2775</v>
      </c>
      <c r="H968" s="11" t="s">
        <v>2877</v>
      </c>
      <c r="I968" s="11" t="s">
        <v>2846</v>
      </c>
    </row>
    <row r="969" spans="1:9" x14ac:dyDescent="0.15">
      <c r="A969" s="10">
        <v>968</v>
      </c>
      <c r="B969" s="11" t="s">
        <v>9</v>
      </c>
      <c r="C969" s="11" t="s">
        <v>152</v>
      </c>
      <c r="D969" s="11" t="s">
        <v>153</v>
      </c>
      <c r="E969" s="9" t="str">
        <f>+HYPERLINK("http://trademark.i-assist.jp/data/china/image_1906th/79783483.pdf", "79783483")</f>
        <v>79783483</v>
      </c>
      <c r="F969" s="11" t="s">
        <v>2878</v>
      </c>
      <c r="G969" s="11" t="s">
        <v>2879</v>
      </c>
      <c r="H969" s="11" t="s">
        <v>2880</v>
      </c>
      <c r="I969" s="11" t="s">
        <v>2846</v>
      </c>
    </row>
    <row r="970" spans="1:9" x14ac:dyDescent="0.15">
      <c r="A970" s="10">
        <v>969</v>
      </c>
      <c r="B970" s="11" t="s">
        <v>9</v>
      </c>
      <c r="C970" s="11" t="s">
        <v>152</v>
      </c>
      <c r="D970" s="11" t="s">
        <v>153</v>
      </c>
      <c r="E970" s="9" t="str">
        <f>+HYPERLINK("http://trademark.i-assist.jp/data/china/image_1906th/79783577.pdf", "79783577")</f>
        <v>79783577</v>
      </c>
      <c r="F970" s="11" t="s">
        <v>2881</v>
      </c>
      <c r="G970" s="11" t="s">
        <v>2882</v>
      </c>
      <c r="H970" s="11" t="s">
        <v>2883</v>
      </c>
      <c r="I970" s="11" t="s">
        <v>2846</v>
      </c>
    </row>
    <row r="971" spans="1:9" x14ac:dyDescent="0.15">
      <c r="A971" s="10">
        <v>970</v>
      </c>
      <c r="B971" s="11" t="s">
        <v>9</v>
      </c>
      <c r="C971" s="11" t="s">
        <v>152</v>
      </c>
      <c r="D971" s="11" t="s">
        <v>153</v>
      </c>
      <c r="E971" s="9" t="str">
        <f>+HYPERLINK("http://trademark.i-assist.jp/data/china/image_1906th/79783664.pdf", "79783664")</f>
        <v>79783664</v>
      </c>
      <c r="F971" s="11" t="s">
        <v>2884</v>
      </c>
      <c r="G971" s="11" t="s">
        <v>2885</v>
      </c>
      <c r="H971" s="11" t="s">
        <v>2886</v>
      </c>
      <c r="I971" s="11" t="s">
        <v>2846</v>
      </c>
    </row>
    <row r="972" spans="1:9" x14ac:dyDescent="0.15">
      <c r="A972" s="10">
        <v>971</v>
      </c>
      <c r="B972" s="11" t="s">
        <v>9</v>
      </c>
      <c r="C972" s="11" t="s">
        <v>152</v>
      </c>
      <c r="D972" s="11" t="s">
        <v>153</v>
      </c>
      <c r="E972" s="9" t="str">
        <f>+HYPERLINK("http://trademark.i-assist.jp/data/china/image_1906th/79784511.pdf", "79784511")</f>
        <v>79784511</v>
      </c>
      <c r="F972" s="11" t="s">
        <v>2887</v>
      </c>
      <c r="G972" s="11" t="s">
        <v>2888</v>
      </c>
      <c r="H972" s="11" t="s">
        <v>2889</v>
      </c>
      <c r="I972" s="11" t="s">
        <v>2846</v>
      </c>
    </row>
    <row r="973" spans="1:9" x14ac:dyDescent="0.15">
      <c r="A973" s="10">
        <v>972</v>
      </c>
      <c r="B973" s="11" t="s">
        <v>9</v>
      </c>
      <c r="C973" s="11" t="s">
        <v>152</v>
      </c>
      <c r="D973" s="11" t="s">
        <v>153</v>
      </c>
      <c r="E973" s="9" t="str">
        <f>+HYPERLINK("http://trademark.i-assist.jp/data/china/image_1906th/79784535.pdf", "79784535")</f>
        <v>79784535</v>
      </c>
      <c r="F973" s="11" t="s">
        <v>2890</v>
      </c>
      <c r="G973" s="11" t="s">
        <v>2891</v>
      </c>
      <c r="H973" s="11" t="s">
        <v>2892</v>
      </c>
      <c r="I973" s="11" t="s">
        <v>2846</v>
      </c>
    </row>
    <row r="974" spans="1:9" x14ac:dyDescent="0.15">
      <c r="A974" s="10">
        <v>973</v>
      </c>
      <c r="B974" s="11" t="s">
        <v>9</v>
      </c>
      <c r="C974" s="11" t="s">
        <v>152</v>
      </c>
      <c r="D974" s="11" t="s">
        <v>153</v>
      </c>
      <c r="E974" s="9" t="str">
        <f>+HYPERLINK("http://trademark.i-assist.jp/data/china/image_1906th/79784746.pdf", "79784746")</f>
        <v>79784746</v>
      </c>
      <c r="F974" s="11" t="s">
        <v>2893</v>
      </c>
      <c r="G974" s="11" t="s">
        <v>2894</v>
      </c>
      <c r="H974" s="11" t="s">
        <v>2895</v>
      </c>
      <c r="I974" s="11" t="s">
        <v>2846</v>
      </c>
    </row>
    <row r="975" spans="1:9" x14ac:dyDescent="0.15">
      <c r="A975" s="10">
        <v>974</v>
      </c>
      <c r="B975" s="11" t="s">
        <v>9</v>
      </c>
      <c r="C975" s="11" t="s">
        <v>152</v>
      </c>
      <c r="D975" s="11" t="s">
        <v>153</v>
      </c>
      <c r="E975" s="9" t="str">
        <f>+HYPERLINK("http://trademark.i-assist.jp/data/china/image_1906th/79784857.pdf", "79784857")</f>
        <v>79784857</v>
      </c>
      <c r="F975" s="11" t="s">
        <v>2896</v>
      </c>
      <c r="G975" s="11" t="s">
        <v>2897</v>
      </c>
      <c r="H975" s="11" t="s">
        <v>2898</v>
      </c>
      <c r="I975" s="11" t="s">
        <v>2846</v>
      </c>
    </row>
    <row r="976" spans="1:9" x14ac:dyDescent="0.15">
      <c r="A976" s="10">
        <v>975</v>
      </c>
      <c r="B976" s="11" t="s">
        <v>9</v>
      </c>
      <c r="C976" s="11" t="s">
        <v>152</v>
      </c>
      <c r="D976" s="11" t="s">
        <v>153</v>
      </c>
      <c r="E976" s="9" t="str">
        <f>+HYPERLINK("http://trademark.i-assist.jp/data/china/image_1906th/79785496.pdf", "79785496")</f>
        <v>79785496</v>
      </c>
      <c r="F976" s="11" t="s">
        <v>2899</v>
      </c>
      <c r="G976" s="11" t="s">
        <v>137</v>
      </c>
      <c r="H976" s="11" t="s">
        <v>2900</v>
      </c>
      <c r="I976" s="11" t="s">
        <v>2901</v>
      </c>
    </row>
    <row r="977" spans="1:9" x14ac:dyDescent="0.15">
      <c r="A977" s="10">
        <v>976</v>
      </c>
      <c r="B977" s="11" t="s">
        <v>9</v>
      </c>
      <c r="C977" s="11" t="s">
        <v>152</v>
      </c>
      <c r="D977" s="11" t="s">
        <v>153</v>
      </c>
      <c r="E977" s="9" t="str">
        <f>+HYPERLINK("http://trademark.i-assist.jp/data/china/image_1906th/79786578.pdf", "79786578")</f>
        <v>79786578</v>
      </c>
      <c r="F977" s="11" t="s">
        <v>2902</v>
      </c>
      <c r="G977" s="11" t="s">
        <v>2903</v>
      </c>
      <c r="H977" s="11" t="s">
        <v>2904</v>
      </c>
      <c r="I977" s="11" t="s">
        <v>2901</v>
      </c>
    </row>
    <row r="978" spans="1:9" x14ac:dyDescent="0.15">
      <c r="A978" s="10">
        <v>977</v>
      </c>
      <c r="B978" s="11" t="s">
        <v>9</v>
      </c>
      <c r="C978" s="11" t="s">
        <v>152</v>
      </c>
      <c r="D978" s="11" t="s">
        <v>153</v>
      </c>
      <c r="E978" s="9" t="str">
        <f>+HYPERLINK("http://trademark.i-assist.jp/data/china/image_1906th/79786796.pdf", "79786796")</f>
        <v>79786796</v>
      </c>
      <c r="F978" s="11" t="s">
        <v>2905</v>
      </c>
      <c r="G978" s="11" t="s">
        <v>2906</v>
      </c>
      <c r="H978" s="11" t="s">
        <v>2907</v>
      </c>
      <c r="I978" s="11" t="s">
        <v>2901</v>
      </c>
    </row>
    <row r="979" spans="1:9" x14ac:dyDescent="0.15">
      <c r="A979" s="10">
        <v>978</v>
      </c>
      <c r="B979" s="11" t="s">
        <v>9</v>
      </c>
      <c r="C979" s="11" t="s">
        <v>152</v>
      </c>
      <c r="D979" s="11" t="s">
        <v>153</v>
      </c>
      <c r="E979" s="9" t="str">
        <f>+HYPERLINK("http://trademark.i-assist.jp/data/china/image_1906th/79787245.pdf", "79787245")</f>
        <v>79787245</v>
      </c>
      <c r="F979" s="11" t="s">
        <v>2908</v>
      </c>
      <c r="G979" s="11" t="s">
        <v>2909</v>
      </c>
      <c r="H979" s="11" t="s">
        <v>2910</v>
      </c>
      <c r="I979" s="11" t="s">
        <v>2901</v>
      </c>
    </row>
    <row r="980" spans="1:9" x14ac:dyDescent="0.15">
      <c r="A980" s="10">
        <v>979</v>
      </c>
      <c r="B980" s="11" t="s">
        <v>9</v>
      </c>
      <c r="C980" s="11" t="s">
        <v>152</v>
      </c>
      <c r="D980" s="11" t="s">
        <v>153</v>
      </c>
      <c r="E980" s="9" t="str">
        <f>+HYPERLINK("http://trademark.i-assist.jp/data/china/image_1906th/79787693.pdf", "79787693")</f>
        <v>79787693</v>
      </c>
      <c r="F980" s="11" t="s">
        <v>2911</v>
      </c>
      <c r="G980" s="11" t="s">
        <v>2912</v>
      </c>
      <c r="H980" s="11" t="s">
        <v>2913</v>
      </c>
      <c r="I980" s="11" t="s">
        <v>2901</v>
      </c>
    </row>
    <row r="981" spans="1:9" x14ac:dyDescent="0.15">
      <c r="A981" s="10">
        <v>980</v>
      </c>
      <c r="B981" s="11" t="s">
        <v>9</v>
      </c>
      <c r="C981" s="11" t="s">
        <v>152</v>
      </c>
      <c r="D981" s="11" t="s">
        <v>153</v>
      </c>
      <c r="E981" s="9" t="str">
        <f>+HYPERLINK("http://trademark.i-assist.jp/data/china/image_1906th/79787869.pdf", "79787869")</f>
        <v>79787869</v>
      </c>
      <c r="F981" s="11" t="s">
        <v>2914</v>
      </c>
      <c r="G981" s="11" t="s">
        <v>2915</v>
      </c>
      <c r="H981" s="11" t="s">
        <v>2916</v>
      </c>
      <c r="I981" s="11" t="s">
        <v>2901</v>
      </c>
    </row>
    <row r="982" spans="1:9" x14ac:dyDescent="0.15">
      <c r="A982" s="10">
        <v>981</v>
      </c>
      <c r="B982" s="11" t="s">
        <v>9</v>
      </c>
      <c r="C982" s="11" t="s">
        <v>152</v>
      </c>
      <c r="D982" s="11" t="s">
        <v>153</v>
      </c>
      <c r="E982" s="9" t="str">
        <f>+HYPERLINK("http://trademark.i-assist.jp/data/china/image_1906th/79787958.pdf", "79787958")</f>
        <v>79787958</v>
      </c>
      <c r="F982" s="11" t="s">
        <v>2917</v>
      </c>
      <c r="G982" s="11" t="s">
        <v>2918</v>
      </c>
      <c r="H982" s="11" t="s">
        <v>2919</v>
      </c>
      <c r="I982" s="11" t="s">
        <v>2901</v>
      </c>
    </row>
    <row r="983" spans="1:9" x14ac:dyDescent="0.15">
      <c r="A983" s="10">
        <v>982</v>
      </c>
      <c r="B983" s="11" t="s">
        <v>9</v>
      </c>
      <c r="C983" s="11" t="s">
        <v>152</v>
      </c>
      <c r="D983" s="11" t="s">
        <v>153</v>
      </c>
      <c r="E983" s="9" t="str">
        <f>+HYPERLINK("http://trademark.i-assist.jp/data/china/image_1906th/79788065.pdf", "79788065")</f>
        <v>79788065</v>
      </c>
      <c r="F983" s="11" t="s">
        <v>2920</v>
      </c>
      <c r="G983" s="11" t="s">
        <v>2921</v>
      </c>
      <c r="H983" s="11" t="s">
        <v>2922</v>
      </c>
      <c r="I983" s="11" t="s">
        <v>2901</v>
      </c>
    </row>
    <row r="984" spans="1:9" x14ac:dyDescent="0.15">
      <c r="A984" s="10">
        <v>983</v>
      </c>
      <c r="B984" s="11" t="s">
        <v>9</v>
      </c>
      <c r="C984" s="11" t="s">
        <v>152</v>
      </c>
      <c r="D984" s="11" t="s">
        <v>153</v>
      </c>
      <c r="E984" s="9" t="str">
        <f>+HYPERLINK("http://trademark.i-assist.jp/data/china/image_1906th/79788066.pdf", "79788066")</f>
        <v>79788066</v>
      </c>
      <c r="F984" s="11" t="s">
        <v>2923</v>
      </c>
      <c r="G984" s="11" t="s">
        <v>2924</v>
      </c>
      <c r="H984" s="11" t="s">
        <v>2925</v>
      </c>
      <c r="I984" s="11" t="s">
        <v>2901</v>
      </c>
    </row>
    <row r="985" spans="1:9" x14ac:dyDescent="0.15">
      <c r="A985" s="10">
        <v>984</v>
      </c>
      <c r="B985" s="11" t="s">
        <v>9</v>
      </c>
      <c r="C985" s="11" t="s">
        <v>152</v>
      </c>
      <c r="D985" s="11" t="s">
        <v>153</v>
      </c>
      <c r="E985" s="9" t="str">
        <f>+HYPERLINK("http://trademark.i-assist.jp/data/china/image_1906th/79788151.pdf", "79788151")</f>
        <v>79788151</v>
      </c>
      <c r="F985" s="11" t="s">
        <v>2926</v>
      </c>
      <c r="G985" s="11" t="s">
        <v>2927</v>
      </c>
      <c r="H985" s="11" t="s">
        <v>2928</v>
      </c>
      <c r="I985" s="11" t="s">
        <v>2901</v>
      </c>
    </row>
    <row r="986" spans="1:9" x14ac:dyDescent="0.15">
      <c r="A986" s="10">
        <v>985</v>
      </c>
      <c r="B986" s="11" t="s">
        <v>9</v>
      </c>
      <c r="C986" s="11" t="s">
        <v>152</v>
      </c>
      <c r="D986" s="11" t="s">
        <v>153</v>
      </c>
      <c r="E986" s="9" t="str">
        <f>+HYPERLINK("http://trademark.i-assist.jp/data/china/image_1906th/79789306.pdf", "79789306")</f>
        <v>79789306</v>
      </c>
      <c r="F986" s="11" t="s">
        <v>2929</v>
      </c>
      <c r="G986" s="11" t="s">
        <v>2930</v>
      </c>
      <c r="H986" s="11" t="s">
        <v>2931</v>
      </c>
      <c r="I986" s="11" t="s">
        <v>2901</v>
      </c>
    </row>
    <row r="987" spans="1:9" x14ac:dyDescent="0.15">
      <c r="A987" s="10">
        <v>986</v>
      </c>
      <c r="B987" s="11" t="s">
        <v>9</v>
      </c>
      <c r="C987" s="11" t="s">
        <v>152</v>
      </c>
      <c r="D987" s="11" t="s">
        <v>153</v>
      </c>
      <c r="E987" s="9" t="str">
        <f>+HYPERLINK("http://trademark.i-assist.jp/data/china/image_1906th/79789603.pdf", "79789603")</f>
        <v>79789603</v>
      </c>
      <c r="F987" s="11" t="s">
        <v>2932</v>
      </c>
      <c r="G987" s="11" t="s">
        <v>2933</v>
      </c>
      <c r="H987" s="11" t="s">
        <v>2934</v>
      </c>
      <c r="I987" s="11" t="s">
        <v>2901</v>
      </c>
    </row>
    <row r="988" spans="1:9" x14ac:dyDescent="0.15">
      <c r="A988" s="10">
        <v>987</v>
      </c>
      <c r="B988" s="11" t="s">
        <v>9</v>
      </c>
      <c r="C988" s="11" t="s">
        <v>152</v>
      </c>
      <c r="D988" s="11" t="s">
        <v>153</v>
      </c>
      <c r="E988" s="9" t="str">
        <f>+HYPERLINK("http://trademark.i-assist.jp/data/china/image_1906th/79789789.pdf", "79789789")</f>
        <v>79789789</v>
      </c>
      <c r="F988" s="11" t="s">
        <v>2935</v>
      </c>
      <c r="G988" s="11" t="s">
        <v>2936</v>
      </c>
      <c r="H988" s="11" t="s">
        <v>2937</v>
      </c>
      <c r="I988" s="11" t="s">
        <v>2901</v>
      </c>
    </row>
    <row r="989" spans="1:9" x14ac:dyDescent="0.15">
      <c r="A989" s="10">
        <v>988</v>
      </c>
      <c r="B989" s="11" t="s">
        <v>9</v>
      </c>
      <c r="C989" s="11" t="s">
        <v>152</v>
      </c>
      <c r="D989" s="11" t="s">
        <v>153</v>
      </c>
      <c r="E989" s="9" t="str">
        <f>+HYPERLINK("http://trademark.i-assist.jp/data/china/image_1906th/79789991.pdf", "79789991")</f>
        <v>79789991</v>
      </c>
      <c r="F989" s="11" t="s">
        <v>2938</v>
      </c>
      <c r="G989" s="11" t="s">
        <v>2939</v>
      </c>
      <c r="H989" s="11" t="s">
        <v>2940</v>
      </c>
      <c r="I989" s="11" t="s">
        <v>2901</v>
      </c>
    </row>
    <row r="990" spans="1:9" x14ac:dyDescent="0.15">
      <c r="A990" s="10">
        <v>989</v>
      </c>
      <c r="B990" s="11" t="s">
        <v>9</v>
      </c>
      <c r="C990" s="11" t="s">
        <v>152</v>
      </c>
      <c r="D990" s="11" t="s">
        <v>153</v>
      </c>
      <c r="E990" s="9" t="str">
        <f>+HYPERLINK("http://trademark.i-assist.jp/data/china/image_1906th/79790021.pdf", "79790021")</f>
        <v>79790021</v>
      </c>
      <c r="F990" s="11" t="s">
        <v>2941</v>
      </c>
      <c r="G990" s="11" t="s">
        <v>2942</v>
      </c>
      <c r="H990" s="11" t="s">
        <v>2943</v>
      </c>
      <c r="I990" s="11" t="s">
        <v>2901</v>
      </c>
    </row>
    <row r="991" spans="1:9" x14ac:dyDescent="0.15">
      <c r="A991" s="10">
        <v>990</v>
      </c>
      <c r="B991" s="11" t="s">
        <v>9</v>
      </c>
      <c r="C991" s="11" t="s">
        <v>152</v>
      </c>
      <c r="D991" s="11" t="s">
        <v>153</v>
      </c>
      <c r="E991" s="9" t="str">
        <f>+HYPERLINK("http://trademark.i-assist.jp/data/china/image_1906th/79790216.pdf", "79790216")</f>
        <v>79790216</v>
      </c>
      <c r="F991" s="11" t="s">
        <v>2944</v>
      </c>
      <c r="G991" s="11" t="s">
        <v>50</v>
      </c>
      <c r="H991" s="11" t="s">
        <v>2945</v>
      </c>
      <c r="I991" s="11" t="s">
        <v>2901</v>
      </c>
    </row>
    <row r="992" spans="1:9" x14ac:dyDescent="0.15">
      <c r="A992" s="10">
        <v>991</v>
      </c>
      <c r="B992" s="11" t="s">
        <v>9</v>
      </c>
      <c r="C992" s="11" t="s">
        <v>152</v>
      </c>
      <c r="D992" s="11" t="s">
        <v>153</v>
      </c>
      <c r="E992" s="9" t="str">
        <f>+HYPERLINK("http://trademark.i-assist.jp/data/china/image_1906th/79790329.pdf", "79790329")</f>
        <v>79790329</v>
      </c>
      <c r="F992" s="11" t="s">
        <v>2946</v>
      </c>
      <c r="G992" s="11" t="s">
        <v>2947</v>
      </c>
      <c r="H992" s="11" t="s">
        <v>2948</v>
      </c>
      <c r="I992" s="11" t="s">
        <v>2901</v>
      </c>
    </row>
    <row r="993" spans="1:9" x14ac:dyDescent="0.15">
      <c r="A993" s="10">
        <v>992</v>
      </c>
      <c r="B993" s="11" t="s">
        <v>9</v>
      </c>
      <c r="C993" s="11" t="s">
        <v>152</v>
      </c>
      <c r="D993" s="11" t="s">
        <v>153</v>
      </c>
      <c r="E993" s="9" t="str">
        <f>+HYPERLINK("http://trademark.i-assist.jp/data/china/image_1906th/79790425.pdf", "79790425")</f>
        <v>79790425</v>
      </c>
      <c r="F993" s="11" t="s">
        <v>2949</v>
      </c>
      <c r="G993" s="11" t="s">
        <v>2918</v>
      </c>
      <c r="H993" s="11" t="s">
        <v>2950</v>
      </c>
      <c r="I993" s="11" t="s">
        <v>2901</v>
      </c>
    </row>
    <row r="994" spans="1:9" x14ac:dyDescent="0.15">
      <c r="A994" s="10">
        <v>993</v>
      </c>
      <c r="B994" s="11" t="s">
        <v>9</v>
      </c>
      <c r="C994" s="11" t="s">
        <v>152</v>
      </c>
      <c r="D994" s="11" t="s">
        <v>153</v>
      </c>
      <c r="E994" s="9" t="str">
        <f>+HYPERLINK("http://trademark.i-assist.jp/data/china/image_1906th/79790448.pdf", "79790448")</f>
        <v>79790448</v>
      </c>
      <c r="F994" s="11" t="s">
        <v>2951</v>
      </c>
      <c r="G994" s="11" t="s">
        <v>2952</v>
      </c>
      <c r="H994" s="11" t="s">
        <v>2953</v>
      </c>
      <c r="I994" s="11" t="s">
        <v>2901</v>
      </c>
    </row>
    <row r="995" spans="1:9" x14ac:dyDescent="0.15">
      <c r="A995" s="10">
        <v>994</v>
      </c>
      <c r="B995" s="11" t="s">
        <v>9</v>
      </c>
      <c r="C995" s="11" t="s">
        <v>152</v>
      </c>
      <c r="D995" s="11" t="s">
        <v>153</v>
      </c>
      <c r="E995" s="9" t="str">
        <f>+HYPERLINK("http://trademark.i-assist.jp/data/china/image_1906th/79790470.pdf", "79790470")</f>
        <v>79790470</v>
      </c>
      <c r="F995" s="11" t="s">
        <v>12</v>
      </c>
      <c r="G995" s="11" t="s">
        <v>2954</v>
      </c>
      <c r="H995" s="11" t="s">
        <v>2955</v>
      </c>
      <c r="I995" s="11" t="s">
        <v>2901</v>
      </c>
    </row>
    <row r="996" spans="1:9" x14ac:dyDescent="0.15">
      <c r="A996" s="10">
        <v>995</v>
      </c>
      <c r="B996" s="11" t="s">
        <v>9</v>
      </c>
      <c r="C996" s="11" t="s">
        <v>152</v>
      </c>
      <c r="D996" s="11" t="s">
        <v>153</v>
      </c>
      <c r="E996" s="9" t="str">
        <f>+HYPERLINK("http://trademark.i-assist.jp/data/china/image_1906th/79790551.pdf", "79790551")</f>
        <v>79790551</v>
      </c>
      <c r="F996" s="11" t="s">
        <v>2956</v>
      </c>
      <c r="G996" s="11" t="s">
        <v>2957</v>
      </c>
      <c r="H996" s="11" t="s">
        <v>2958</v>
      </c>
      <c r="I996" s="11" t="s">
        <v>2901</v>
      </c>
    </row>
    <row r="997" spans="1:9" x14ac:dyDescent="0.15">
      <c r="A997" s="10">
        <v>996</v>
      </c>
      <c r="B997" s="11" t="s">
        <v>9</v>
      </c>
      <c r="C997" s="11" t="s">
        <v>152</v>
      </c>
      <c r="D997" s="11" t="s">
        <v>153</v>
      </c>
      <c r="E997" s="9" t="str">
        <f>+HYPERLINK("http://trademark.i-assist.jp/data/china/image_1906th/79790731.pdf", "79790731")</f>
        <v>79790731</v>
      </c>
      <c r="F997" s="11" t="s">
        <v>2959</v>
      </c>
      <c r="G997" s="11" t="s">
        <v>2960</v>
      </c>
      <c r="H997" s="11" t="s">
        <v>2961</v>
      </c>
      <c r="I997" s="11" t="s">
        <v>2901</v>
      </c>
    </row>
    <row r="998" spans="1:9" x14ac:dyDescent="0.15">
      <c r="A998" s="10">
        <v>997</v>
      </c>
      <c r="B998" s="11" t="s">
        <v>9</v>
      </c>
      <c r="C998" s="11" t="s">
        <v>152</v>
      </c>
      <c r="D998" s="11" t="s">
        <v>153</v>
      </c>
      <c r="E998" s="9" t="str">
        <f>+HYPERLINK("http://trademark.i-assist.jp/data/china/image_1906th/79790762.pdf", "79790762")</f>
        <v>79790762</v>
      </c>
      <c r="F998" s="11" t="s">
        <v>2962</v>
      </c>
      <c r="G998" s="11" t="s">
        <v>2963</v>
      </c>
      <c r="H998" s="11" t="s">
        <v>2964</v>
      </c>
      <c r="I998" s="11" t="s">
        <v>2901</v>
      </c>
    </row>
    <row r="999" spans="1:9" x14ac:dyDescent="0.15">
      <c r="A999" s="10">
        <v>998</v>
      </c>
      <c r="B999" s="11" t="s">
        <v>9</v>
      </c>
      <c r="C999" s="11" t="s">
        <v>152</v>
      </c>
      <c r="D999" s="11" t="s">
        <v>153</v>
      </c>
      <c r="E999" s="9" t="str">
        <f>+HYPERLINK("http://trademark.i-assist.jp/data/china/image_1906th/79790887.pdf", "79790887")</f>
        <v>79790887</v>
      </c>
      <c r="F999" s="11" t="s">
        <v>2965</v>
      </c>
      <c r="G999" s="11" t="s">
        <v>2966</v>
      </c>
      <c r="H999" s="11" t="s">
        <v>2967</v>
      </c>
      <c r="I999" s="11" t="s">
        <v>2901</v>
      </c>
    </row>
    <row r="1000" spans="1:9" x14ac:dyDescent="0.15">
      <c r="A1000" s="10">
        <v>999</v>
      </c>
      <c r="B1000" s="11" t="s">
        <v>9</v>
      </c>
      <c r="C1000" s="11" t="s">
        <v>152</v>
      </c>
      <c r="D1000" s="11" t="s">
        <v>153</v>
      </c>
      <c r="E1000" s="9" t="str">
        <f>+HYPERLINK("http://trademark.i-assist.jp/data/china/image_1906th/79791187.pdf", "79791187")</f>
        <v>79791187</v>
      </c>
      <c r="F1000" s="11" t="s">
        <v>2968</v>
      </c>
      <c r="G1000" s="11" t="s">
        <v>2909</v>
      </c>
      <c r="H1000" s="11" t="s">
        <v>2969</v>
      </c>
      <c r="I1000" s="11" t="s">
        <v>2901</v>
      </c>
    </row>
    <row r="1001" spans="1:9" x14ac:dyDescent="0.15">
      <c r="A1001" s="10">
        <v>1000</v>
      </c>
      <c r="B1001" s="11" t="s">
        <v>9</v>
      </c>
      <c r="C1001" s="11" t="s">
        <v>152</v>
      </c>
      <c r="D1001" s="11" t="s">
        <v>153</v>
      </c>
      <c r="E1001" s="9" t="str">
        <f>+HYPERLINK("http://trademark.i-assist.jp/data/china/image_1906th/79791239.pdf", "79791239")</f>
        <v>79791239</v>
      </c>
      <c r="F1001" s="11" t="s">
        <v>2970</v>
      </c>
      <c r="G1001" s="11" t="s">
        <v>2971</v>
      </c>
      <c r="H1001" s="11" t="s">
        <v>2972</v>
      </c>
      <c r="I1001" s="11" t="s">
        <v>2901</v>
      </c>
    </row>
    <row r="1002" spans="1:9" x14ac:dyDescent="0.15">
      <c r="A1002" s="10">
        <v>1001</v>
      </c>
      <c r="B1002" s="11" t="s">
        <v>9</v>
      </c>
      <c r="C1002" s="11" t="s">
        <v>152</v>
      </c>
      <c r="D1002" s="11" t="s">
        <v>153</v>
      </c>
      <c r="E1002" s="9" t="str">
        <f>+HYPERLINK("http://trademark.i-assist.jp/data/china/image_1906th/79791576.pdf", "79791576")</f>
        <v>79791576</v>
      </c>
      <c r="F1002" s="11" t="s">
        <v>2973</v>
      </c>
      <c r="G1002" s="11" t="s">
        <v>2974</v>
      </c>
      <c r="H1002" s="11" t="s">
        <v>2975</v>
      </c>
      <c r="I1002" s="11" t="s">
        <v>2901</v>
      </c>
    </row>
    <row r="1003" spans="1:9" x14ac:dyDescent="0.15">
      <c r="A1003" s="10">
        <v>1002</v>
      </c>
      <c r="B1003" s="11" t="s">
        <v>9</v>
      </c>
      <c r="C1003" s="11" t="s">
        <v>152</v>
      </c>
      <c r="D1003" s="11" t="s">
        <v>153</v>
      </c>
      <c r="E1003" s="9" t="str">
        <f>+HYPERLINK("http://trademark.i-assist.jp/data/china/image_1906th/79791966.pdf", "79791966")</f>
        <v>79791966</v>
      </c>
      <c r="F1003" s="11" t="s">
        <v>2976</v>
      </c>
      <c r="G1003" s="11" t="s">
        <v>2977</v>
      </c>
      <c r="H1003" s="11" t="s">
        <v>2978</v>
      </c>
      <c r="I1003" s="11" t="s">
        <v>2901</v>
      </c>
    </row>
    <row r="1004" spans="1:9" x14ac:dyDescent="0.15">
      <c r="A1004" s="10">
        <v>1003</v>
      </c>
      <c r="B1004" s="11" t="s">
        <v>9</v>
      </c>
      <c r="C1004" s="11" t="s">
        <v>152</v>
      </c>
      <c r="D1004" s="11" t="s">
        <v>153</v>
      </c>
      <c r="E1004" s="9" t="str">
        <f>+HYPERLINK("http://trademark.i-assist.jp/data/china/image_1906th/79792034.pdf", "79792034")</f>
        <v>79792034</v>
      </c>
      <c r="F1004" s="11" t="s">
        <v>2979</v>
      </c>
      <c r="G1004" s="11" t="s">
        <v>2980</v>
      </c>
      <c r="H1004" s="11" t="s">
        <v>2981</v>
      </c>
      <c r="I1004" s="11" t="s">
        <v>2901</v>
      </c>
    </row>
    <row r="1005" spans="1:9" x14ac:dyDescent="0.15">
      <c r="A1005" s="10">
        <v>1004</v>
      </c>
      <c r="B1005" s="11" t="s">
        <v>9</v>
      </c>
      <c r="C1005" s="11" t="s">
        <v>152</v>
      </c>
      <c r="D1005" s="11" t="s">
        <v>153</v>
      </c>
      <c r="E1005" s="9" t="str">
        <f>+HYPERLINK("http://trademark.i-assist.jp/data/china/image_1906th/79792056.pdf", "79792056")</f>
        <v>79792056</v>
      </c>
      <c r="F1005" s="11" t="s">
        <v>2982</v>
      </c>
      <c r="G1005" s="11" t="s">
        <v>2983</v>
      </c>
      <c r="H1005" s="11" t="s">
        <v>2984</v>
      </c>
      <c r="I1005" s="11" t="s">
        <v>2901</v>
      </c>
    </row>
    <row r="1006" spans="1:9" x14ac:dyDescent="0.15">
      <c r="A1006" s="10">
        <v>1005</v>
      </c>
      <c r="B1006" s="11" t="s">
        <v>9</v>
      </c>
      <c r="C1006" s="11" t="s">
        <v>152</v>
      </c>
      <c r="D1006" s="11" t="s">
        <v>153</v>
      </c>
      <c r="E1006" s="9" t="str">
        <f>+HYPERLINK("http://trademark.i-assist.jp/data/china/image_1906th/79792109.pdf", "79792109")</f>
        <v>79792109</v>
      </c>
      <c r="F1006" s="11" t="s">
        <v>2985</v>
      </c>
      <c r="G1006" s="11" t="s">
        <v>2986</v>
      </c>
      <c r="H1006" s="11" t="s">
        <v>2987</v>
      </c>
      <c r="I1006" s="11" t="s">
        <v>2901</v>
      </c>
    </row>
    <row r="1007" spans="1:9" x14ac:dyDescent="0.15">
      <c r="A1007" s="10">
        <v>1006</v>
      </c>
      <c r="B1007" s="11" t="s">
        <v>9</v>
      </c>
      <c r="C1007" s="11" t="s">
        <v>152</v>
      </c>
      <c r="D1007" s="11" t="s">
        <v>153</v>
      </c>
      <c r="E1007" s="9" t="str">
        <f>+HYPERLINK("http://trademark.i-assist.jp/data/china/image_1906th/79792217.pdf", "79792217")</f>
        <v>79792217</v>
      </c>
      <c r="F1007" s="11" t="s">
        <v>2988</v>
      </c>
      <c r="G1007" s="11" t="s">
        <v>2989</v>
      </c>
      <c r="H1007" s="11" t="s">
        <v>2990</v>
      </c>
      <c r="I1007" s="11" t="s">
        <v>2901</v>
      </c>
    </row>
    <row r="1008" spans="1:9" x14ac:dyDescent="0.15">
      <c r="A1008" s="10">
        <v>1007</v>
      </c>
      <c r="B1008" s="11" t="s">
        <v>9</v>
      </c>
      <c r="C1008" s="11" t="s">
        <v>152</v>
      </c>
      <c r="D1008" s="11" t="s">
        <v>153</v>
      </c>
      <c r="E1008" s="9" t="str">
        <f>+HYPERLINK("http://trademark.i-assist.jp/data/china/image_1906th/79792948.pdf", "79792948")</f>
        <v>79792948</v>
      </c>
      <c r="F1008" s="11" t="s">
        <v>2991</v>
      </c>
      <c r="G1008" s="11" t="s">
        <v>2947</v>
      </c>
      <c r="H1008" s="11" t="s">
        <v>2992</v>
      </c>
      <c r="I1008" s="11" t="s">
        <v>2901</v>
      </c>
    </row>
    <row r="1009" spans="1:9" x14ac:dyDescent="0.15">
      <c r="A1009" s="10">
        <v>1008</v>
      </c>
      <c r="B1009" s="11" t="s">
        <v>9</v>
      </c>
      <c r="C1009" s="11" t="s">
        <v>152</v>
      </c>
      <c r="D1009" s="11" t="s">
        <v>153</v>
      </c>
      <c r="E1009" s="9" t="str">
        <f>+HYPERLINK("http://trademark.i-assist.jp/data/china/image_1906th/79793040.pdf", "79793040")</f>
        <v>79793040</v>
      </c>
      <c r="F1009" s="11" t="s">
        <v>2993</v>
      </c>
      <c r="G1009" s="11" t="s">
        <v>2918</v>
      </c>
      <c r="H1009" s="11" t="s">
        <v>2994</v>
      </c>
      <c r="I1009" s="11" t="s">
        <v>2901</v>
      </c>
    </row>
    <row r="1010" spans="1:9" x14ac:dyDescent="0.15">
      <c r="A1010" s="10">
        <v>1009</v>
      </c>
      <c r="B1010" s="11" t="s">
        <v>9</v>
      </c>
      <c r="C1010" s="11" t="s">
        <v>152</v>
      </c>
      <c r="D1010" s="11" t="s">
        <v>153</v>
      </c>
      <c r="E1010" s="9" t="str">
        <f>+HYPERLINK("http://trademark.i-assist.jp/data/china/image_1906th/79793121.pdf", "79793121")</f>
        <v>79793121</v>
      </c>
      <c r="F1010" s="11" t="s">
        <v>2995</v>
      </c>
      <c r="G1010" s="11" t="s">
        <v>2996</v>
      </c>
      <c r="H1010" s="11" t="s">
        <v>2997</v>
      </c>
      <c r="I1010" s="11" t="s">
        <v>2901</v>
      </c>
    </row>
    <row r="1011" spans="1:9" x14ac:dyDescent="0.15">
      <c r="A1011" s="10">
        <v>1010</v>
      </c>
      <c r="B1011" s="11" t="s">
        <v>9</v>
      </c>
      <c r="C1011" s="11" t="s">
        <v>152</v>
      </c>
      <c r="D1011" s="11" t="s">
        <v>153</v>
      </c>
      <c r="E1011" s="9" t="str">
        <f>+HYPERLINK("http://trademark.i-assist.jp/data/china/image_1906th/79793133.pdf", "79793133")</f>
        <v>79793133</v>
      </c>
      <c r="F1011" s="11" t="s">
        <v>2998</v>
      </c>
      <c r="G1011" s="11" t="s">
        <v>2999</v>
      </c>
      <c r="H1011" s="11" t="s">
        <v>3000</v>
      </c>
      <c r="I1011" s="11" t="s">
        <v>2901</v>
      </c>
    </row>
    <row r="1012" spans="1:9" x14ac:dyDescent="0.15">
      <c r="A1012" s="10">
        <v>1011</v>
      </c>
      <c r="B1012" s="11" t="s">
        <v>9</v>
      </c>
      <c r="C1012" s="11" t="s">
        <v>152</v>
      </c>
      <c r="D1012" s="11" t="s">
        <v>153</v>
      </c>
      <c r="E1012" s="9" t="str">
        <f>+HYPERLINK("http://trademark.i-assist.jp/data/china/image_1906th/79793588.pdf", "79793588")</f>
        <v>79793588</v>
      </c>
      <c r="F1012" s="11" t="s">
        <v>3001</v>
      </c>
      <c r="G1012" s="11" t="s">
        <v>3002</v>
      </c>
      <c r="H1012" s="11" t="s">
        <v>3003</v>
      </c>
      <c r="I1012" s="11" t="s">
        <v>2901</v>
      </c>
    </row>
    <row r="1013" spans="1:9" x14ac:dyDescent="0.15">
      <c r="A1013" s="10">
        <v>1012</v>
      </c>
      <c r="B1013" s="11" t="s">
        <v>9</v>
      </c>
      <c r="C1013" s="11" t="s">
        <v>152</v>
      </c>
      <c r="D1013" s="11" t="s">
        <v>153</v>
      </c>
      <c r="E1013" s="9" t="str">
        <f>+HYPERLINK("http://trademark.i-assist.jp/data/china/image_1906th/79793617.pdf", "79793617")</f>
        <v>79793617</v>
      </c>
      <c r="F1013" s="11" t="s">
        <v>3004</v>
      </c>
      <c r="G1013" s="11" t="s">
        <v>3005</v>
      </c>
      <c r="H1013" s="11" t="s">
        <v>3006</v>
      </c>
      <c r="I1013" s="11" t="s">
        <v>2901</v>
      </c>
    </row>
    <row r="1014" spans="1:9" x14ac:dyDescent="0.15">
      <c r="A1014" s="10">
        <v>1013</v>
      </c>
      <c r="B1014" s="11" t="s">
        <v>9</v>
      </c>
      <c r="C1014" s="11" t="s">
        <v>152</v>
      </c>
      <c r="D1014" s="11" t="s">
        <v>153</v>
      </c>
      <c r="E1014" s="9" t="str">
        <f>+HYPERLINK("http://trademark.i-assist.jp/data/china/image_1906th/79793660.pdf", "79793660")</f>
        <v>79793660</v>
      </c>
      <c r="F1014" s="11" t="s">
        <v>3007</v>
      </c>
      <c r="G1014" s="11" t="s">
        <v>3008</v>
      </c>
      <c r="H1014" s="11" t="s">
        <v>3009</v>
      </c>
      <c r="I1014" s="11" t="s">
        <v>2901</v>
      </c>
    </row>
    <row r="1015" spans="1:9" x14ac:dyDescent="0.15">
      <c r="A1015" s="10">
        <v>1014</v>
      </c>
      <c r="B1015" s="11" t="s">
        <v>9</v>
      </c>
      <c r="C1015" s="11" t="s">
        <v>152</v>
      </c>
      <c r="D1015" s="11" t="s">
        <v>153</v>
      </c>
      <c r="E1015" s="9" t="str">
        <f>+HYPERLINK("http://trademark.i-assist.jp/data/china/image_1906th/79795175.pdf", "79795175")</f>
        <v>79795175</v>
      </c>
      <c r="F1015" s="11" t="s">
        <v>3010</v>
      </c>
      <c r="G1015" s="11" t="s">
        <v>2918</v>
      </c>
      <c r="H1015" s="11" t="s">
        <v>3011</v>
      </c>
      <c r="I1015" s="11" t="s">
        <v>2901</v>
      </c>
    </row>
    <row r="1016" spans="1:9" x14ac:dyDescent="0.15">
      <c r="A1016" s="10">
        <v>1015</v>
      </c>
      <c r="B1016" s="11" t="s">
        <v>9</v>
      </c>
      <c r="C1016" s="11" t="s">
        <v>152</v>
      </c>
      <c r="D1016" s="11" t="s">
        <v>153</v>
      </c>
      <c r="E1016" s="9" t="str">
        <f>+HYPERLINK("http://trademark.i-assist.jp/data/china/image_1906th/79795225.pdf", "79795225")</f>
        <v>79795225</v>
      </c>
      <c r="F1016" s="11" t="s">
        <v>3012</v>
      </c>
      <c r="G1016" s="11" t="s">
        <v>3013</v>
      </c>
      <c r="H1016" s="11" t="s">
        <v>3014</v>
      </c>
      <c r="I1016" s="11" t="s">
        <v>2901</v>
      </c>
    </row>
    <row r="1017" spans="1:9" x14ac:dyDescent="0.15">
      <c r="A1017" s="10">
        <v>1016</v>
      </c>
      <c r="B1017" s="11" t="s">
        <v>9</v>
      </c>
      <c r="C1017" s="11" t="s">
        <v>152</v>
      </c>
      <c r="D1017" s="11" t="s">
        <v>153</v>
      </c>
      <c r="E1017" s="9" t="str">
        <f>+HYPERLINK("http://trademark.i-assist.jp/data/china/image_1906th/79795287.pdf", "79795287")</f>
        <v>79795287</v>
      </c>
      <c r="F1017" s="11" t="s">
        <v>3015</v>
      </c>
      <c r="G1017" s="11" t="s">
        <v>2983</v>
      </c>
      <c r="H1017" s="11" t="s">
        <v>3016</v>
      </c>
      <c r="I1017" s="11" t="s">
        <v>2901</v>
      </c>
    </row>
    <row r="1018" spans="1:9" x14ac:dyDescent="0.15">
      <c r="A1018" s="10">
        <v>1017</v>
      </c>
      <c r="B1018" s="11" t="s">
        <v>9</v>
      </c>
      <c r="C1018" s="11" t="s">
        <v>152</v>
      </c>
      <c r="D1018" s="11" t="s">
        <v>153</v>
      </c>
      <c r="E1018" s="9" t="str">
        <f>+HYPERLINK("http://trademark.i-assist.jp/data/china/image_1906th/79795404.pdf", "79795404")</f>
        <v>79795404</v>
      </c>
      <c r="F1018" s="11" t="s">
        <v>3017</v>
      </c>
      <c r="G1018" s="11" t="s">
        <v>3018</v>
      </c>
      <c r="H1018" s="11" t="s">
        <v>3019</v>
      </c>
      <c r="I1018" s="11" t="s">
        <v>2901</v>
      </c>
    </row>
    <row r="1019" spans="1:9" x14ac:dyDescent="0.15">
      <c r="A1019" s="10">
        <v>1018</v>
      </c>
      <c r="B1019" s="11" t="s">
        <v>9</v>
      </c>
      <c r="C1019" s="11" t="s">
        <v>152</v>
      </c>
      <c r="D1019" s="11" t="s">
        <v>153</v>
      </c>
      <c r="E1019" s="9" t="str">
        <f>+HYPERLINK("http://trademark.i-assist.jp/data/china/image_1906th/79795720.pdf", "79795720")</f>
        <v>79795720</v>
      </c>
      <c r="F1019" s="11" t="s">
        <v>3020</v>
      </c>
      <c r="G1019" s="11" t="s">
        <v>3021</v>
      </c>
      <c r="H1019" s="11" t="s">
        <v>3022</v>
      </c>
      <c r="I1019" s="11" t="s">
        <v>2901</v>
      </c>
    </row>
    <row r="1020" spans="1:9" x14ac:dyDescent="0.15">
      <c r="A1020" s="10">
        <v>1019</v>
      </c>
      <c r="B1020" s="11" t="s">
        <v>9</v>
      </c>
      <c r="C1020" s="11" t="s">
        <v>152</v>
      </c>
      <c r="D1020" s="11" t="s">
        <v>153</v>
      </c>
      <c r="E1020" s="9" t="str">
        <f>+HYPERLINK("http://trademark.i-assist.jp/data/china/image_1906th/79795787.pdf", "79795787")</f>
        <v>79795787</v>
      </c>
      <c r="F1020" s="11" t="s">
        <v>3023</v>
      </c>
      <c r="G1020" s="11" t="s">
        <v>3024</v>
      </c>
      <c r="H1020" s="11" t="s">
        <v>3025</v>
      </c>
      <c r="I1020" s="11" t="s">
        <v>2901</v>
      </c>
    </row>
    <row r="1021" spans="1:9" x14ac:dyDescent="0.15">
      <c r="A1021" s="10">
        <v>1020</v>
      </c>
      <c r="B1021" s="11" t="s">
        <v>9</v>
      </c>
      <c r="C1021" s="11" t="s">
        <v>152</v>
      </c>
      <c r="D1021" s="11" t="s">
        <v>153</v>
      </c>
      <c r="E1021" s="9" t="str">
        <f>+HYPERLINK("http://trademark.i-assist.jp/data/china/image_1906th/79796011.pdf", "79796011")</f>
        <v>79796011</v>
      </c>
      <c r="F1021" s="11" t="s">
        <v>3026</v>
      </c>
      <c r="G1021" s="11" t="s">
        <v>17</v>
      </c>
      <c r="H1021" s="11" t="s">
        <v>3027</v>
      </c>
      <c r="I1021" s="11" t="s">
        <v>2901</v>
      </c>
    </row>
    <row r="1022" spans="1:9" x14ac:dyDescent="0.15">
      <c r="A1022" s="10">
        <v>1021</v>
      </c>
      <c r="B1022" s="11" t="s">
        <v>9</v>
      </c>
      <c r="C1022" s="11" t="s">
        <v>152</v>
      </c>
      <c r="D1022" s="11" t="s">
        <v>153</v>
      </c>
      <c r="E1022" s="9" t="str">
        <f>+HYPERLINK("http://trademark.i-assist.jp/data/china/image_1906th/79796673.pdf", "79796673")</f>
        <v>79796673</v>
      </c>
      <c r="F1022" s="11" t="s">
        <v>3028</v>
      </c>
      <c r="G1022" s="11" t="s">
        <v>3029</v>
      </c>
      <c r="H1022" s="11" t="s">
        <v>3030</v>
      </c>
      <c r="I1022" s="11" t="s">
        <v>2901</v>
      </c>
    </row>
    <row r="1023" spans="1:9" x14ac:dyDescent="0.15">
      <c r="A1023" s="10">
        <v>1022</v>
      </c>
      <c r="B1023" s="11" t="s">
        <v>9</v>
      </c>
      <c r="C1023" s="11" t="s">
        <v>152</v>
      </c>
      <c r="D1023" s="11" t="s">
        <v>153</v>
      </c>
      <c r="E1023" s="9" t="str">
        <f>+HYPERLINK("http://trademark.i-assist.jp/data/china/image_1906th/79796928.pdf", "79796928")</f>
        <v>79796928</v>
      </c>
      <c r="F1023" s="11" t="s">
        <v>3031</v>
      </c>
      <c r="G1023" s="11" t="s">
        <v>3032</v>
      </c>
      <c r="H1023" s="11" t="s">
        <v>3033</v>
      </c>
      <c r="I1023" s="11" t="s">
        <v>2901</v>
      </c>
    </row>
    <row r="1024" spans="1:9" x14ac:dyDescent="0.15">
      <c r="A1024" s="10">
        <v>1023</v>
      </c>
      <c r="B1024" s="11" t="s">
        <v>9</v>
      </c>
      <c r="C1024" s="11" t="s">
        <v>152</v>
      </c>
      <c r="D1024" s="11" t="s">
        <v>153</v>
      </c>
      <c r="E1024" s="9" t="str">
        <f>+HYPERLINK("http://trademark.i-assist.jp/data/china/image_1906th/79797024.pdf", "79797024")</f>
        <v>79797024</v>
      </c>
      <c r="F1024" s="11" t="s">
        <v>3034</v>
      </c>
      <c r="G1024" s="11" t="s">
        <v>3035</v>
      </c>
      <c r="H1024" s="11" t="s">
        <v>3036</v>
      </c>
      <c r="I1024" s="11" t="s">
        <v>2901</v>
      </c>
    </row>
    <row r="1025" spans="1:9" x14ac:dyDescent="0.15">
      <c r="A1025" s="10">
        <v>1024</v>
      </c>
      <c r="B1025" s="11" t="s">
        <v>9</v>
      </c>
      <c r="C1025" s="11" t="s">
        <v>152</v>
      </c>
      <c r="D1025" s="11" t="s">
        <v>153</v>
      </c>
      <c r="E1025" s="9" t="str">
        <f>+HYPERLINK("http://trademark.i-assist.jp/data/china/image_1906th/79797259.pdf", "79797259")</f>
        <v>79797259</v>
      </c>
      <c r="F1025" s="11" t="s">
        <v>3037</v>
      </c>
      <c r="G1025" s="11" t="s">
        <v>3038</v>
      </c>
      <c r="H1025" s="11" t="s">
        <v>3039</v>
      </c>
      <c r="I1025" s="11" t="s">
        <v>2901</v>
      </c>
    </row>
    <row r="1026" spans="1:9" x14ac:dyDescent="0.15">
      <c r="A1026" s="10">
        <v>1025</v>
      </c>
      <c r="B1026" s="11" t="s">
        <v>9</v>
      </c>
      <c r="C1026" s="11" t="s">
        <v>152</v>
      </c>
      <c r="D1026" s="11" t="s">
        <v>153</v>
      </c>
      <c r="E1026" s="9" t="str">
        <f>+HYPERLINK("http://trademark.i-assist.jp/data/china/image_1906th/79797299.pdf", "79797299")</f>
        <v>79797299</v>
      </c>
      <c r="F1026" s="11" t="s">
        <v>12</v>
      </c>
      <c r="G1026" s="11" t="s">
        <v>3040</v>
      </c>
      <c r="H1026" s="11" t="s">
        <v>3041</v>
      </c>
      <c r="I1026" s="11" t="s">
        <v>2901</v>
      </c>
    </row>
    <row r="1027" spans="1:9" x14ac:dyDescent="0.15">
      <c r="A1027" s="10">
        <v>1026</v>
      </c>
      <c r="B1027" s="11" t="s">
        <v>9</v>
      </c>
      <c r="C1027" s="11" t="s">
        <v>152</v>
      </c>
      <c r="D1027" s="11" t="s">
        <v>153</v>
      </c>
      <c r="E1027" s="9" t="str">
        <f>+HYPERLINK("http://trademark.i-assist.jp/data/china/image_1906th/79797304.pdf", "79797304")</f>
        <v>79797304</v>
      </c>
      <c r="F1027" s="11" t="s">
        <v>12</v>
      </c>
      <c r="G1027" s="11" t="s">
        <v>3040</v>
      </c>
      <c r="H1027" s="11" t="s">
        <v>3042</v>
      </c>
      <c r="I1027" s="11" t="s">
        <v>2901</v>
      </c>
    </row>
    <row r="1028" spans="1:9" x14ac:dyDescent="0.15">
      <c r="A1028" s="10">
        <v>1027</v>
      </c>
      <c r="B1028" s="11" t="s">
        <v>9</v>
      </c>
      <c r="C1028" s="11" t="s">
        <v>152</v>
      </c>
      <c r="D1028" s="11" t="s">
        <v>153</v>
      </c>
      <c r="E1028" s="9" t="str">
        <f>+HYPERLINK("http://trademark.i-assist.jp/data/china/image_1906th/79797557.pdf", "79797557")</f>
        <v>79797557</v>
      </c>
      <c r="F1028" s="11" t="s">
        <v>3043</v>
      </c>
      <c r="G1028" s="11" t="s">
        <v>2947</v>
      </c>
      <c r="H1028" s="11" t="s">
        <v>3044</v>
      </c>
      <c r="I1028" s="11" t="s">
        <v>2901</v>
      </c>
    </row>
    <row r="1029" spans="1:9" x14ac:dyDescent="0.15">
      <c r="A1029" s="10">
        <v>1028</v>
      </c>
      <c r="B1029" s="11" t="s">
        <v>9</v>
      </c>
      <c r="C1029" s="11" t="s">
        <v>152</v>
      </c>
      <c r="D1029" s="11" t="s">
        <v>153</v>
      </c>
      <c r="E1029" s="9" t="str">
        <f>+HYPERLINK("http://trademark.i-assist.jp/data/china/image_1906th/79797686.pdf", "79797686")</f>
        <v>79797686</v>
      </c>
      <c r="F1029" s="11" t="s">
        <v>3045</v>
      </c>
      <c r="G1029" s="11" t="s">
        <v>3046</v>
      </c>
      <c r="H1029" s="11" t="s">
        <v>3047</v>
      </c>
      <c r="I1029" s="11" t="s">
        <v>2901</v>
      </c>
    </row>
    <row r="1030" spans="1:9" x14ac:dyDescent="0.15">
      <c r="A1030" s="10">
        <v>1029</v>
      </c>
      <c r="B1030" s="11" t="s">
        <v>9</v>
      </c>
      <c r="C1030" s="11" t="s">
        <v>152</v>
      </c>
      <c r="D1030" s="11" t="s">
        <v>153</v>
      </c>
      <c r="E1030" s="9" t="str">
        <f>+HYPERLINK("http://trademark.i-assist.jp/data/china/image_1906th/79798057.pdf", "79798057")</f>
        <v>79798057</v>
      </c>
      <c r="F1030" s="11" t="s">
        <v>3048</v>
      </c>
      <c r="G1030" s="11" t="s">
        <v>50</v>
      </c>
      <c r="H1030" s="11" t="s">
        <v>3049</v>
      </c>
      <c r="I1030" s="11" t="s">
        <v>2901</v>
      </c>
    </row>
    <row r="1031" spans="1:9" x14ac:dyDescent="0.15">
      <c r="A1031" s="10">
        <v>1030</v>
      </c>
      <c r="B1031" s="11" t="s">
        <v>9</v>
      </c>
      <c r="C1031" s="11" t="s">
        <v>152</v>
      </c>
      <c r="D1031" s="11" t="s">
        <v>153</v>
      </c>
      <c r="E1031" s="9" t="str">
        <f>+HYPERLINK("http://trademark.i-assist.jp/data/china/image_1906th/79798064.pdf", "79798064")</f>
        <v>79798064</v>
      </c>
      <c r="F1031" s="11" t="s">
        <v>3050</v>
      </c>
      <c r="G1031" s="11" t="s">
        <v>3051</v>
      </c>
      <c r="H1031" s="11" t="s">
        <v>3052</v>
      </c>
      <c r="I1031" s="11" t="s">
        <v>2901</v>
      </c>
    </row>
    <row r="1032" spans="1:9" x14ac:dyDescent="0.15">
      <c r="A1032" s="10">
        <v>1031</v>
      </c>
      <c r="B1032" s="11" t="s">
        <v>9</v>
      </c>
      <c r="C1032" s="11" t="s">
        <v>152</v>
      </c>
      <c r="D1032" s="11" t="s">
        <v>153</v>
      </c>
      <c r="E1032" s="9" t="str">
        <f>+HYPERLINK("http://trademark.i-assist.jp/data/china/image_1906th/79798109.pdf", "79798109")</f>
        <v>79798109</v>
      </c>
      <c r="F1032" s="11" t="s">
        <v>3053</v>
      </c>
      <c r="G1032" s="11" t="s">
        <v>3054</v>
      </c>
      <c r="H1032" s="11" t="s">
        <v>3055</v>
      </c>
      <c r="I1032" s="11" t="s">
        <v>2901</v>
      </c>
    </row>
    <row r="1033" spans="1:9" x14ac:dyDescent="0.15">
      <c r="A1033" s="10">
        <v>1032</v>
      </c>
      <c r="B1033" s="11" t="s">
        <v>9</v>
      </c>
      <c r="C1033" s="11" t="s">
        <v>152</v>
      </c>
      <c r="D1033" s="11" t="s">
        <v>153</v>
      </c>
      <c r="E1033" s="9" t="str">
        <f>+HYPERLINK("http://trademark.i-assist.jp/data/china/image_1906th/79798485.pdf", "79798485")</f>
        <v>79798485</v>
      </c>
      <c r="F1033" s="11" t="s">
        <v>3056</v>
      </c>
      <c r="G1033" s="11" t="s">
        <v>3057</v>
      </c>
      <c r="H1033" s="11" t="s">
        <v>3058</v>
      </c>
      <c r="I1033" s="11" t="s">
        <v>2901</v>
      </c>
    </row>
    <row r="1034" spans="1:9" x14ac:dyDescent="0.15">
      <c r="A1034" s="10">
        <v>1033</v>
      </c>
      <c r="B1034" s="11" t="s">
        <v>9</v>
      </c>
      <c r="C1034" s="11" t="s">
        <v>152</v>
      </c>
      <c r="D1034" s="11" t="s">
        <v>153</v>
      </c>
      <c r="E1034" s="9" t="str">
        <f>+HYPERLINK("http://trademark.i-assist.jp/data/china/image_1906th/79798716.pdf", "79798716")</f>
        <v>79798716</v>
      </c>
      <c r="F1034" s="11" t="s">
        <v>3059</v>
      </c>
      <c r="G1034" s="11" t="s">
        <v>3060</v>
      </c>
      <c r="H1034" s="11" t="s">
        <v>3061</v>
      </c>
      <c r="I1034" s="11" t="s">
        <v>2901</v>
      </c>
    </row>
    <row r="1035" spans="1:9" x14ac:dyDescent="0.15">
      <c r="A1035" s="10">
        <v>1034</v>
      </c>
      <c r="B1035" s="11" t="s">
        <v>9</v>
      </c>
      <c r="C1035" s="11" t="s">
        <v>152</v>
      </c>
      <c r="D1035" s="11" t="s">
        <v>153</v>
      </c>
      <c r="E1035" s="9" t="str">
        <f>+HYPERLINK("http://trademark.i-assist.jp/data/china/image_1906th/79799208.pdf", "79799208")</f>
        <v>79799208</v>
      </c>
      <c r="F1035" s="11" t="s">
        <v>3062</v>
      </c>
      <c r="G1035" s="11" t="s">
        <v>3063</v>
      </c>
      <c r="H1035" s="11" t="s">
        <v>3064</v>
      </c>
      <c r="I1035" s="11" t="s">
        <v>2901</v>
      </c>
    </row>
    <row r="1036" spans="1:9" x14ac:dyDescent="0.15">
      <c r="A1036" s="10">
        <v>1035</v>
      </c>
      <c r="B1036" s="11" t="s">
        <v>9</v>
      </c>
      <c r="C1036" s="11" t="s">
        <v>152</v>
      </c>
      <c r="D1036" s="11" t="s">
        <v>153</v>
      </c>
      <c r="E1036" s="9" t="str">
        <f>+HYPERLINK("http://trademark.i-assist.jp/data/china/image_1906th/79799385.pdf", "79799385")</f>
        <v>79799385</v>
      </c>
      <c r="F1036" s="11" t="s">
        <v>3065</v>
      </c>
      <c r="G1036" s="11" t="s">
        <v>3066</v>
      </c>
      <c r="H1036" s="11" t="s">
        <v>3067</v>
      </c>
      <c r="I1036" s="11" t="s">
        <v>2901</v>
      </c>
    </row>
    <row r="1037" spans="1:9" x14ac:dyDescent="0.15">
      <c r="A1037" s="10">
        <v>1036</v>
      </c>
      <c r="B1037" s="11" t="s">
        <v>9</v>
      </c>
      <c r="C1037" s="11" t="s">
        <v>152</v>
      </c>
      <c r="D1037" s="11" t="s">
        <v>153</v>
      </c>
      <c r="E1037" s="9" t="str">
        <f>+HYPERLINK("http://trademark.i-assist.jp/data/china/image_1906th/79799466.pdf", "79799466")</f>
        <v>79799466</v>
      </c>
      <c r="F1037" s="11" t="s">
        <v>3068</v>
      </c>
      <c r="G1037" s="11" t="s">
        <v>3069</v>
      </c>
      <c r="H1037" s="11" t="s">
        <v>3070</v>
      </c>
      <c r="I1037" s="11" t="s">
        <v>2901</v>
      </c>
    </row>
    <row r="1038" spans="1:9" x14ac:dyDescent="0.15">
      <c r="A1038" s="10">
        <v>1037</v>
      </c>
      <c r="B1038" s="11" t="s">
        <v>9</v>
      </c>
      <c r="C1038" s="11" t="s">
        <v>152</v>
      </c>
      <c r="D1038" s="11" t="s">
        <v>153</v>
      </c>
      <c r="E1038" s="9" t="str">
        <f>+HYPERLINK("http://trademark.i-assist.jp/data/china/image_1906th/79799799.pdf", "79799799")</f>
        <v>79799799</v>
      </c>
      <c r="F1038" s="11" t="s">
        <v>3071</v>
      </c>
      <c r="G1038" s="11" t="s">
        <v>3072</v>
      </c>
      <c r="H1038" s="11" t="s">
        <v>3073</v>
      </c>
      <c r="I1038" s="11" t="s">
        <v>2901</v>
      </c>
    </row>
    <row r="1039" spans="1:9" x14ac:dyDescent="0.15">
      <c r="A1039" s="10">
        <v>1038</v>
      </c>
      <c r="B1039" s="11" t="s">
        <v>9</v>
      </c>
      <c r="C1039" s="11" t="s">
        <v>152</v>
      </c>
      <c r="D1039" s="11" t="s">
        <v>153</v>
      </c>
      <c r="E1039" s="9" t="str">
        <f>+HYPERLINK("http://trademark.i-assist.jp/data/china/image_1906th/79799966.pdf", "79799966")</f>
        <v>79799966</v>
      </c>
      <c r="F1039" s="11" t="s">
        <v>3074</v>
      </c>
      <c r="G1039" s="11" t="s">
        <v>3075</v>
      </c>
      <c r="H1039" s="11" t="s">
        <v>3076</v>
      </c>
      <c r="I1039" s="11" t="s">
        <v>2901</v>
      </c>
    </row>
    <row r="1040" spans="1:9" x14ac:dyDescent="0.15">
      <c r="A1040" s="10">
        <v>1039</v>
      </c>
      <c r="B1040" s="11" t="s">
        <v>9</v>
      </c>
      <c r="C1040" s="11" t="s">
        <v>152</v>
      </c>
      <c r="D1040" s="11" t="s">
        <v>153</v>
      </c>
      <c r="E1040" s="9" t="str">
        <f>+HYPERLINK("http://trademark.i-assist.jp/data/china/image_1906th/79800035.pdf", "79800035")</f>
        <v>79800035</v>
      </c>
      <c r="F1040" s="11" t="s">
        <v>3077</v>
      </c>
      <c r="G1040" s="11" t="s">
        <v>3078</v>
      </c>
      <c r="H1040" s="11" t="s">
        <v>3079</v>
      </c>
      <c r="I1040" s="11" t="s">
        <v>2901</v>
      </c>
    </row>
    <row r="1041" spans="1:9" x14ac:dyDescent="0.15">
      <c r="A1041" s="10">
        <v>1040</v>
      </c>
      <c r="B1041" s="11" t="s">
        <v>9</v>
      </c>
      <c r="C1041" s="11" t="s">
        <v>152</v>
      </c>
      <c r="D1041" s="11" t="s">
        <v>153</v>
      </c>
      <c r="E1041" s="9" t="str">
        <f>+HYPERLINK("http://trademark.i-assist.jp/data/china/image_1906th/79800182.pdf", "79800182")</f>
        <v>79800182</v>
      </c>
      <c r="F1041" s="11" t="s">
        <v>3080</v>
      </c>
      <c r="G1041" s="11" t="s">
        <v>3081</v>
      </c>
      <c r="H1041" s="11" t="s">
        <v>3082</v>
      </c>
      <c r="I1041" s="11" t="s">
        <v>2901</v>
      </c>
    </row>
    <row r="1042" spans="1:9" x14ac:dyDescent="0.15">
      <c r="A1042" s="10">
        <v>1041</v>
      </c>
      <c r="B1042" s="11" t="s">
        <v>9</v>
      </c>
      <c r="C1042" s="11" t="s">
        <v>152</v>
      </c>
      <c r="D1042" s="11" t="s">
        <v>153</v>
      </c>
      <c r="E1042" s="9" t="str">
        <f>+HYPERLINK("http://trademark.i-assist.jp/data/china/image_1906th/79800251.pdf", "79800251")</f>
        <v>79800251</v>
      </c>
      <c r="F1042" s="11" t="s">
        <v>3083</v>
      </c>
      <c r="G1042" s="11" t="s">
        <v>3084</v>
      </c>
      <c r="H1042" s="11" t="s">
        <v>3085</v>
      </c>
      <c r="I1042" s="11" t="s">
        <v>2901</v>
      </c>
    </row>
    <row r="1043" spans="1:9" x14ac:dyDescent="0.15">
      <c r="A1043" s="10">
        <v>1042</v>
      </c>
      <c r="B1043" s="11" t="s">
        <v>9</v>
      </c>
      <c r="C1043" s="11" t="s">
        <v>152</v>
      </c>
      <c r="D1043" s="11" t="s">
        <v>153</v>
      </c>
      <c r="E1043" s="9" t="str">
        <f>+HYPERLINK("http://trademark.i-assist.jp/data/china/image_1906th/79800537.pdf", "79800537")</f>
        <v>79800537</v>
      </c>
      <c r="F1043" s="11" t="s">
        <v>3086</v>
      </c>
      <c r="G1043" s="11" t="s">
        <v>3087</v>
      </c>
      <c r="H1043" s="11" t="s">
        <v>3088</v>
      </c>
      <c r="I1043" s="11" t="s">
        <v>2901</v>
      </c>
    </row>
    <row r="1044" spans="1:9" x14ac:dyDescent="0.15">
      <c r="A1044" s="10">
        <v>1043</v>
      </c>
      <c r="B1044" s="11" t="s">
        <v>9</v>
      </c>
      <c r="C1044" s="11" t="s">
        <v>152</v>
      </c>
      <c r="D1044" s="11" t="s">
        <v>153</v>
      </c>
      <c r="E1044" s="9" t="str">
        <f>+HYPERLINK("http://trademark.i-assist.jp/data/china/image_1906th/79800563.pdf", "79800563")</f>
        <v>79800563</v>
      </c>
      <c r="F1044" s="11" t="s">
        <v>3089</v>
      </c>
      <c r="G1044" s="11" t="s">
        <v>3090</v>
      </c>
      <c r="H1044" s="11" t="s">
        <v>3091</v>
      </c>
      <c r="I1044" s="11" t="s">
        <v>2901</v>
      </c>
    </row>
    <row r="1045" spans="1:9" x14ac:dyDescent="0.15">
      <c r="A1045" s="10">
        <v>1044</v>
      </c>
      <c r="B1045" s="11" t="s">
        <v>9</v>
      </c>
      <c r="C1045" s="11" t="s">
        <v>152</v>
      </c>
      <c r="D1045" s="11" t="s">
        <v>153</v>
      </c>
      <c r="E1045" s="9" t="str">
        <f>+HYPERLINK("http://trademark.i-assist.jp/data/china/image_1906th/79800817.pdf", "79800817")</f>
        <v>79800817</v>
      </c>
      <c r="F1045" s="11" t="s">
        <v>12</v>
      </c>
      <c r="G1045" s="11" t="s">
        <v>3092</v>
      </c>
      <c r="H1045" s="11" t="s">
        <v>3093</v>
      </c>
      <c r="I1045" s="11" t="s">
        <v>2901</v>
      </c>
    </row>
    <row r="1046" spans="1:9" x14ac:dyDescent="0.15">
      <c r="A1046" s="10">
        <v>1045</v>
      </c>
      <c r="B1046" s="11" t="s">
        <v>9</v>
      </c>
      <c r="C1046" s="11" t="s">
        <v>152</v>
      </c>
      <c r="D1046" s="11" t="s">
        <v>153</v>
      </c>
      <c r="E1046" s="9" t="str">
        <f>+HYPERLINK("http://trademark.i-assist.jp/data/china/image_1906th/79800890.pdf", "79800890")</f>
        <v>79800890</v>
      </c>
      <c r="F1046" s="11" t="s">
        <v>3094</v>
      </c>
      <c r="G1046" s="11" t="s">
        <v>3095</v>
      </c>
      <c r="H1046" s="11" t="s">
        <v>3096</v>
      </c>
      <c r="I1046" s="11" t="s">
        <v>2901</v>
      </c>
    </row>
    <row r="1047" spans="1:9" x14ac:dyDescent="0.15">
      <c r="A1047" s="10">
        <v>1046</v>
      </c>
      <c r="B1047" s="11" t="s">
        <v>9</v>
      </c>
      <c r="C1047" s="11" t="s">
        <v>152</v>
      </c>
      <c r="D1047" s="11" t="s">
        <v>153</v>
      </c>
      <c r="E1047" s="9" t="str">
        <f>+HYPERLINK("http://trademark.i-assist.jp/data/china/image_1906th/79801998.pdf", "79801998")</f>
        <v>79801998</v>
      </c>
      <c r="F1047" s="11" t="s">
        <v>3097</v>
      </c>
      <c r="G1047" s="11" t="s">
        <v>50</v>
      </c>
      <c r="H1047" s="11" t="s">
        <v>3098</v>
      </c>
      <c r="I1047" s="11" t="s">
        <v>2901</v>
      </c>
    </row>
    <row r="1048" spans="1:9" x14ac:dyDescent="0.15">
      <c r="A1048" s="10">
        <v>1047</v>
      </c>
      <c r="B1048" s="11" t="s">
        <v>9</v>
      </c>
      <c r="C1048" s="11" t="s">
        <v>152</v>
      </c>
      <c r="D1048" s="11" t="s">
        <v>153</v>
      </c>
      <c r="E1048" s="9" t="str">
        <f>+HYPERLINK("http://trademark.i-assist.jp/data/china/image_1906th/79802038.pdf", "79802038")</f>
        <v>79802038</v>
      </c>
      <c r="F1048" s="11" t="s">
        <v>3001</v>
      </c>
      <c r="G1048" s="11" t="s">
        <v>3002</v>
      </c>
      <c r="H1048" s="11" t="s">
        <v>3099</v>
      </c>
      <c r="I1048" s="11" t="s">
        <v>2901</v>
      </c>
    </row>
    <row r="1049" spans="1:9" x14ac:dyDescent="0.15">
      <c r="A1049" s="10">
        <v>1048</v>
      </c>
      <c r="B1049" s="11" t="s">
        <v>9</v>
      </c>
      <c r="C1049" s="11" t="s">
        <v>152</v>
      </c>
      <c r="D1049" s="11" t="s">
        <v>153</v>
      </c>
      <c r="E1049" s="9" t="str">
        <f>+HYPERLINK("http://trademark.i-assist.jp/data/china/image_1906th/79802653.pdf", "79802653")</f>
        <v>79802653</v>
      </c>
      <c r="F1049" s="11" t="s">
        <v>12</v>
      </c>
      <c r="G1049" s="11" t="s">
        <v>3069</v>
      </c>
      <c r="H1049" s="11" t="s">
        <v>3100</v>
      </c>
      <c r="I1049" s="11" t="s">
        <v>2901</v>
      </c>
    </row>
    <row r="1050" spans="1:9" x14ac:dyDescent="0.15">
      <c r="A1050" s="10">
        <v>1049</v>
      </c>
      <c r="B1050" s="11" t="s">
        <v>9</v>
      </c>
      <c r="C1050" s="11" t="s">
        <v>152</v>
      </c>
      <c r="D1050" s="11" t="s">
        <v>153</v>
      </c>
      <c r="E1050" s="9" t="str">
        <f>+HYPERLINK("http://trademark.i-assist.jp/data/china/image_1906th/79803237.pdf", "79803237")</f>
        <v>79803237</v>
      </c>
      <c r="F1050" s="11" t="s">
        <v>12</v>
      </c>
      <c r="G1050" s="11" t="s">
        <v>3101</v>
      </c>
      <c r="H1050" s="11" t="s">
        <v>3102</v>
      </c>
      <c r="I1050" s="11" t="s">
        <v>2901</v>
      </c>
    </row>
    <row r="1051" spans="1:9" x14ac:dyDescent="0.15">
      <c r="A1051" s="10">
        <v>1050</v>
      </c>
      <c r="B1051" s="11" t="s">
        <v>9</v>
      </c>
      <c r="C1051" s="11" t="s">
        <v>152</v>
      </c>
      <c r="D1051" s="11" t="s">
        <v>153</v>
      </c>
      <c r="E1051" s="9" t="str">
        <f>+HYPERLINK("http://trademark.i-assist.jp/data/china/image_1906th/79803465.pdf", "79803465")</f>
        <v>79803465</v>
      </c>
      <c r="F1051" s="11" t="s">
        <v>3103</v>
      </c>
      <c r="G1051" s="11" t="s">
        <v>3104</v>
      </c>
      <c r="H1051" s="11" t="s">
        <v>3105</v>
      </c>
      <c r="I1051" s="11" t="s">
        <v>2901</v>
      </c>
    </row>
    <row r="1052" spans="1:9" x14ac:dyDescent="0.15">
      <c r="A1052" s="10">
        <v>1051</v>
      </c>
      <c r="B1052" s="11" t="s">
        <v>9</v>
      </c>
      <c r="C1052" s="11" t="s">
        <v>152</v>
      </c>
      <c r="D1052" s="11" t="s">
        <v>153</v>
      </c>
      <c r="E1052" s="9" t="str">
        <f>+HYPERLINK("http://trademark.i-assist.jp/data/china/image_1906th/79803565.pdf", "79803565")</f>
        <v>79803565</v>
      </c>
      <c r="F1052" s="11" t="s">
        <v>3106</v>
      </c>
      <c r="G1052" s="11" t="s">
        <v>3107</v>
      </c>
      <c r="H1052" s="11" t="s">
        <v>3108</v>
      </c>
      <c r="I1052" s="11" t="s">
        <v>2901</v>
      </c>
    </row>
    <row r="1053" spans="1:9" x14ac:dyDescent="0.15">
      <c r="A1053" s="10">
        <v>1052</v>
      </c>
      <c r="B1053" s="11" t="s">
        <v>9</v>
      </c>
      <c r="C1053" s="11" t="s">
        <v>152</v>
      </c>
      <c r="D1053" s="11" t="s">
        <v>153</v>
      </c>
      <c r="E1053" s="9" t="str">
        <f>+HYPERLINK("http://trademark.i-assist.jp/data/china/image_1906th/79803731.pdf", "79803731")</f>
        <v>79803731</v>
      </c>
      <c r="F1053" s="11" t="s">
        <v>3109</v>
      </c>
      <c r="G1053" s="11" t="s">
        <v>3110</v>
      </c>
      <c r="H1053" s="11" t="s">
        <v>3111</v>
      </c>
      <c r="I1053" s="11" t="s">
        <v>2901</v>
      </c>
    </row>
    <row r="1054" spans="1:9" x14ac:dyDescent="0.15">
      <c r="A1054" s="10">
        <v>1053</v>
      </c>
      <c r="B1054" s="11" t="s">
        <v>9</v>
      </c>
      <c r="C1054" s="11" t="s">
        <v>152</v>
      </c>
      <c r="D1054" s="11" t="s">
        <v>153</v>
      </c>
      <c r="E1054" s="9" t="str">
        <f>+HYPERLINK("http://trademark.i-assist.jp/data/china/image_1906th/79804478.pdf", "79804478")</f>
        <v>79804478</v>
      </c>
      <c r="F1054" s="11" t="s">
        <v>3112</v>
      </c>
      <c r="G1054" s="11" t="s">
        <v>3113</v>
      </c>
      <c r="H1054" s="11" t="s">
        <v>3114</v>
      </c>
      <c r="I1054" s="11" t="s">
        <v>2901</v>
      </c>
    </row>
    <row r="1055" spans="1:9" x14ac:dyDescent="0.15">
      <c r="A1055" s="10">
        <v>1054</v>
      </c>
      <c r="B1055" s="11" t="s">
        <v>9</v>
      </c>
      <c r="C1055" s="11" t="s">
        <v>152</v>
      </c>
      <c r="D1055" s="11" t="s">
        <v>153</v>
      </c>
      <c r="E1055" s="9" t="str">
        <f>+HYPERLINK("http://trademark.i-assist.jp/data/china/image_1906th/79804647.pdf", "79804647")</f>
        <v>79804647</v>
      </c>
      <c r="F1055" s="11" t="s">
        <v>3115</v>
      </c>
      <c r="G1055" s="11" t="s">
        <v>2983</v>
      </c>
      <c r="H1055" s="11" t="s">
        <v>3116</v>
      </c>
      <c r="I1055" s="11" t="s">
        <v>2901</v>
      </c>
    </row>
    <row r="1056" spans="1:9" x14ac:dyDescent="0.15">
      <c r="A1056" s="10">
        <v>1055</v>
      </c>
      <c r="B1056" s="11" t="s">
        <v>9</v>
      </c>
      <c r="C1056" s="11" t="s">
        <v>152</v>
      </c>
      <c r="D1056" s="11" t="s">
        <v>153</v>
      </c>
      <c r="E1056" s="9" t="str">
        <f>+HYPERLINK("http://trademark.i-assist.jp/data/china/image_1906th/79805751.pdf", "79805751")</f>
        <v>79805751</v>
      </c>
      <c r="F1056" s="11" t="s">
        <v>3117</v>
      </c>
      <c r="G1056" s="11" t="s">
        <v>3087</v>
      </c>
      <c r="H1056" s="11" t="s">
        <v>3118</v>
      </c>
      <c r="I1056" s="11" t="s">
        <v>2901</v>
      </c>
    </row>
    <row r="1057" spans="1:9" x14ac:dyDescent="0.15">
      <c r="A1057" s="10">
        <v>1056</v>
      </c>
      <c r="B1057" s="11" t="s">
        <v>9</v>
      </c>
      <c r="C1057" s="11" t="s">
        <v>152</v>
      </c>
      <c r="D1057" s="11" t="s">
        <v>153</v>
      </c>
      <c r="E1057" s="9" t="str">
        <f>+HYPERLINK("http://trademark.i-assist.jp/data/china/image_1906th/79805918.pdf", "79805918")</f>
        <v>79805918</v>
      </c>
      <c r="F1057" s="11" t="s">
        <v>3119</v>
      </c>
      <c r="G1057" s="11" t="s">
        <v>3120</v>
      </c>
      <c r="H1057" s="11" t="s">
        <v>3121</v>
      </c>
      <c r="I1057" s="11" t="s">
        <v>2901</v>
      </c>
    </row>
    <row r="1058" spans="1:9" x14ac:dyDescent="0.15">
      <c r="A1058" s="10">
        <v>1057</v>
      </c>
      <c r="B1058" s="11" t="s">
        <v>9</v>
      </c>
      <c r="C1058" s="11" t="s">
        <v>152</v>
      </c>
      <c r="D1058" s="11" t="s">
        <v>153</v>
      </c>
      <c r="E1058" s="9" t="str">
        <f>+HYPERLINK("http://trademark.i-assist.jp/data/china/image_1906th/79805994.pdf", "79805994")</f>
        <v>79805994</v>
      </c>
      <c r="F1058" s="11" t="s">
        <v>3122</v>
      </c>
      <c r="G1058" s="11" t="s">
        <v>1035</v>
      </c>
      <c r="H1058" s="11" t="s">
        <v>3123</v>
      </c>
      <c r="I1058" s="11" t="s">
        <v>2901</v>
      </c>
    </row>
    <row r="1059" spans="1:9" x14ac:dyDescent="0.15">
      <c r="A1059" s="10">
        <v>1058</v>
      </c>
      <c r="B1059" s="11" t="s">
        <v>9</v>
      </c>
      <c r="C1059" s="11" t="s">
        <v>152</v>
      </c>
      <c r="D1059" s="11" t="s">
        <v>153</v>
      </c>
      <c r="E1059" s="9" t="str">
        <f>+HYPERLINK("http://trademark.i-assist.jp/data/china/image_1906th/79807186.pdf", "79807186")</f>
        <v>79807186</v>
      </c>
      <c r="F1059" s="11" t="s">
        <v>3124</v>
      </c>
      <c r="G1059" s="11" t="s">
        <v>137</v>
      </c>
      <c r="H1059" s="11" t="s">
        <v>3125</v>
      </c>
      <c r="I1059" s="11" t="s">
        <v>2901</v>
      </c>
    </row>
    <row r="1060" spans="1:9" x14ac:dyDescent="0.15">
      <c r="A1060" s="10">
        <v>1059</v>
      </c>
      <c r="B1060" s="11" t="s">
        <v>9</v>
      </c>
      <c r="C1060" s="11" t="s">
        <v>152</v>
      </c>
      <c r="D1060" s="11" t="s">
        <v>153</v>
      </c>
      <c r="E1060" s="9" t="str">
        <f>+HYPERLINK("http://trademark.i-assist.jp/data/china/image_1906th/79807217.pdf", "79807217")</f>
        <v>79807217</v>
      </c>
      <c r="F1060" s="11" t="s">
        <v>3126</v>
      </c>
      <c r="G1060" s="11" t="s">
        <v>3127</v>
      </c>
      <c r="H1060" s="11" t="s">
        <v>3128</v>
      </c>
      <c r="I1060" s="11" t="s">
        <v>2901</v>
      </c>
    </row>
    <row r="1061" spans="1:9" x14ac:dyDescent="0.15">
      <c r="A1061" s="10">
        <v>1060</v>
      </c>
      <c r="B1061" s="11" t="s">
        <v>9</v>
      </c>
      <c r="C1061" s="11" t="s">
        <v>152</v>
      </c>
      <c r="D1061" s="11" t="s">
        <v>153</v>
      </c>
      <c r="E1061" s="9" t="str">
        <f>+HYPERLINK("http://trademark.i-assist.jp/data/china/image_1906th/79807347.pdf", "79807347")</f>
        <v>79807347</v>
      </c>
      <c r="F1061" s="11" t="s">
        <v>3129</v>
      </c>
      <c r="G1061" s="11" t="s">
        <v>3130</v>
      </c>
      <c r="H1061" s="11" t="s">
        <v>3131</v>
      </c>
      <c r="I1061" s="11" t="s">
        <v>2901</v>
      </c>
    </row>
    <row r="1062" spans="1:9" x14ac:dyDescent="0.15">
      <c r="A1062" s="10">
        <v>1061</v>
      </c>
      <c r="B1062" s="11" t="s">
        <v>9</v>
      </c>
      <c r="C1062" s="11" t="s">
        <v>152</v>
      </c>
      <c r="D1062" s="11" t="s">
        <v>153</v>
      </c>
      <c r="E1062" s="9" t="str">
        <f>+HYPERLINK("http://trademark.i-assist.jp/data/china/image_1906th/79807468.pdf", "79807468")</f>
        <v>79807468</v>
      </c>
      <c r="F1062" s="11" t="s">
        <v>3132</v>
      </c>
      <c r="G1062" s="11" t="s">
        <v>2947</v>
      </c>
      <c r="H1062" s="11" t="s">
        <v>3133</v>
      </c>
      <c r="I1062" s="11" t="s">
        <v>2901</v>
      </c>
    </row>
    <row r="1063" spans="1:9" x14ac:dyDescent="0.15">
      <c r="A1063" s="10">
        <v>1062</v>
      </c>
      <c r="B1063" s="11" t="s">
        <v>9</v>
      </c>
      <c r="C1063" s="11" t="s">
        <v>152</v>
      </c>
      <c r="D1063" s="11" t="s">
        <v>153</v>
      </c>
      <c r="E1063" s="9" t="str">
        <f>+HYPERLINK("http://trademark.i-assist.jp/data/china/image_1906th/79808335.pdf", "79808335")</f>
        <v>79808335</v>
      </c>
      <c r="F1063" s="11" t="s">
        <v>3134</v>
      </c>
      <c r="G1063" s="11" t="s">
        <v>3135</v>
      </c>
      <c r="H1063" s="11" t="s">
        <v>3136</v>
      </c>
      <c r="I1063" s="11" t="s">
        <v>3137</v>
      </c>
    </row>
    <row r="1064" spans="1:9" x14ac:dyDescent="0.15">
      <c r="A1064" s="10">
        <v>1063</v>
      </c>
      <c r="B1064" s="11" t="s">
        <v>9</v>
      </c>
      <c r="C1064" s="11" t="s">
        <v>152</v>
      </c>
      <c r="D1064" s="11" t="s">
        <v>153</v>
      </c>
      <c r="E1064" s="9" t="str">
        <f>+HYPERLINK("http://trademark.i-assist.jp/data/china/image_1906th/79808522.pdf", "79808522")</f>
        <v>79808522</v>
      </c>
      <c r="F1064" s="11" t="s">
        <v>3138</v>
      </c>
      <c r="G1064" s="11" t="s">
        <v>3139</v>
      </c>
      <c r="H1064" s="11" t="s">
        <v>3140</v>
      </c>
      <c r="I1064" s="11" t="s">
        <v>3137</v>
      </c>
    </row>
    <row r="1065" spans="1:9" x14ac:dyDescent="0.15">
      <c r="A1065" s="10">
        <v>1064</v>
      </c>
      <c r="B1065" s="11" t="s">
        <v>9</v>
      </c>
      <c r="C1065" s="11" t="s">
        <v>152</v>
      </c>
      <c r="D1065" s="11" t="s">
        <v>153</v>
      </c>
      <c r="E1065" s="9" t="str">
        <f>+HYPERLINK("http://trademark.i-assist.jp/data/china/image_1906th/79808757.pdf", "79808757")</f>
        <v>79808757</v>
      </c>
      <c r="F1065" s="11" t="s">
        <v>3141</v>
      </c>
      <c r="G1065" s="11" t="s">
        <v>3142</v>
      </c>
      <c r="H1065" s="11" t="s">
        <v>3143</v>
      </c>
      <c r="I1065" s="11" t="s">
        <v>3137</v>
      </c>
    </row>
    <row r="1066" spans="1:9" x14ac:dyDescent="0.15">
      <c r="A1066" s="10">
        <v>1065</v>
      </c>
      <c r="B1066" s="11" t="s">
        <v>9</v>
      </c>
      <c r="C1066" s="11" t="s">
        <v>152</v>
      </c>
      <c r="D1066" s="11" t="s">
        <v>153</v>
      </c>
      <c r="E1066" s="9" t="str">
        <f>+HYPERLINK("http://trademark.i-assist.jp/data/china/image_1906th/79809282.pdf", "79809282")</f>
        <v>79809282</v>
      </c>
      <c r="F1066" s="11" t="s">
        <v>3144</v>
      </c>
      <c r="G1066" s="11" t="s">
        <v>3145</v>
      </c>
      <c r="H1066" s="11" t="s">
        <v>3146</v>
      </c>
      <c r="I1066" s="11" t="s">
        <v>3137</v>
      </c>
    </row>
    <row r="1067" spans="1:9" x14ac:dyDescent="0.15">
      <c r="A1067" s="10">
        <v>1066</v>
      </c>
      <c r="B1067" s="11" t="s">
        <v>9</v>
      </c>
      <c r="C1067" s="11" t="s">
        <v>152</v>
      </c>
      <c r="D1067" s="11" t="s">
        <v>153</v>
      </c>
      <c r="E1067" s="9" t="str">
        <f>+HYPERLINK("http://trademark.i-assist.jp/data/china/image_1906th/79809304.pdf", "79809304")</f>
        <v>79809304</v>
      </c>
      <c r="F1067" s="11" t="s">
        <v>3147</v>
      </c>
      <c r="G1067" s="11" t="s">
        <v>3148</v>
      </c>
      <c r="H1067" s="11" t="s">
        <v>3149</v>
      </c>
      <c r="I1067" s="11" t="s">
        <v>3137</v>
      </c>
    </row>
    <row r="1068" spans="1:9" x14ac:dyDescent="0.15">
      <c r="A1068" s="10">
        <v>1067</v>
      </c>
      <c r="B1068" s="11" t="s">
        <v>9</v>
      </c>
      <c r="C1068" s="11" t="s">
        <v>152</v>
      </c>
      <c r="D1068" s="11" t="s">
        <v>153</v>
      </c>
      <c r="E1068" s="9" t="str">
        <f>+HYPERLINK("http://trademark.i-assist.jp/data/china/image_1906th/79809334.pdf", "79809334")</f>
        <v>79809334</v>
      </c>
      <c r="F1068" s="11" t="s">
        <v>3150</v>
      </c>
      <c r="G1068" s="11" t="s">
        <v>3151</v>
      </c>
      <c r="H1068" s="11" t="s">
        <v>3152</v>
      </c>
      <c r="I1068" s="11" t="s">
        <v>3137</v>
      </c>
    </row>
    <row r="1069" spans="1:9" x14ac:dyDescent="0.15">
      <c r="A1069" s="10">
        <v>1068</v>
      </c>
      <c r="B1069" s="11" t="s">
        <v>9</v>
      </c>
      <c r="C1069" s="11" t="s">
        <v>152</v>
      </c>
      <c r="D1069" s="11" t="s">
        <v>153</v>
      </c>
      <c r="E1069" s="9" t="str">
        <f>+HYPERLINK("http://trademark.i-assist.jp/data/china/image_1906th/79809387.pdf", "79809387")</f>
        <v>79809387</v>
      </c>
      <c r="F1069" s="11" t="s">
        <v>3153</v>
      </c>
      <c r="G1069" s="11" t="s">
        <v>3154</v>
      </c>
      <c r="H1069" s="11" t="s">
        <v>3155</v>
      </c>
      <c r="I1069" s="11" t="s">
        <v>3137</v>
      </c>
    </row>
    <row r="1070" spans="1:9" x14ac:dyDescent="0.15">
      <c r="A1070" s="10">
        <v>1069</v>
      </c>
      <c r="B1070" s="11" t="s">
        <v>9</v>
      </c>
      <c r="C1070" s="11" t="s">
        <v>152</v>
      </c>
      <c r="D1070" s="11" t="s">
        <v>153</v>
      </c>
      <c r="E1070" s="9" t="str">
        <f>+HYPERLINK("http://trademark.i-assist.jp/data/china/image_1906th/79809634.pdf", "79809634")</f>
        <v>79809634</v>
      </c>
      <c r="F1070" s="11" t="s">
        <v>3156</v>
      </c>
      <c r="G1070" s="11" t="s">
        <v>3157</v>
      </c>
      <c r="H1070" s="11" t="s">
        <v>3158</v>
      </c>
      <c r="I1070" s="11" t="s">
        <v>3137</v>
      </c>
    </row>
    <row r="1071" spans="1:9" x14ac:dyDescent="0.15">
      <c r="A1071" s="10">
        <v>1070</v>
      </c>
      <c r="B1071" s="11" t="s">
        <v>9</v>
      </c>
      <c r="C1071" s="11" t="s">
        <v>152</v>
      </c>
      <c r="D1071" s="11" t="s">
        <v>153</v>
      </c>
      <c r="E1071" s="9" t="str">
        <f>+HYPERLINK("http://trademark.i-assist.jp/data/china/image_1906th/79810217.pdf", "79810217")</f>
        <v>79810217</v>
      </c>
      <c r="F1071" s="11" t="s">
        <v>3159</v>
      </c>
      <c r="G1071" s="11" t="s">
        <v>3160</v>
      </c>
      <c r="H1071" s="11" t="s">
        <v>3161</v>
      </c>
      <c r="I1071" s="11" t="s">
        <v>3137</v>
      </c>
    </row>
    <row r="1072" spans="1:9" x14ac:dyDescent="0.15">
      <c r="A1072" s="10">
        <v>1071</v>
      </c>
      <c r="B1072" s="11" t="s">
        <v>9</v>
      </c>
      <c r="C1072" s="11" t="s">
        <v>152</v>
      </c>
      <c r="D1072" s="11" t="s">
        <v>153</v>
      </c>
      <c r="E1072" s="9" t="str">
        <f>+HYPERLINK("http://trademark.i-assist.jp/data/china/image_1906th/79810240.pdf", "79810240")</f>
        <v>79810240</v>
      </c>
      <c r="F1072" s="11" t="s">
        <v>3162</v>
      </c>
      <c r="G1072" s="11" t="s">
        <v>3160</v>
      </c>
      <c r="H1072" s="11" t="s">
        <v>3161</v>
      </c>
      <c r="I1072" s="11" t="s">
        <v>3137</v>
      </c>
    </row>
    <row r="1073" spans="1:9" x14ac:dyDescent="0.15">
      <c r="A1073" s="10">
        <v>1072</v>
      </c>
      <c r="B1073" s="11" t="s">
        <v>9</v>
      </c>
      <c r="C1073" s="11" t="s">
        <v>152</v>
      </c>
      <c r="D1073" s="11" t="s">
        <v>153</v>
      </c>
      <c r="E1073" s="9" t="str">
        <f>+HYPERLINK("http://trademark.i-assist.jp/data/china/image_1906th/79810304.pdf", "79810304")</f>
        <v>79810304</v>
      </c>
      <c r="F1073" s="11" t="s">
        <v>3163</v>
      </c>
      <c r="G1073" s="11" t="s">
        <v>3164</v>
      </c>
      <c r="H1073" s="11" t="s">
        <v>3165</v>
      </c>
      <c r="I1073" s="11" t="s">
        <v>3137</v>
      </c>
    </row>
    <row r="1074" spans="1:9" x14ac:dyDescent="0.15">
      <c r="A1074" s="10">
        <v>1073</v>
      </c>
      <c r="B1074" s="11" t="s">
        <v>9</v>
      </c>
      <c r="C1074" s="11" t="s">
        <v>152</v>
      </c>
      <c r="D1074" s="11" t="s">
        <v>153</v>
      </c>
      <c r="E1074" s="9" t="str">
        <f>+HYPERLINK("http://trademark.i-assist.jp/data/china/image_1906th/79810480.pdf", "79810480")</f>
        <v>79810480</v>
      </c>
      <c r="F1074" s="11" t="s">
        <v>3166</v>
      </c>
      <c r="G1074" s="11" t="s">
        <v>3167</v>
      </c>
      <c r="H1074" s="11" t="s">
        <v>3168</v>
      </c>
      <c r="I1074" s="11" t="s">
        <v>3137</v>
      </c>
    </row>
    <row r="1075" spans="1:9" x14ac:dyDescent="0.15">
      <c r="A1075" s="10">
        <v>1074</v>
      </c>
      <c r="B1075" s="11" t="s">
        <v>9</v>
      </c>
      <c r="C1075" s="11" t="s">
        <v>152</v>
      </c>
      <c r="D1075" s="11" t="s">
        <v>153</v>
      </c>
      <c r="E1075" s="9" t="str">
        <f>+HYPERLINK("http://trademark.i-assist.jp/data/china/image_1906th/79810535.pdf", "79810535")</f>
        <v>79810535</v>
      </c>
      <c r="F1075" s="11" t="s">
        <v>3169</v>
      </c>
      <c r="G1075" s="11" t="s">
        <v>3154</v>
      </c>
      <c r="H1075" s="11" t="s">
        <v>3170</v>
      </c>
      <c r="I1075" s="11" t="s">
        <v>3137</v>
      </c>
    </row>
    <row r="1076" spans="1:9" x14ac:dyDescent="0.15">
      <c r="A1076" s="10">
        <v>1075</v>
      </c>
      <c r="B1076" s="11" t="s">
        <v>9</v>
      </c>
      <c r="C1076" s="11" t="s">
        <v>152</v>
      </c>
      <c r="D1076" s="11" t="s">
        <v>153</v>
      </c>
      <c r="E1076" s="9" t="str">
        <f>+HYPERLINK("http://trademark.i-assist.jp/data/china/image_1906th/79811065.pdf", "79811065")</f>
        <v>79811065</v>
      </c>
      <c r="F1076" s="11" t="s">
        <v>3171</v>
      </c>
      <c r="G1076" s="11" t="s">
        <v>3172</v>
      </c>
      <c r="H1076" s="11" t="s">
        <v>3173</v>
      </c>
      <c r="I1076" s="11" t="s">
        <v>3137</v>
      </c>
    </row>
    <row r="1077" spans="1:9" x14ac:dyDescent="0.15">
      <c r="A1077" s="10">
        <v>1076</v>
      </c>
      <c r="B1077" s="11" t="s">
        <v>9</v>
      </c>
      <c r="C1077" s="11" t="s">
        <v>152</v>
      </c>
      <c r="D1077" s="11" t="s">
        <v>153</v>
      </c>
      <c r="E1077" s="9" t="str">
        <f>+HYPERLINK("http://trademark.i-assist.jp/data/china/image_1906th/79811108.pdf", "79811108")</f>
        <v>79811108</v>
      </c>
      <c r="F1077" s="11" t="s">
        <v>3174</v>
      </c>
      <c r="G1077" s="11" t="s">
        <v>3175</v>
      </c>
      <c r="H1077" s="11" t="s">
        <v>3176</v>
      </c>
      <c r="I1077" s="11" t="s">
        <v>3137</v>
      </c>
    </row>
    <row r="1078" spans="1:9" x14ac:dyDescent="0.15">
      <c r="A1078" s="10">
        <v>1077</v>
      </c>
      <c r="B1078" s="11" t="s">
        <v>9</v>
      </c>
      <c r="C1078" s="11" t="s">
        <v>152</v>
      </c>
      <c r="D1078" s="11" t="s">
        <v>153</v>
      </c>
      <c r="E1078" s="9" t="str">
        <f>+HYPERLINK("http://trademark.i-assist.jp/data/china/image_1906th/79811558.pdf", "79811558")</f>
        <v>79811558</v>
      </c>
      <c r="F1078" s="11" t="s">
        <v>3177</v>
      </c>
      <c r="G1078" s="11" t="s">
        <v>3178</v>
      </c>
      <c r="H1078" s="11" t="s">
        <v>3179</v>
      </c>
      <c r="I1078" s="11" t="s">
        <v>3137</v>
      </c>
    </row>
    <row r="1079" spans="1:9" x14ac:dyDescent="0.15">
      <c r="A1079" s="10">
        <v>1078</v>
      </c>
      <c r="B1079" s="11" t="s">
        <v>9</v>
      </c>
      <c r="C1079" s="11" t="s">
        <v>152</v>
      </c>
      <c r="D1079" s="11" t="s">
        <v>153</v>
      </c>
      <c r="E1079" s="9" t="str">
        <f>+HYPERLINK("http://trademark.i-assist.jp/data/china/image_1906th/79811885.pdf", "79811885")</f>
        <v>79811885</v>
      </c>
      <c r="F1079" s="11" t="s">
        <v>3180</v>
      </c>
      <c r="G1079" s="11" t="s">
        <v>3181</v>
      </c>
      <c r="H1079" s="11" t="s">
        <v>3182</v>
      </c>
      <c r="I1079" s="11" t="s">
        <v>3137</v>
      </c>
    </row>
    <row r="1080" spans="1:9" x14ac:dyDescent="0.15">
      <c r="A1080" s="10">
        <v>1079</v>
      </c>
      <c r="B1080" s="11" t="s">
        <v>9</v>
      </c>
      <c r="C1080" s="11" t="s">
        <v>152</v>
      </c>
      <c r="D1080" s="11" t="s">
        <v>153</v>
      </c>
      <c r="E1080" s="9" t="str">
        <f>+HYPERLINK("http://trademark.i-assist.jp/data/china/image_1906th/79811917.pdf", "79811917")</f>
        <v>79811917</v>
      </c>
      <c r="F1080" s="11" t="s">
        <v>3183</v>
      </c>
      <c r="G1080" s="11" t="s">
        <v>3184</v>
      </c>
      <c r="H1080" s="11" t="s">
        <v>3185</v>
      </c>
      <c r="I1080" s="11" t="s">
        <v>3137</v>
      </c>
    </row>
    <row r="1081" spans="1:9" x14ac:dyDescent="0.15">
      <c r="A1081" s="10">
        <v>1080</v>
      </c>
      <c r="B1081" s="11" t="s">
        <v>9</v>
      </c>
      <c r="C1081" s="11" t="s">
        <v>152</v>
      </c>
      <c r="D1081" s="11" t="s">
        <v>153</v>
      </c>
      <c r="E1081" s="9" t="str">
        <f>+HYPERLINK("http://trademark.i-assist.jp/data/china/image_1906th/79811955.pdf", "79811955")</f>
        <v>79811955</v>
      </c>
      <c r="F1081" s="11" t="s">
        <v>3186</v>
      </c>
      <c r="G1081" s="11" t="s">
        <v>104</v>
      </c>
      <c r="H1081" s="11" t="s">
        <v>3187</v>
      </c>
      <c r="I1081" s="11" t="s">
        <v>3137</v>
      </c>
    </row>
    <row r="1082" spans="1:9" x14ac:dyDescent="0.15">
      <c r="A1082" s="10">
        <v>1081</v>
      </c>
      <c r="B1082" s="11" t="s">
        <v>9</v>
      </c>
      <c r="C1082" s="11" t="s">
        <v>152</v>
      </c>
      <c r="D1082" s="11" t="s">
        <v>153</v>
      </c>
      <c r="E1082" s="9" t="str">
        <f>+HYPERLINK("http://trademark.i-assist.jp/data/china/image_1906th/79811958.pdf", "79811958")</f>
        <v>79811958</v>
      </c>
      <c r="F1082" s="11" t="s">
        <v>3188</v>
      </c>
      <c r="G1082" s="11" t="s">
        <v>86</v>
      </c>
      <c r="H1082" s="11" t="s">
        <v>3189</v>
      </c>
      <c r="I1082" s="11" t="s">
        <v>3137</v>
      </c>
    </row>
    <row r="1083" spans="1:9" x14ac:dyDescent="0.15">
      <c r="A1083" s="10">
        <v>1082</v>
      </c>
      <c r="B1083" s="11" t="s">
        <v>9</v>
      </c>
      <c r="C1083" s="11" t="s">
        <v>152</v>
      </c>
      <c r="D1083" s="11" t="s">
        <v>153</v>
      </c>
      <c r="E1083" s="9" t="str">
        <f>+HYPERLINK("http://trademark.i-assist.jp/data/china/image_1906th/79812194.pdf", "79812194")</f>
        <v>79812194</v>
      </c>
      <c r="F1083" s="11" t="s">
        <v>3190</v>
      </c>
      <c r="G1083" s="11" t="s">
        <v>3191</v>
      </c>
      <c r="H1083" s="11" t="s">
        <v>3192</v>
      </c>
      <c r="I1083" s="11" t="s">
        <v>3137</v>
      </c>
    </row>
    <row r="1084" spans="1:9" x14ac:dyDescent="0.15">
      <c r="A1084" s="10">
        <v>1083</v>
      </c>
      <c r="B1084" s="11" t="s">
        <v>9</v>
      </c>
      <c r="C1084" s="11" t="s">
        <v>152</v>
      </c>
      <c r="D1084" s="11" t="s">
        <v>153</v>
      </c>
      <c r="E1084" s="9" t="str">
        <f>+HYPERLINK("http://trademark.i-assist.jp/data/china/image_1906th/79812593.pdf", "79812593")</f>
        <v>79812593</v>
      </c>
      <c r="F1084" s="11" t="s">
        <v>3193</v>
      </c>
      <c r="G1084" s="11" t="s">
        <v>3139</v>
      </c>
      <c r="H1084" s="11" t="s">
        <v>3194</v>
      </c>
      <c r="I1084" s="11" t="s">
        <v>3137</v>
      </c>
    </row>
    <row r="1085" spans="1:9" x14ac:dyDescent="0.15">
      <c r="A1085" s="10">
        <v>1084</v>
      </c>
      <c r="B1085" s="11" t="s">
        <v>9</v>
      </c>
      <c r="C1085" s="11" t="s">
        <v>152</v>
      </c>
      <c r="D1085" s="11" t="s">
        <v>153</v>
      </c>
      <c r="E1085" s="9" t="str">
        <f>+HYPERLINK("http://trademark.i-assist.jp/data/china/image_1906th/79813350.pdf", "79813350")</f>
        <v>79813350</v>
      </c>
      <c r="F1085" s="11" t="s">
        <v>3195</v>
      </c>
      <c r="G1085" s="11" t="s">
        <v>27</v>
      </c>
      <c r="H1085" s="11" t="s">
        <v>3196</v>
      </c>
      <c r="I1085" s="11" t="s">
        <v>3137</v>
      </c>
    </row>
    <row r="1086" spans="1:9" x14ac:dyDescent="0.15">
      <c r="A1086" s="10">
        <v>1085</v>
      </c>
      <c r="B1086" s="11" t="s">
        <v>9</v>
      </c>
      <c r="C1086" s="11" t="s">
        <v>152</v>
      </c>
      <c r="D1086" s="11" t="s">
        <v>153</v>
      </c>
      <c r="E1086" s="9" t="str">
        <f>+HYPERLINK("http://trademark.i-assist.jp/data/china/image_1906th/79814380.pdf", "79814380")</f>
        <v>79814380</v>
      </c>
      <c r="F1086" s="11" t="s">
        <v>3197</v>
      </c>
      <c r="G1086" s="11" t="s">
        <v>3198</v>
      </c>
      <c r="H1086" s="11" t="s">
        <v>3199</v>
      </c>
      <c r="I1086" s="11" t="s">
        <v>3137</v>
      </c>
    </row>
    <row r="1087" spans="1:9" x14ac:dyDescent="0.15">
      <c r="A1087" s="10">
        <v>1086</v>
      </c>
      <c r="B1087" s="11" t="s">
        <v>9</v>
      </c>
      <c r="C1087" s="11" t="s">
        <v>152</v>
      </c>
      <c r="D1087" s="11" t="s">
        <v>153</v>
      </c>
      <c r="E1087" s="9" t="str">
        <f>+HYPERLINK("http://trademark.i-assist.jp/data/china/image_1906th/79814438.pdf", "79814438")</f>
        <v>79814438</v>
      </c>
      <c r="F1087" s="11" t="s">
        <v>3200</v>
      </c>
      <c r="G1087" s="11" t="s">
        <v>3201</v>
      </c>
      <c r="H1087" s="11" t="s">
        <v>3202</v>
      </c>
      <c r="I1087" s="11" t="s">
        <v>3137</v>
      </c>
    </row>
    <row r="1088" spans="1:9" x14ac:dyDescent="0.15">
      <c r="A1088" s="10">
        <v>1087</v>
      </c>
      <c r="B1088" s="11" t="s">
        <v>9</v>
      </c>
      <c r="C1088" s="11" t="s">
        <v>152</v>
      </c>
      <c r="D1088" s="11" t="s">
        <v>153</v>
      </c>
      <c r="E1088" s="9" t="str">
        <f>+HYPERLINK("http://trademark.i-assist.jp/data/china/image_1906th/79814549.pdf", "79814549")</f>
        <v>79814549</v>
      </c>
      <c r="F1088" s="11" t="s">
        <v>3203</v>
      </c>
      <c r="G1088" s="11" t="s">
        <v>3204</v>
      </c>
      <c r="H1088" s="11" t="s">
        <v>3205</v>
      </c>
      <c r="I1088" s="11" t="s">
        <v>3137</v>
      </c>
    </row>
    <row r="1089" spans="1:9" x14ac:dyDescent="0.15">
      <c r="A1089" s="10">
        <v>1088</v>
      </c>
      <c r="B1089" s="11" t="s">
        <v>9</v>
      </c>
      <c r="C1089" s="11" t="s">
        <v>152</v>
      </c>
      <c r="D1089" s="11" t="s">
        <v>153</v>
      </c>
      <c r="E1089" s="9" t="str">
        <f>+HYPERLINK("http://trademark.i-assist.jp/data/china/image_1906th/79814711.pdf", "79814711")</f>
        <v>79814711</v>
      </c>
      <c r="F1089" s="11" t="s">
        <v>3206</v>
      </c>
      <c r="G1089" s="11" t="s">
        <v>3142</v>
      </c>
      <c r="H1089" s="11" t="s">
        <v>3207</v>
      </c>
      <c r="I1089" s="11" t="s">
        <v>3137</v>
      </c>
    </row>
    <row r="1090" spans="1:9" x14ac:dyDescent="0.15">
      <c r="A1090" s="10">
        <v>1089</v>
      </c>
      <c r="B1090" s="11" t="s">
        <v>9</v>
      </c>
      <c r="C1090" s="11" t="s">
        <v>152</v>
      </c>
      <c r="D1090" s="11" t="s">
        <v>153</v>
      </c>
      <c r="E1090" s="9" t="str">
        <f>+HYPERLINK("http://trademark.i-assist.jp/data/china/image_1906th/79815363.pdf", "79815363")</f>
        <v>79815363</v>
      </c>
      <c r="F1090" s="11" t="s">
        <v>3208</v>
      </c>
      <c r="G1090" s="11" t="s">
        <v>3148</v>
      </c>
      <c r="H1090" s="11" t="s">
        <v>3209</v>
      </c>
      <c r="I1090" s="11" t="s">
        <v>3137</v>
      </c>
    </row>
    <row r="1091" spans="1:9" x14ac:dyDescent="0.15">
      <c r="A1091" s="10">
        <v>1090</v>
      </c>
      <c r="B1091" s="11" t="s">
        <v>9</v>
      </c>
      <c r="C1091" s="11" t="s">
        <v>152</v>
      </c>
      <c r="D1091" s="11" t="s">
        <v>153</v>
      </c>
      <c r="E1091" s="9" t="str">
        <f>+HYPERLINK("http://trademark.i-assist.jp/data/china/image_1906th/79815459.pdf", "79815459")</f>
        <v>79815459</v>
      </c>
      <c r="F1091" s="11" t="s">
        <v>12</v>
      </c>
      <c r="G1091" s="11" t="s">
        <v>3210</v>
      </c>
      <c r="H1091" s="11" t="s">
        <v>3211</v>
      </c>
      <c r="I1091" s="11" t="s">
        <v>3137</v>
      </c>
    </row>
    <row r="1092" spans="1:9" x14ac:dyDescent="0.15">
      <c r="A1092" s="10">
        <v>1091</v>
      </c>
      <c r="B1092" s="11" t="s">
        <v>9</v>
      </c>
      <c r="C1092" s="11" t="s">
        <v>152</v>
      </c>
      <c r="D1092" s="11" t="s">
        <v>153</v>
      </c>
      <c r="E1092" s="9" t="str">
        <f>+HYPERLINK("http://trademark.i-assist.jp/data/china/image_1906th/79815694.pdf", "79815694")</f>
        <v>79815694</v>
      </c>
      <c r="F1092" s="11" t="s">
        <v>3212</v>
      </c>
      <c r="G1092" s="11" t="s">
        <v>3213</v>
      </c>
      <c r="H1092" s="11" t="s">
        <v>3214</v>
      </c>
      <c r="I1092" s="11" t="s">
        <v>3137</v>
      </c>
    </row>
    <row r="1093" spans="1:9" x14ac:dyDescent="0.15">
      <c r="A1093" s="10">
        <v>1092</v>
      </c>
      <c r="B1093" s="11" t="s">
        <v>9</v>
      </c>
      <c r="C1093" s="11" t="s">
        <v>152</v>
      </c>
      <c r="D1093" s="11" t="s">
        <v>153</v>
      </c>
      <c r="E1093" s="9" t="str">
        <f>+HYPERLINK("http://trademark.i-assist.jp/data/china/image_1906th/79815957.pdf", "79815957")</f>
        <v>79815957</v>
      </c>
      <c r="F1093" s="11" t="s">
        <v>3215</v>
      </c>
      <c r="G1093" s="11" t="s">
        <v>3216</v>
      </c>
      <c r="H1093" s="11" t="s">
        <v>3217</v>
      </c>
      <c r="I1093" s="11" t="s">
        <v>3137</v>
      </c>
    </row>
    <row r="1094" spans="1:9" x14ac:dyDescent="0.15">
      <c r="A1094" s="10">
        <v>1093</v>
      </c>
      <c r="B1094" s="11" t="s">
        <v>9</v>
      </c>
      <c r="C1094" s="11" t="s">
        <v>152</v>
      </c>
      <c r="D1094" s="11" t="s">
        <v>153</v>
      </c>
      <c r="E1094" s="9" t="str">
        <f>+HYPERLINK("http://trademark.i-assist.jp/data/china/image_1906th/79816329.pdf", "79816329")</f>
        <v>79816329</v>
      </c>
      <c r="F1094" s="11" t="s">
        <v>3218</v>
      </c>
      <c r="G1094" s="11" t="s">
        <v>3219</v>
      </c>
      <c r="H1094" s="11" t="s">
        <v>3220</v>
      </c>
      <c r="I1094" s="11" t="s">
        <v>3137</v>
      </c>
    </row>
    <row r="1095" spans="1:9" x14ac:dyDescent="0.15">
      <c r="A1095" s="10">
        <v>1094</v>
      </c>
      <c r="B1095" s="11" t="s">
        <v>9</v>
      </c>
      <c r="C1095" s="11" t="s">
        <v>152</v>
      </c>
      <c r="D1095" s="11" t="s">
        <v>153</v>
      </c>
      <c r="E1095" s="9" t="str">
        <f>+HYPERLINK("http://trademark.i-assist.jp/data/china/image_1906th/79816377.pdf", "79816377")</f>
        <v>79816377</v>
      </c>
      <c r="F1095" s="11" t="s">
        <v>3221</v>
      </c>
      <c r="G1095" s="11" t="s">
        <v>3222</v>
      </c>
      <c r="H1095" s="11" t="s">
        <v>3223</v>
      </c>
      <c r="I1095" s="11" t="s">
        <v>3137</v>
      </c>
    </row>
    <row r="1096" spans="1:9" x14ac:dyDescent="0.15">
      <c r="A1096" s="10">
        <v>1095</v>
      </c>
      <c r="B1096" s="11" t="s">
        <v>9</v>
      </c>
      <c r="C1096" s="11" t="s">
        <v>152</v>
      </c>
      <c r="D1096" s="11" t="s">
        <v>153</v>
      </c>
      <c r="E1096" s="9" t="str">
        <f>+HYPERLINK("http://trademark.i-assist.jp/data/china/image_1906th/79816480.pdf", "79816480")</f>
        <v>79816480</v>
      </c>
      <c r="F1096" s="11" t="s">
        <v>3224</v>
      </c>
      <c r="G1096" s="11" t="s">
        <v>3225</v>
      </c>
      <c r="H1096" s="11" t="s">
        <v>3226</v>
      </c>
      <c r="I1096" s="11" t="s">
        <v>3137</v>
      </c>
    </row>
    <row r="1097" spans="1:9" x14ac:dyDescent="0.15">
      <c r="A1097" s="10">
        <v>1096</v>
      </c>
      <c r="B1097" s="11" t="s">
        <v>9</v>
      </c>
      <c r="C1097" s="11" t="s">
        <v>152</v>
      </c>
      <c r="D1097" s="11" t="s">
        <v>153</v>
      </c>
      <c r="E1097" s="9" t="str">
        <f>+HYPERLINK("http://trademark.i-assist.jp/data/china/image_1906th/79816493.pdf", "79816493")</f>
        <v>79816493</v>
      </c>
      <c r="F1097" s="11" t="s">
        <v>3227</v>
      </c>
      <c r="G1097" s="11" t="s">
        <v>3148</v>
      </c>
      <c r="H1097" s="11" t="s">
        <v>3228</v>
      </c>
      <c r="I1097" s="11" t="s">
        <v>3137</v>
      </c>
    </row>
    <row r="1098" spans="1:9" x14ac:dyDescent="0.15">
      <c r="A1098" s="10">
        <v>1097</v>
      </c>
      <c r="B1098" s="11" t="s">
        <v>9</v>
      </c>
      <c r="C1098" s="11" t="s">
        <v>152</v>
      </c>
      <c r="D1098" s="11" t="s">
        <v>153</v>
      </c>
      <c r="E1098" s="9" t="str">
        <f>+HYPERLINK("http://trademark.i-assist.jp/data/china/image_1906th/79817993.pdf", "79817993")</f>
        <v>79817993</v>
      </c>
      <c r="F1098" s="11" t="s">
        <v>3229</v>
      </c>
      <c r="G1098" s="11" t="s">
        <v>3230</v>
      </c>
      <c r="H1098" s="11" t="s">
        <v>3231</v>
      </c>
      <c r="I1098" s="11" t="s">
        <v>3137</v>
      </c>
    </row>
    <row r="1099" spans="1:9" x14ac:dyDescent="0.15">
      <c r="A1099" s="10">
        <v>1098</v>
      </c>
      <c r="B1099" s="11" t="s">
        <v>9</v>
      </c>
      <c r="C1099" s="11" t="s">
        <v>152</v>
      </c>
      <c r="D1099" s="11" t="s">
        <v>153</v>
      </c>
      <c r="E1099" s="9" t="str">
        <f>+HYPERLINK("http://trademark.i-assist.jp/data/china/image_1906th/79818158.pdf", "79818158")</f>
        <v>79818158</v>
      </c>
      <c r="F1099" s="11" t="s">
        <v>3232</v>
      </c>
      <c r="G1099" s="11" t="s">
        <v>3233</v>
      </c>
      <c r="H1099" s="11" t="s">
        <v>3234</v>
      </c>
      <c r="I1099" s="11" t="s">
        <v>3137</v>
      </c>
    </row>
    <row r="1100" spans="1:9" x14ac:dyDescent="0.15">
      <c r="A1100" s="10">
        <v>1099</v>
      </c>
      <c r="B1100" s="11" t="s">
        <v>9</v>
      </c>
      <c r="C1100" s="11" t="s">
        <v>152</v>
      </c>
      <c r="D1100" s="11" t="s">
        <v>153</v>
      </c>
      <c r="E1100" s="9" t="str">
        <f>+HYPERLINK("http://trademark.i-assist.jp/data/china/image_1906th/79818457.pdf", "79818457")</f>
        <v>79818457</v>
      </c>
      <c r="F1100" s="11" t="s">
        <v>3235</v>
      </c>
      <c r="G1100" s="11" t="s">
        <v>3142</v>
      </c>
      <c r="H1100" s="11" t="s">
        <v>3236</v>
      </c>
      <c r="I1100" s="11" t="s">
        <v>3137</v>
      </c>
    </row>
    <row r="1101" spans="1:9" x14ac:dyDescent="0.15">
      <c r="A1101" s="10">
        <v>1100</v>
      </c>
      <c r="B1101" s="11" t="s">
        <v>9</v>
      </c>
      <c r="C1101" s="11" t="s">
        <v>152</v>
      </c>
      <c r="D1101" s="11" t="s">
        <v>153</v>
      </c>
      <c r="E1101" s="9" t="str">
        <f>+HYPERLINK("http://trademark.i-assist.jp/data/china/image_1906th/79818473.pdf", "79818473")</f>
        <v>79818473</v>
      </c>
      <c r="F1101" s="11" t="s">
        <v>3237</v>
      </c>
      <c r="G1101" s="11" t="s">
        <v>3142</v>
      </c>
      <c r="H1101" s="11" t="s">
        <v>3238</v>
      </c>
      <c r="I1101" s="11" t="s">
        <v>3137</v>
      </c>
    </row>
    <row r="1102" spans="1:9" x14ac:dyDescent="0.15">
      <c r="A1102" s="10">
        <v>1101</v>
      </c>
      <c r="B1102" s="11" t="s">
        <v>9</v>
      </c>
      <c r="C1102" s="11" t="s">
        <v>152</v>
      </c>
      <c r="D1102" s="11" t="s">
        <v>153</v>
      </c>
      <c r="E1102" s="9" t="str">
        <f>+HYPERLINK("http://trademark.i-assist.jp/data/china/image_1906th/79818726.pdf", "79818726")</f>
        <v>79818726</v>
      </c>
      <c r="F1102" s="11" t="s">
        <v>3239</v>
      </c>
      <c r="G1102" s="11" t="s">
        <v>2611</v>
      </c>
      <c r="H1102" s="11" t="s">
        <v>3240</v>
      </c>
      <c r="I1102" s="11" t="s">
        <v>3137</v>
      </c>
    </row>
    <row r="1103" spans="1:9" x14ac:dyDescent="0.15">
      <c r="A1103" s="10">
        <v>1102</v>
      </c>
      <c r="B1103" s="11" t="s">
        <v>9</v>
      </c>
      <c r="C1103" s="11" t="s">
        <v>152</v>
      </c>
      <c r="D1103" s="11" t="s">
        <v>153</v>
      </c>
      <c r="E1103" s="9" t="str">
        <f>+HYPERLINK("http://trademark.i-assist.jp/data/china/image_1906th/79819196.pdf", "79819196")</f>
        <v>79819196</v>
      </c>
      <c r="F1103" s="11" t="s">
        <v>3241</v>
      </c>
      <c r="G1103" s="11" t="s">
        <v>3242</v>
      </c>
      <c r="H1103" s="11" t="s">
        <v>3243</v>
      </c>
      <c r="I1103" s="11" t="s">
        <v>3137</v>
      </c>
    </row>
    <row r="1104" spans="1:9" x14ac:dyDescent="0.15">
      <c r="A1104" s="10">
        <v>1103</v>
      </c>
      <c r="B1104" s="11" t="s">
        <v>9</v>
      </c>
      <c r="C1104" s="11" t="s">
        <v>152</v>
      </c>
      <c r="D1104" s="11" t="s">
        <v>153</v>
      </c>
      <c r="E1104" s="9" t="str">
        <f>+HYPERLINK("http://trademark.i-assist.jp/data/china/image_1906th/79819292.pdf", "79819292")</f>
        <v>79819292</v>
      </c>
      <c r="F1104" s="11" t="s">
        <v>3244</v>
      </c>
      <c r="G1104" s="11" t="s">
        <v>3245</v>
      </c>
      <c r="H1104" s="11" t="s">
        <v>3246</v>
      </c>
      <c r="I1104" s="11" t="s">
        <v>3137</v>
      </c>
    </row>
    <row r="1105" spans="1:9" x14ac:dyDescent="0.15">
      <c r="A1105" s="10">
        <v>1104</v>
      </c>
      <c r="B1105" s="11" t="s">
        <v>9</v>
      </c>
      <c r="C1105" s="11" t="s">
        <v>152</v>
      </c>
      <c r="D1105" s="11" t="s">
        <v>153</v>
      </c>
      <c r="E1105" s="9" t="str">
        <f>+HYPERLINK("http://trademark.i-assist.jp/data/china/image_1906th/79819342.pdf", "79819342")</f>
        <v>79819342</v>
      </c>
      <c r="F1105" s="11" t="s">
        <v>3247</v>
      </c>
      <c r="G1105" s="11" t="s">
        <v>3139</v>
      </c>
      <c r="H1105" s="11" t="s">
        <v>3248</v>
      </c>
      <c r="I1105" s="11" t="s">
        <v>3137</v>
      </c>
    </row>
    <row r="1106" spans="1:9" x14ac:dyDescent="0.15">
      <c r="A1106" s="10">
        <v>1105</v>
      </c>
      <c r="B1106" s="11" t="s">
        <v>9</v>
      </c>
      <c r="C1106" s="11" t="s">
        <v>152</v>
      </c>
      <c r="D1106" s="11" t="s">
        <v>153</v>
      </c>
      <c r="E1106" s="9" t="str">
        <f>+HYPERLINK("http://trademark.i-assist.jp/data/china/image_1906th/79819703.pdf", "79819703")</f>
        <v>79819703</v>
      </c>
      <c r="F1106" s="11" t="s">
        <v>3249</v>
      </c>
      <c r="G1106" s="11" t="s">
        <v>3210</v>
      </c>
      <c r="H1106" s="11" t="s">
        <v>3250</v>
      </c>
      <c r="I1106" s="11" t="s">
        <v>3137</v>
      </c>
    </row>
    <row r="1107" spans="1:9" x14ac:dyDescent="0.15">
      <c r="A1107" s="10">
        <v>1106</v>
      </c>
      <c r="B1107" s="11" t="s">
        <v>9</v>
      </c>
      <c r="C1107" s="11" t="s">
        <v>152</v>
      </c>
      <c r="D1107" s="11" t="s">
        <v>153</v>
      </c>
      <c r="E1107" s="9" t="str">
        <f>+HYPERLINK("http://trademark.i-assist.jp/data/china/image_1906th/79819874.pdf", "79819874")</f>
        <v>79819874</v>
      </c>
      <c r="F1107" s="11" t="s">
        <v>3251</v>
      </c>
      <c r="G1107" s="11" t="s">
        <v>3252</v>
      </c>
      <c r="H1107" s="11" t="s">
        <v>3253</v>
      </c>
      <c r="I1107" s="11" t="s">
        <v>3137</v>
      </c>
    </row>
    <row r="1108" spans="1:9" x14ac:dyDescent="0.15">
      <c r="A1108" s="10">
        <v>1107</v>
      </c>
      <c r="B1108" s="11" t="s">
        <v>9</v>
      </c>
      <c r="C1108" s="11" t="s">
        <v>152</v>
      </c>
      <c r="D1108" s="11" t="s">
        <v>153</v>
      </c>
      <c r="E1108" s="9" t="str">
        <f>+HYPERLINK("http://trademark.i-assist.jp/data/china/image_1906th/79820357.pdf", "79820357")</f>
        <v>79820357</v>
      </c>
      <c r="F1108" s="11" t="s">
        <v>3254</v>
      </c>
      <c r="G1108" s="11" t="s">
        <v>3184</v>
      </c>
      <c r="H1108" s="11" t="s">
        <v>3255</v>
      </c>
      <c r="I1108" s="11" t="s">
        <v>3137</v>
      </c>
    </row>
    <row r="1109" spans="1:9" x14ac:dyDescent="0.15">
      <c r="A1109" s="10">
        <v>1108</v>
      </c>
      <c r="B1109" s="11" t="s">
        <v>9</v>
      </c>
      <c r="C1109" s="11" t="s">
        <v>152</v>
      </c>
      <c r="D1109" s="11" t="s">
        <v>153</v>
      </c>
      <c r="E1109" s="9" t="str">
        <f>+HYPERLINK("http://trademark.i-assist.jp/data/china/image_1906th/79820440.pdf", "79820440")</f>
        <v>79820440</v>
      </c>
      <c r="F1109" s="11" t="s">
        <v>3256</v>
      </c>
      <c r="G1109" s="11" t="s">
        <v>3257</v>
      </c>
      <c r="H1109" s="11" t="s">
        <v>3258</v>
      </c>
      <c r="I1109" s="11" t="s">
        <v>3137</v>
      </c>
    </row>
    <row r="1110" spans="1:9" x14ac:dyDescent="0.15">
      <c r="A1110" s="10">
        <v>1109</v>
      </c>
      <c r="B1110" s="11" t="s">
        <v>9</v>
      </c>
      <c r="C1110" s="11" t="s">
        <v>152</v>
      </c>
      <c r="D1110" s="11" t="s">
        <v>153</v>
      </c>
      <c r="E1110" s="9" t="str">
        <f>+HYPERLINK("http://trademark.i-assist.jp/data/china/image_1906th/79820580.pdf", "79820580")</f>
        <v>79820580</v>
      </c>
      <c r="F1110" s="11" t="s">
        <v>3259</v>
      </c>
      <c r="G1110" s="11" t="s">
        <v>3260</v>
      </c>
      <c r="H1110" s="11" t="s">
        <v>3261</v>
      </c>
      <c r="I1110" s="11" t="s">
        <v>3137</v>
      </c>
    </row>
    <row r="1111" spans="1:9" x14ac:dyDescent="0.15">
      <c r="A1111" s="10">
        <v>1110</v>
      </c>
      <c r="B1111" s="11" t="s">
        <v>9</v>
      </c>
      <c r="C1111" s="11" t="s">
        <v>152</v>
      </c>
      <c r="D1111" s="11" t="s">
        <v>153</v>
      </c>
      <c r="E1111" s="9" t="str">
        <f>+HYPERLINK("http://trademark.i-assist.jp/data/china/image_1906th/79820772.pdf", "79820772")</f>
        <v>79820772</v>
      </c>
      <c r="F1111" s="11" t="s">
        <v>12</v>
      </c>
      <c r="G1111" s="11" t="s">
        <v>3262</v>
      </c>
      <c r="H1111" s="11" t="s">
        <v>3263</v>
      </c>
      <c r="I1111" s="11" t="s">
        <v>3137</v>
      </c>
    </row>
    <row r="1112" spans="1:9" x14ac:dyDescent="0.15">
      <c r="A1112" s="10">
        <v>1111</v>
      </c>
      <c r="B1112" s="11" t="s">
        <v>9</v>
      </c>
      <c r="C1112" s="11" t="s">
        <v>152</v>
      </c>
      <c r="D1112" s="11" t="s">
        <v>153</v>
      </c>
      <c r="E1112" s="9" t="str">
        <f>+HYPERLINK("http://trademark.i-assist.jp/data/china/image_1906th/79821018.pdf", "79821018")</f>
        <v>79821018</v>
      </c>
      <c r="F1112" s="11" t="s">
        <v>3264</v>
      </c>
      <c r="G1112" s="11" t="s">
        <v>3222</v>
      </c>
      <c r="H1112" s="11" t="s">
        <v>3265</v>
      </c>
      <c r="I1112" s="11" t="s">
        <v>3137</v>
      </c>
    </row>
    <row r="1113" spans="1:9" x14ac:dyDescent="0.15">
      <c r="A1113" s="10">
        <v>1112</v>
      </c>
      <c r="B1113" s="11" t="s">
        <v>9</v>
      </c>
      <c r="C1113" s="11" t="s">
        <v>152</v>
      </c>
      <c r="D1113" s="11" t="s">
        <v>153</v>
      </c>
      <c r="E1113" s="9" t="str">
        <f>+HYPERLINK("http://trademark.i-assist.jp/data/china/image_1906th/79821143.pdf", "79821143")</f>
        <v>79821143</v>
      </c>
      <c r="F1113" s="11" t="s">
        <v>3266</v>
      </c>
      <c r="G1113" s="11" t="s">
        <v>3267</v>
      </c>
      <c r="H1113" s="11" t="s">
        <v>15</v>
      </c>
      <c r="I1113" s="11" t="s">
        <v>3137</v>
      </c>
    </row>
    <row r="1114" spans="1:9" x14ac:dyDescent="0.15">
      <c r="A1114" s="10">
        <v>1113</v>
      </c>
      <c r="B1114" s="11" t="s">
        <v>9</v>
      </c>
      <c r="C1114" s="11" t="s">
        <v>152</v>
      </c>
      <c r="D1114" s="11" t="s">
        <v>153</v>
      </c>
      <c r="E1114" s="9" t="str">
        <f>+HYPERLINK("http://trademark.i-assist.jp/data/china/image_1906th/79821177.pdf", "79821177")</f>
        <v>79821177</v>
      </c>
      <c r="F1114" s="11" t="s">
        <v>3268</v>
      </c>
      <c r="G1114" s="11" t="s">
        <v>3269</v>
      </c>
      <c r="H1114" s="11" t="s">
        <v>3270</v>
      </c>
      <c r="I1114" s="11" t="s">
        <v>3137</v>
      </c>
    </row>
    <row r="1115" spans="1:9" x14ac:dyDescent="0.15">
      <c r="A1115" s="10">
        <v>1114</v>
      </c>
      <c r="B1115" s="11" t="s">
        <v>9</v>
      </c>
      <c r="C1115" s="11" t="s">
        <v>152</v>
      </c>
      <c r="D1115" s="11" t="s">
        <v>153</v>
      </c>
      <c r="E1115" s="9" t="str">
        <f>+HYPERLINK("http://trademark.i-assist.jp/data/china/image_1906th/79821383.pdf", "79821383")</f>
        <v>79821383</v>
      </c>
      <c r="F1115" s="11" t="s">
        <v>3271</v>
      </c>
      <c r="G1115" s="11" t="s">
        <v>3272</v>
      </c>
      <c r="H1115" s="11" t="s">
        <v>3273</v>
      </c>
      <c r="I1115" s="11" t="s">
        <v>3137</v>
      </c>
    </row>
    <row r="1116" spans="1:9" x14ac:dyDescent="0.15">
      <c r="A1116" s="10">
        <v>1115</v>
      </c>
      <c r="B1116" s="11" t="s">
        <v>9</v>
      </c>
      <c r="C1116" s="11" t="s">
        <v>152</v>
      </c>
      <c r="D1116" s="11" t="s">
        <v>153</v>
      </c>
      <c r="E1116" s="9" t="str">
        <f>+HYPERLINK("http://trademark.i-assist.jp/data/china/image_1906th/79821423.pdf", "79821423")</f>
        <v>79821423</v>
      </c>
      <c r="F1116" s="11" t="s">
        <v>3274</v>
      </c>
      <c r="G1116" s="11" t="s">
        <v>3275</v>
      </c>
      <c r="H1116" s="11" t="s">
        <v>3276</v>
      </c>
      <c r="I1116" s="11" t="s">
        <v>3137</v>
      </c>
    </row>
    <row r="1117" spans="1:9" x14ac:dyDescent="0.15">
      <c r="A1117" s="10">
        <v>1116</v>
      </c>
      <c r="B1117" s="11" t="s">
        <v>9</v>
      </c>
      <c r="C1117" s="11" t="s">
        <v>152</v>
      </c>
      <c r="D1117" s="11" t="s">
        <v>153</v>
      </c>
      <c r="E1117" s="9" t="str">
        <f>+HYPERLINK("http://trademark.i-assist.jp/data/china/image_1906th/79821959.pdf", "79821959")</f>
        <v>79821959</v>
      </c>
      <c r="F1117" s="11" t="s">
        <v>12</v>
      </c>
      <c r="G1117" s="11" t="s">
        <v>3277</v>
      </c>
      <c r="H1117" s="11" t="s">
        <v>3278</v>
      </c>
      <c r="I1117" s="11" t="s">
        <v>3137</v>
      </c>
    </row>
    <row r="1118" spans="1:9" x14ac:dyDescent="0.15">
      <c r="A1118" s="10">
        <v>1117</v>
      </c>
      <c r="B1118" s="11" t="s">
        <v>9</v>
      </c>
      <c r="C1118" s="11" t="s">
        <v>152</v>
      </c>
      <c r="D1118" s="11" t="s">
        <v>153</v>
      </c>
      <c r="E1118" s="9" t="str">
        <f>+HYPERLINK("http://trademark.i-assist.jp/data/china/image_1906th/79822045.pdf", "79822045")</f>
        <v>79822045</v>
      </c>
      <c r="F1118" s="11" t="s">
        <v>3279</v>
      </c>
      <c r="G1118" s="11" t="s">
        <v>3280</v>
      </c>
      <c r="H1118" s="11" t="s">
        <v>3281</v>
      </c>
      <c r="I1118" s="11" t="s">
        <v>3137</v>
      </c>
    </row>
    <row r="1119" spans="1:9" x14ac:dyDescent="0.15">
      <c r="A1119" s="10">
        <v>1118</v>
      </c>
      <c r="B1119" s="11" t="s">
        <v>9</v>
      </c>
      <c r="C1119" s="11" t="s">
        <v>152</v>
      </c>
      <c r="D1119" s="11" t="s">
        <v>153</v>
      </c>
      <c r="E1119" s="9" t="str">
        <f>+HYPERLINK("http://trademark.i-assist.jp/data/china/image_1906th/79822387.pdf", "79822387")</f>
        <v>79822387</v>
      </c>
      <c r="F1119" s="11" t="s">
        <v>3282</v>
      </c>
      <c r="G1119" s="11" t="s">
        <v>3283</v>
      </c>
      <c r="H1119" s="11" t="s">
        <v>3284</v>
      </c>
      <c r="I1119" s="11" t="s">
        <v>3137</v>
      </c>
    </row>
    <row r="1120" spans="1:9" x14ac:dyDescent="0.15">
      <c r="A1120" s="10">
        <v>1119</v>
      </c>
      <c r="B1120" s="11" t="s">
        <v>9</v>
      </c>
      <c r="C1120" s="11" t="s">
        <v>152</v>
      </c>
      <c r="D1120" s="11" t="s">
        <v>153</v>
      </c>
      <c r="E1120" s="9" t="str">
        <f>+HYPERLINK("http://trademark.i-assist.jp/data/china/image_1906th/79822648.pdf", "79822648")</f>
        <v>79822648</v>
      </c>
      <c r="F1120" s="11" t="s">
        <v>3285</v>
      </c>
      <c r="G1120" s="11" t="s">
        <v>3286</v>
      </c>
      <c r="H1120" s="11" t="s">
        <v>3287</v>
      </c>
      <c r="I1120" s="11" t="s">
        <v>3137</v>
      </c>
    </row>
    <row r="1121" spans="1:9" x14ac:dyDescent="0.15">
      <c r="A1121" s="10">
        <v>1120</v>
      </c>
      <c r="B1121" s="11" t="s">
        <v>9</v>
      </c>
      <c r="C1121" s="11" t="s">
        <v>152</v>
      </c>
      <c r="D1121" s="11" t="s">
        <v>153</v>
      </c>
      <c r="E1121" s="9" t="str">
        <f>+HYPERLINK("http://trademark.i-assist.jp/data/china/image_1906th/79822876.pdf", "79822876")</f>
        <v>79822876</v>
      </c>
      <c r="F1121" s="11" t="s">
        <v>3288</v>
      </c>
      <c r="G1121" s="11" t="s">
        <v>3289</v>
      </c>
      <c r="H1121" s="11" t="s">
        <v>3290</v>
      </c>
      <c r="I1121" s="11" t="s">
        <v>3137</v>
      </c>
    </row>
    <row r="1122" spans="1:9" x14ac:dyDescent="0.15">
      <c r="A1122" s="10">
        <v>1121</v>
      </c>
      <c r="B1122" s="11" t="s">
        <v>9</v>
      </c>
      <c r="C1122" s="11" t="s">
        <v>152</v>
      </c>
      <c r="D1122" s="11" t="s">
        <v>153</v>
      </c>
      <c r="E1122" s="9" t="str">
        <f>+HYPERLINK("http://trademark.i-assist.jp/data/china/image_1906th/79823171.pdf", "79823171")</f>
        <v>79823171</v>
      </c>
      <c r="F1122" s="11" t="s">
        <v>3291</v>
      </c>
      <c r="G1122" s="11" t="s">
        <v>3292</v>
      </c>
      <c r="H1122" s="11" t="s">
        <v>3293</v>
      </c>
      <c r="I1122" s="11" t="s">
        <v>3137</v>
      </c>
    </row>
    <row r="1123" spans="1:9" x14ac:dyDescent="0.15">
      <c r="A1123" s="10">
        <v>1122</v>
      </c>
      <c r="B1123" s="11" t="s">
        <v>9</v>
      </c>
      <c r="C1123" s="11" t="s">
        <v>152</v>
      </c>
      <c r="D1123" s="11" t="s">
        <v>153</v>
      </c>
      <c r="E1123" s="9" t="str">
        <f>+HYPERLINK("http://trademark.i-assist.jp/data/china/image_1906th/79823779.pdf", "79823779")</f>
        <v>79823779</v>
      </c>
      <c r="F1123" s="11" t="s">
        <v>3294</v>
      </c>
      <c r="G1123" s="11" t="s">
        <v>3295</v>
      </c>
      <c r="H1123" s="11" t="s">
        <v>3296</v>
      </c>
      <c r="I1123" s="11" t="s">
        <v>3137</v>
      </c>
    </row>
    <row r="1124" spans="1:9" x14ac:dyDescent="0.15">
      <c r="A1124" s="10">
        <v>1123</v>
      </c>
      <c r="B1124" s="11" t="s">
        <v>9</v>
      </c>
      <c r="C1124" s="11" t="s">
        <v>152</v>
      </c>
      <c r="D1124" s="11" t="s">
        <v>153</v>
      </c>
      <c r="E1124" s="9" t="str">
        <f>+HYPERLINK("http://trademark.i-assist.jp/data/china/image_1906th/79823917.pdf", "79823917")</f>
        <v>79823917</v>
      </c>
      <c r="F1124" s="11" t="s">
        <v>3297</v>
      </c>
      <c r="G1124" s="11" t="s">
        <v>3298</v>
      </c>
      <c r="H1124" s="11" t="s">
        <v>3299</v>
      </c>
      <c r="I1124" s="11" t="s">
        <v>3137</v>
      </c>
    </row>
    <row r="1125" spans="1:9" x14ac:dyDescent="0.15">
      <c r="A1125" s="10">
        <v>1124</v>
      </c>
      <c r="B1125" s="11" t="s">
        <v>9</v>
      </c>
      <c r="C1125" s="11" t="s">
        <v>152</v>
      </c>
      <c r="D1125" s="11" t="s">
        <v>153</v>
      </c>
      <c r="E1125" s="9" t="str">
        <f>+HYPERLINK("http://trademark.i-assist.jp/data/china/image_1906th/79824315.pdf", "79824315")</f>
        <v>79824315</v>
      </c>
      <c r="F1125" s="11" t="s">
        <v>3300</v>
      </c>
      <c r="G1125" s="11" t="s">
        <v>3301</v>
      </c>
      <c r="H1125" s="11" t="s">
        <v>3302</v>
      </c>
      <c r="I1125" s="11" t="s">
        <v>3137</v>
      </c>
    </row>
    <row r="1126" spans="1:9" x14ac:dyDescent="0.15">
      <c r="A1126" s="10">
        <v>1125</v>
      </c>
      <c r="B1126" s="11" t="s">
        <v>9</v>
      </c>
      <c r="C1126" s="11" t="s">
        <v>152</v>
      </c>
      <c r="D1126" s="11" t="s">
        <v>153</v>
      </c>
      <c r="E1126" s="9" t="str">
        <f>+HYPERLINK("http://trademark.i-assist.jp/data/china/image_1906th/79824407.pdf", "79824407")</f>
        <v>79824407</v>
      </c>
      <c r="F1126" s="11" t="s">
        <v>3303</v>
      </c>
      <c r="G1126" s="11" t="s">
        <v>3304</v>
      </c>
      <c r="H1126" s="11" t="s">
        <v>3305</v>
      </c>
      <c r="I1126" s="11" t="s">
        <v>3137</v>
      </c>
    </row>
    <row r="1127" spans="1:9" x14ac:dyDescent="0.15">
      <c r="A1127" s="10">
        <v>1126</v>
      </c>
      <c r="B1127" s="11" t="s">
        <v>9</v>
      </c>
      <c r="C1127" s="11" t="s">
        <v>152</v>
      </c>
      <c r="D1127" s="11" t="s">
        <v>153</v>
      </c>
      <c r="E1127" s="9" t="str">
        <f>+HYPERLINK("http://trademark.i-assist.jp/data/china/image_1906th/79824673.pdf", "79824673")</f>
        <v>79824673</v>
      </c>
      <c r="F1127" s="11" t="s">
        <v>3306</v>
      </c>
      <c r="G1127" s="11" t="s">
        <v>3160</v>
      </c>
      <c r="H1127" s="11" t="s">
        <v>3307</v>
      </c>
      <c r="I1127" s="11" t="s">
        <v>3137</v>
      </c>
    </row>
    <row r="1128" spans="1:9" x14ac:dyDescent="0.15">
      <c r="A1128" s="10">
        <v>1127</v>
      </c>
      <c r="B1128" s="11" t="s">
        <v>9</v>
      </c>
      <c r="C1128" s="11" t="s">
        <v>152</v>
      </c>
      <c r="D1128" s="11" t="s">
        <v>153</v>
      </c>
      <c r="E1128" s="9" t="str">
        <f>+HYPERLINK("http://trademark.i-assist.jp/data/china/image_1906th/79824730.pdf", "79824730")</f>
        <v>79824730</v>
      </c>
      <c r="F1128" s="11" t="s">
        <v>3308</v>
      </c>
      <c r="G1128" s="11" t="s">
        <v>3309</v>
      </c>
      <c r="H1128" s="11" t="s">
        <v>3310</v>
      </c>
      <c r="I1128" s="11" t="s">
        <v>3137</v>
      </c>
    </row>
    <row r="1129" spans="1:9" x14ac:dyDescent="0.15">
      <c r="A1129" s="10">
        <v>1128</v>
      </c>
      <c r="B1129" s="11" t="s">
        <v>9</v>
      </c>
      <c r="C1129" s="11" t="s">
        <v>152</v>
      </c>
      <c r="D1129" s="11" t="s">
        <v>153</v>
      </c>
      <c r="E1129" s="9" t="str">
        <f>+HYPERLINK("http://trademark.i-assist.jp/data/china/image_1906th/79824969.pdf", "79824969")</f>
        <v>79824969</v>
      </c>
      <c r="F1129" s="11" t="s">
        <v>3311</v>
      </c>
      <c r="G1129" s="11" t="s">
        <v>3312</v>
      </c>
      <c r="H1129" s="11" t="s">
        <v>3313</v>
      </c>
      <c r="I1129" s="11" t="s">
        <v>3137</v>
      </c>
    </row>
    <row r="1130" spans="1:9" x14ac:dyDescent="0.15">
      <c r="A1130" s="10">
        <v>1129</v>
      </c>
      <c r="B1130" s="11" t="s">
        <v>9</v>
      </c>
      <c r="C1130" s="11" t="s">
        <v>152</v>
      </c>
      <c r="D1130" s="11" t="s">
        <v>153</v>
      </c>
      <c r="E1130" s="9" t="str">
        <f>+HYPERLINK("http://trademark.i-assist.jp/data/china/image_1906th/79825388.pdf", "79825388")</f>
        <v>79825388</v>
      </c>
      <c r="F1130" s="11" t="s">
        <v>3314</v>
      </c>
      <c r="G1130" s="11" t="s">
        <v>3315</v>
      </c>
      <c r="H1130" s="11" t="s">
        <v>3316</v>
      </c>
      <c r="I1130" s="11" t="s">
        <v>3137</v>
      </c>
    </row>
    <row r="1131" spans="1:9" x14ac:dyDescent="0.15">
      <c r="A1131" s="10">
        <v>1130</v>
      </c>
      <c r="B1131" s="11" t="s">
        <v>9</v>
      </c>
      <c r="C1131" s="11" t="s">
        <v>152</v>
      </c>
      <c r="D1131" s="11" t="s">
        <v>153</v>
      </c>
      <c r="E1131" s="9" t="str">
        <f>+HYPERLINK("http://trademark.i-assist.jp/data/china/image_1906th/79825781.pdf", "79825781")</f>
        <v>79825781</v>
      </c>
      <c r="F1131" s="11" t="s">
        <v>3317</v>
      </c>
      <c r="G1131" s="11" t="s">
        <v>3318</v>
      </c>
      <c r="H1131" s="11" t="s">
        <v>3319</v>
      </c>
      <c r="I1131" s="11" t="s">
        <v>3137</v>
      </c>
    </row>
    <row r="1132" spans="1:9" x14ac:dyDescent="0.15">
      <c r="A1132" s="10">
        <v>1131</v>
      </c>
      <c r="B1132" s="11" t="s">
        <v>9</v>
      </c>
      <c r="C1132" s="11" t="s">
        <v>152</v>
      </c>
      <c r="D1132" s="11" t="s">
        <v>153</v>
      </c>
      <c r="E1132" s="9" t="str">
        <f>+HYPERLINK("http://trademark.i-assist.jp/data/china/image_1906th/79825903.pdf", "79825903")</f>
        <v>79825903</v>
      </c>
      <c r="F1132" s="11" t="s">
        <v>3320</v>
      </c>
      <c r="G1132" s="11" t="s">
        <v>3321</v>
      </c>
      <c r="H1132" s="11" t="s">
        <v>3322</v>
      </c>
      <c r="I1132" s="11" t="s">
        <v>3137</v>
      </c>
    </row>
    <row r="1133" spans="1:9" x14ac:dyDescent="0.15">
      <c r="A1133" s="10">
        <v>1132</v>
      </c>
      <c r="B1133" s="11" t="s">
        <v>9</v>
      </c>
      <c r="C1133" s="11" t="s">
        <v>152</v>
      </c>
      <c r="D1133" s="11" t="s">
        <v>153</v>
      </c>
      <c r="E1133" s="9" t="str">
        <f>+HYPERLINK("http://trademark.i-assist.jp/data/china/image_1906th/79826091.pdf", "79826091")</f>
        <v>79826091</v>
      </c>
      <c r="F1133" s="11" t="s">
        <v>3323</v>
      </c>
      <c r="G1133" s="11" t="s">
        <v>3267</v>
      </c>
      <c r="H1133" s="11" t="s">
        <v>15</v>
      </c>
      <c r="I1133" s="11" t="s">
        <v>3137</v>
      </c>
    </row>
    <row r="1134" spans="1:9" x14ac:dyDescent="0.15">
      <c r="A1134" s="10">
        <v>1133</v>
      </c>
      <c r="B1134" s="11" t="s">
        <v>9</v>
      </c>
      <c r="C1134" s="11" t="s">
        <v>152</v>
      </c>
      <c r="D1134" s="11" t="s">
        <v>153</v>
      </c>
      <c r="E1134" s="9" t="str">
        <f>+HYPERLINK("http://trademark.i-assist.jp/data/china/image_1906th/79826184.pdf", "79826184")</f>
        <v>79826184</v>
      </c>
      <c r="F1134" s="11" t="s">
        <v>3324</v>
      </c>
      <c r="G1134" s="11" t="s">
        <v>94</v>
      </c>
      <c r="H1134" s="11" t="s">
        <v>3325</v>
      </c>
      <c r="I1134" s="11" t="s">
        <v>3137</v>
      </c>
    </row>
    <row r="1135" spans="1:9" x14ac:dyDescent="0.15">
      <c r="A1135" s="10">
        <v>1134</v>
      </c>
      <c r="B1135" s="11" t="s">
        <v>9</v>
      </c>
      <c r="C1135" s="11" t="s">
        <v>152</v>
      </c>
      <c r="D1135" s="11" t="s">
        <v>153</v>
      </c>
      <c r="E1135" s="9" t="str">
        <f>+HYPERLINK("http://trademark.i-assist.jp/data/china/image_1906th/79826212.pdf", "79826212")</f>
        <v>79826212</v>
      </c>
      <c r="F1135" s="11" t="s">
        <v>3326</v>
      </c>
      <c r="G1135" s="11" t="s">
        <v>3327</v>
      </c>
      <c r="H1135" s="11" t="s">
        <v>3328</v>
      </c>
      <c r="I1135" s="11" t="s">
        <v>3137</v>
      </c>
    </row>
    <row r="1136" spans="1:9" x14ac:dyDescent="0.15">
      <c r="A1136" s="10">
        <v>1135</v>
      </c>
      <c r="B1136" s="11" t="s">
        <v>9</v>
      </c>
      <c r="C1136" s="11" t="s">
        <v>152</v>
      </c>
      <c r="D1136" s="11" t="s">
        <v>153</v>
      </c>
      <c r="E1136" s="9" t="str">
        <f>+HYPERLINK("http://trademark.i-assist.jp/data/china/image_1906th/79826385.pdf", "79826385")</f>
        <v>79826385</v>
      </c>
      <c r="F1136" s="11" t="s">
        <v>3329</v>
      </c>
      <c r="G1136" s="11" t="s">
        <v>3267</v>
      </c>
      <c r="H1136" s="11" t="s">
        <v>15</v>
      </c>
      <c r="I1136" s="11" t="s">
        <v>3137</v>
      </c>
    </row>
    <row r="1137" spans="1:9" x14ac:dyDescent="0.15">
      <c r="A1137" s="10">
        <v>1136</v>
      </c>
      <c r="B1137" s="11" t="s">
        <v>9</v>
      </c>
      <c r="C1137" s="11" t="s">
        <v>152</v>
      </c>
      <c r="D1137" s="11" t="s">
        <v>153</v>
      </c>
      <c r="E1137" s="9" t="str">
        <f>+HYPERLINK("http://trademark.i-assist.jp/data/china/image_1906th/79826493.pdf", "79826493")</f>
        <v>79826493</v>
      </c>
      <c r="F1137" s="11" t="s">
        <v>3330</v>
      </c>
      <c r="G1137" s="11" t="s">
        <v>3139</v>
      </c>
      <c r="H1137" s="11" t="s">
        <v>3331</v>
      </c>
      <c r="I1137" s="11" t="s">
        <v>3137</v>
      </c>
    </row>
    <row r="1138" spans="1:9" x14ac:dyDescent="0.15">
      <c r="A1138" s="10">
        <v>1137</v>
      </c>
      <c r="B1138" s="11" t="s">
        <v>9</v>
      </c>
      <c r="C1138" s="11" t="s">
        <v>152</v>
      </c>
      <c r="D1138" s="11" t="s">
        <v>153</v>
      </c>
      <c r="E1138" s="9" t="str">
        <f>+HYPERLINK("http://trademark.i-assist.jp/data/china/image_1906th/79826538.pdf", "79826538")</f>
        <v>79826538</v>
      </c>
      <c r="F1138" s="11" t="s">
        <v>3332</v>
      </c>
      <c r="G1138" s="11" t="s">
        <v>3333</v>
      </c>
      <c r="H1138" s="11" t="s">
        <v>3334</v>
      </c>
      <c r="I1138" s="11" t="s">
        <v>3137</v>
      </c>
    </row>
    <row r="1139" spans="1:9" x14ac:dyDescent="0.15">
      <c r="A1139" s="10">
        <v>1138</v>
      </c>
      <c r="B1139" s="11" t="s">
        <v>9</v>
      </c>
      <c r="C1139" s="11" t="s">
        <v>152</v>
      </c>
      <c r="D1139" s="11" t="s">
        <v>153</v>
      </c>
      <c r="E1139" s="9" t="str">
        <f>+HYPERLINK("http://trademark.i-assist.jp/data/china/image_1906th/79827041.pdf", "79827041")</f>
        <v>79827041</v>
      </c>
      <c r="F1139" s="11" t="s">
        <v>3335</v>
      </c>
      <c r="G1139" s="11" t="s">
        <v>3160</v>
      </c>
      <c r="H1139" s="11" t="s">
        <v>3336</v>
      </c>
      <c r="I1139" s="11" t="s">
        <v>3137</v>
      </c>
    </row>
    <row r="1140" spans="1:9" x14ac:dyDescent="0.15">
      <c r="A1140" s="10">
        <v>1139</v>
      </c>
      <c r="B1140" s="11" t="s">
        <v>9</v>
      </c>
      <c r="C1140" s="11" t="s">
        <v>152</v>
      </c>
      <c r="D1140" s="11" t="s">
        <v>153</v>
      </c>
      <c r="E1140" s="9" t="str">
        <f>+HYPERLINK("http://trademark.i-assist.jp/data/china/image_1906th/79827367.pdf", "79827367")</f>
        <v>79827367</v>
      </c>
      <c r="F1140" s="11" t="s">
        <v>3337</v>
      </c>
      <c r="G1140" s="11" t="s">
        <v>3139</v>
      </c>
      <c r="H1140" s="11" t="s">
        <v>3338</v>
      </c>
      <c r="I1140" s="11" t="s">
        <v>3137</v>
      </c>
    </row>
    <row r="1141" spans="1:9" x14ac:dyDescent="0.15">
      <c r="A1141" s="10">
        <v>1140</v>
      </c>
      <c r="B1141" s="11" t="s">
        <v>9</v>
      </c>
      <c r="C1141" s="11" t="s">
        <v>152</v>
      </c>
      <c r="D1141" s="11" t="s">
        <v>153</v>
      </c>
      <c r="E1141" s="9" t="str">
        <f>+HYPERLINK("http://trademark.i-assist.jp/data/china/image_1906th/79827427.pdf", "79827427")</f>
        <v>79827427</v>
      </c>
      <c r="F1141" s="11" t="s">
        <v>3339</v>
      </c>
      <c r="G1141" s="11" t="s">
        <v>3340</v>
      </c>
      <c r="H1141" s="11" t="s">
        <v>3341</v>
      </c>
      <c r="I1141" s="11" t="s">
        <v>3137</v>
      </c>
    </row>
    <row r="1142" spans="1:9" x14ac:dyDescent="0.15">
      <c r="A1142" s="10">
        <v>1141</v>
      </c>
      <c r="B1142" s="11" t="s">
        <v>9</v>
      </c>
      <c r="C1142" s="11" t="s">
        <v>152</v>
      </c>
      <c r="D1142" s="11" t="s">
        <v>153</v>
      </c>
      <c r="E1142" s="9" t="str">
        <f>+HYPERLINK("http://trademark.i-assist.jp/data/china/image_1906th/79827481.pdf", "79827481")</f>
        <v>79827481</v>
      </c>
      <c r="F1142" s="11" t="s">
        <v>3342</v>
      </c>
      <c r="G1142" s="11" t="s">
        <v>3343</v>
      </c>
      <c r="H1142" s="11" t="s">
        <v>3344</v>
      </c>
      <c r="I1142" s="11" t="s">
        <v>3137</v>
      </c>
    </row>
    <row r="1143" spans="1:9" x14ac:dyDescent="0.15">
      <c r="A1143" s="10">
        <v>1142</v>
      </c>
      <c r="B1143" s="11" t="s">
        <v>9</v>
      </c>
      <c r="C1143" s="11" t="s">
        <v>152</v>
      </c>
      <c r="D1143" s="11" t="s">
        <v>153</v>
      </c>
      <c r="E1143" s="9" t="str">
        <f>+HYPERLINK("http://trademark.i-assist.jp/data/china/image_1906th/79827923.pdf", "79827923")</f>
        <v>79827923</v>
      </c>
      <c r="F1143" s="11" t="s">
        <v>3345</v>
      </c>
      <c r="G1143" s="11" t="s">
        <v>3346</v>
      </c>
      <c r="H1143" s="11" t="s">
        <v>3347</v>
      </c>
      <c r="I1143" s="11" t="s">
        <v>3137</v>
      </c>
    </row>
    <row r="1144" spans="1:9" x14ac:dyDescent="0.15">
      <c r="A1144" s="10">
        <v>1143</v>
      </c>
      <c r="B1144" s="11" t="s">
        <v>9</v>
      </c>
      <c r="C1144" s="11" t="s">
        <v>152</v>
      </c>
      <c r="D1144" s="11" t="s">
        <v>153</v>
      </c>
      <c r="E1144" s="9" t="str">
        <f>+HYPERLINK("http://trademark.i-assist.jp/data/china/image_1906th/79829343.pdf", "79829343")</f>
        <v>79829343</v>
      </c>
      <c r="F1144" s="11" t="s">
        <v>3348</v>
      </c>
      <c r="G1144" s="11" t="s">
        <v>3349</v>
      </c>
      <c r="H1144" s="11" t="s">
        <v>3350</v>
      </c>
      <c r="I1144" s="11" t="s">
        <v>3137</v>
      </c>
    </row>
    <row r="1145" spans="1:9" x14ac:dyDescent="0.15">
      <c r="A1145" s="10">
        <v>1144</v>
      </c>
      <c r="B1145" s="11" t="s">
        <v>9</v>
      </c>
      <c r="C1145" s="11" t="s">
        <v>152</v>
      </c>
      <c r="D1145" s="11" t="s">
        <v>153</v>
      </c>
      <c r="E1145" s="9" t="str">
        <f>+HYPERLINK("http://trademark.i-assist.jp/data/china/image_1906th/79829966.pdf", "79829966")</f>
        <v>79829966</v>
      </c>
      <c r="F1145" s="11" t="s">
        <v>3351</v>
      </c>
      <c r="G1145" s="11" t="s">
        <v>3352</v>
      </c>
      <c r="H1145" s="11" t="s">
        <v>3353</v>
      </c>
      <c r="I1145" s="11" t="s">
        <v>3137</v>
      </c>
    </row>
    <row r="1146" spans="1:9" x14ac:dyDescent="0.15">
      <c r="A1146" s="10">
        <v>1145</v>
      </c>
      <c r="B1146" s="11" t="s">
        <v>9</v>
      </c>
      <c r="C1146" s="11" t="s">
        <v>152</v>
      </c>
      <c r="D1146" s="11" t="s">
        <v>153</v>
      </c>
      <c r="E1146" s="9" t="str">
        <f>+HYPERLINK("http://trademark.i-assist.jp/data/china/image_1906th/79830126.pdf", "79830126")</f>
        <v>79830126</v>
      </c>
      <c r="F1146" s="11" t="s">
        <v>3354</v>
      </c>
      <c r="G1146" s="11" t="s">
        <v>3355</v>
      </c>
      <c r="H1146" s="11" t="s">
        <v>3356</v>
      </c>
      <c r="I1146" s="11" t="s">
        <v>3137</v>
      </c>
    </row>
    <row r="1147" spans="1:9" x14ac:dyDescent="0.15">
      <c r="A1147" s="10">
        <v>1146</v>
      </c>
      <c r="B1147" s="11" t="s">
        <v>9</v>
      </c>
      <c r="C1147" s="11" t="s">
        <v>152</v>
      </c>
      <c r="D1147" s="11" t="s">
        <v>153</v>
      </c>
      <c r="E1147" s="9" t="str">
        <f>+HYPERLINK("http://trademark.i-assist.jp/data/china/image_1906th/79830161.pdf", "79830161")</f>
        <v>79830161</v>
      </c>
      <c r="F1147" s="11" t="s">
        <v>3357</v>
      </c>
      <c r="G1147" s="11" t="s">
        <v>3164</v>
      </c>
      <c r="H1147" s="11" t="s">
        <v>3358</v>
      </c>
      <c r="I1147" s="11" t="s">
        <v>3137</v>
      </c>
    </row>
    <row r="1148" spans="1:9" x14ac:dyDescent="0.15">
      <c r="A1148" s="10">
        <v>1147</v>
      </c>
      <c r="B1148" s="11" t="s">
        <v>9</v>
      </c>
      <c r="C1148" s="11" t="s">
        <v>152</v>
      </c>
      <c r="D1148" s="11" t="s">
        <v>153</v>
      </c>
      <c r="E1148" s="9" t="str">
        <f>+HYPERLINK("http://trademark.i-assist.jp/data/china/image_1906th/79830380.pdf", "79830380")</f>
        <v>79830380</v>
      </c>
      <c r="F1148" s="11" t="s">
        <v>3359</v>
      </c>
      <c r="G1148" s="11" t="s">
        <v>3139</v>
      </c>
      <c r="H1148" s="11" t="s">
        <v>3360</v>
      </c>
      <c r="I1148" s="11" t="s">
        <v>3137</v>
      </c>
    </row>
    <row r="1149" spans="1:9" x14ac:dyDescent="0.15">
      <c r="A1149" s="10">
        <v>1148</v>
      </c>
      <c r="B1149" s="11" t="s">
        <v>9</v>
      </c>
      <c r="C1149" s="11" t="s">
        <v>152</v>
      </c>
      <c r="D1149" s="11" t="s">
        <v>153</v>
      </c>
      <c r="E1149" s="9" t="str">
        <f>+HYPERLINK("http://trademark.i-assist.jp/data/china/image_1906th/79830944.pdf", "79830944")</f>
        <v>79830944</v>
      </c>
      <c r="F1149" s="11" t="s">
        <v>3361</v>
      </c>
      <c r="G1149" s="11" t="s">
        <v>3362</v>
      </c>
      <c r="H1149" s="11" t="s">
        <v>3363</v>
      </c>
      <c r="I1149" s="11" t="s">
        <v>3137</v>
      </c>
    </row>
    <row r="1150" spans="1:9" x14ac:dyDescent="0.15">
      <c r="A1150" s="10">
        <v>1149</v>
      </c>
      <c r="B1150" s="11" t="s">
        <v>9</v>
      </c>
      <c r="C1150" s="11" t="s">
        <v>152</v>
      </c>
      <c r="D1150" s="11" t="s">
        <v>153</v>
      </c>
      <c r="E1150" s="9" t="str">
        <f>+HYPERLINK("http://trademark.i-assist.jp/data/china/image_1906th/79831988.pdf", "79831988")</f>
        <v>79831988</v>
      </c>
      <c r="F1150" s="11" t="s">
        <v>3364</v>
      </c>
      <c r="G1150" s="11" t="s">
        <v>3267</v>
      </c>
      <c r="H1150" s="11" t="s">
        <v>15</v>
      </c>
      <c r="I1150" s="11" t="s">
        <v>3137</v>
      </c>
    </row>
    <row r="1151" spans="1:9" x14ac:dyDescent="0.15">
      <c r="A1151" s="10">
        <v>1150</v>
      </c>
      <c r="B1151" s="11" t="s">
        <v>9</v>
      </c>
      <c r="C1151" s="11" t="s">
        <v>152</v>
      </c>
      <c r="D1151" s="11" t="s">
        <v>153</v>
      </c>
      <c r="E1151" s="9" t="str">
        <f>+HYPERLINK("http://trademark.i-assist.jp/data/china/image_1906th/79831997.pdf", "79831997")</f>
        <v>79831997</v>
      </c>
      <c r="F1151" s="11" t="s">
        <v>3365</v>
      </c>
      <c r="G1151" s="11" t="s">
        <v>3135</v>
      </c>
      <c r="H1151" s="11" t="s">
        <v>3366</v>
      </c>
      <c r="I1151" s="11" t="s">
        <v>3137</v>
      </c>
    </row>
    <row r="1152" spans="1:9" x14ac:dyDescent="0.15">
      <c r="A1152" s="10">
        <v>1151</v>
      </c>
      <c r="B1152" s="11" t="s">
        <v>9</v>
      </c>
      <c r="C1152" s="11" t="s">
        <v>152</v>
      </c>
      <c r="D1152" s="11" t="s">
        <v>153</v>
      </c>
      <c r="E1152" s="9" t="str">
        <f>+HYPERLINK("http://trademark.i-assist.jp/data/china/image_1906th/79832207.pdf", "79832207")</f>
        <v>79832207</v>
      </c>
      <c r="F1152" s="11" t="s">
        <v>3367</v>
      </c>
      <c r="G1152" s="11" t="s">
        <v>3368</v>
      </c>
      <c r="H1152" s="11" t="s">
        <v>3369</v>
      </c>
      <c r="I1152" s="11" t="s">
        <v>3137</v>
      </c>
    </row>
    <row r="1153" spans="1:9" x14ac:dyDescent="0.15">
      <c r="A1153" s="10">
        <v>1152</v>
      </c>
      <c r="B1153" s="11" t="s">
        <v>9</v>
      </c>
      <c r="C1153" s="11" t="s">
        <v>152</v>
      </c>
      <c r="D1153" s="11" t="s">
        <v>153</v>
      </c>
      <c r="E1153" s="9" t="str">
        <f>+HYPERLINK("http://trademark.i-assist.jp/data/china/image_1906th/79832352.pdf", "79832352")</f>
        <v>79832352</v>
      </c>
      <c r="F1153" s="11" t="s">
        <v>3370</v>
      </c>
      <c r="G1153" s="11" t="s">
        <v>3142</v>
      </c>
      <c r="H1153" s="11" t="s">
        <v>3371</v>
      </c>
      <c r="I1153" s="11" t="s">
        <v>3137</v>
      </c>
    </row>
    <row r="1154" spans="1:9" x14ac:dyDescent="0.15">
      <c r="A1154" s="10">
        <v>1153</v>
      </c>
      <c r="B1154" s="11" t="s">
        <v>9</v>
      </c>
      <c r="C1154" s="11" t="s">
        <v>152</v>
      </c>
      <c r="D1154" s="11" t="s">
        <v>153</v>
      </c>
      <c r="E1154" s="9" t="str">
        <f>+HYPERLINK("http://trademark.i-assist.jp/data/china/image_1906th/79832399.pdf", "79832399")</f>
        <v>79832399</v>
      </c>
      <c r="F1154" s="11" t="s">
        <v>3372</v>
      </c>
      <c r="G1154" s="11" t="s">
        <v>3373</v>
      </c>
      <c r="H1154" s="11" t="s">
        <v>3374</v>
      </c>
      <c r="I1154" s="11" t="s">
        <v>3137</v>
      </c>
    </row>
    <row r="1155" spans="1:9" x14ac:dyDescent="0.15">
      <c r="A1155" s="10">
        <v>1154</v>
      </c>
      <c r="B1155" s="11" t="s">
        <v>9</v>
      </c>
      <c r="C1155" s="11" t="s">
        <v>152</v>
      </c>
      <c r="D1155" s="11" t="s">
        <v>153</v>
      </c>
      <c r="E1155" s="9" t="str">
        <f>+HYPERLINK("http://trademark.i-assist.jp/data/china/image_1906th/79833100.pdf", "79833100")</f>
        <v>79833100</v>
      </c>
      <c r="F1155" s="11" t="s">
        <v>3375</v>
      </c>
      <c r="G1155" s="11" t="s">
        <v>3376</v>
      </c>
      <c r="H1155" s="11" t="s">
        <v>3377</v>
      </c>
      <c r="I1155" s="11" t="s">
        <v>3378</v>
      </c>
    </row>
    <row r="1156" spans="1:9" x14ac:dyDescent="0.15">
      <c r="A1156" s="10">
        <v>1155</v>
      </c>
      <c r="B1156" s="11" t="s">
        <v>9</v>
      </c>
      <c r="C1156" s="11" t="s">
        <v>152</v>
      </c>
      <c r="D1156" s="11" t="s">
        <v>153</v>
      </c>
      <c r="E1156" s="9" t="str">
        <f>+HYPERLINK("http://trademark.i-assist.jp/data/china/image_1906th/79833428.pdf", "79833428")</f>
        <v>79833428</v>
      </c>
      <c r="F1156" s="11" t="s">
        <v>3379</v>
      </c>
      <c r="G1156" s="11" t="s">
        <v>3380</v>
      </c>
      <c r="H1156" s="11" t="s">
        <v>3381</v>
      </c>
      <c r="I1156" s="11" t="s">
        <v>3378</v>
      </c>
    </row>
    <row r="1157" spans="1:9" x14ac:dyDescent="0.15">
      <c r="A1157" s="10">
        <v>1156</v>
      </c>
      <c r="B1157" s="11" t="s">
        <v>9</v>
      </c>
      <c r="C1157" s="11" t="s">
        <v>152</v>
      </c>
      <c r="D1157" s="11" t="s">
        <v>153</v>
      </c>
      <c r="E1157" s="9" t="str">
        <f>+HYPERLINK("http://trademark.i-assist.jp/data/china/image_1906th/79833601.pdf", "79833601")</f>
        <v>79833601</v>
      </c>
      <c r="F1157" s="11" t="s">
        <v>3382</v>
      </c>
      <c r="G1157" s="11" t="s">
        <v>3383</v>
      </c>
      <c r="H1157" s="11" t="s">
        <v>3384</v>
      </c>
      <c r="I1157" s="11" t="s">
        <v>3378</v>
      </c>
    </row>
    <row r="1158" spans="1:9" x14ac:dyDescent="0.15">
      <c r="A1158" s="10">
        <v>1157</v>
      </c>
      <c r="B1158" s="11" t="s">
        <v>9</v>
      </c>
      <c r="C1158" s="11" t="s">
        <v>152</v>
      </c>
      <c r="D1158" s="11" t="s">
        <v>153</v>
      </c>
      <c r="E1158" s="9" t="str">
        <f>+HYPERLINK("http://trademark.i-assist.jp/data/china/image_1906th/79833679.pdf", "79833679")</f>
        <v>79833679</v>
      </c>
      <c r="F1158" s="11" t="s">
        <v>3385</v>
      </c>
      <c r="G1158" s="11" t="s">
        <v>3386</v>
      </c>
      <c r="H1158" s="11" t="s">
        <v>3387</v>
      </c>
      <c r="I1158" s="11" t="s">
        <v>3378</v>
      </c>
    </row>
    <row r="1159" spans="1:9" x14ac:dyDescent="0.15">
      <c r="A1159" s="10">
        <v>1158</v>
      </c>
      <c r="B1159" s="11" t="s">
        <v>9</v>
      </c>
      <c r="C1159" s="11" t="s">
        <v>152</v>
      </c>
      <c r="D1159" s="11" t="s">
        <v>153</v>
      </c>
      <c r="E1159" s="9" t="str">
        <f>+HYPERLINK("http://trademark.i-assist.jp/data/china/image_1906th/79833921.pdf", "79833921")</f>
        <v>79833921</v>
      </c>
      <c r="F1159" s="11" t="s">
        <v>3388</v>
      </c>
      <c r="G1159" s="11" t="s">
        <v>3389</v>
      </c>
      <c r="H1159" s="11" t="s">
        <v>3390</v>
      </c>
      <c r="I1159" s="11" t="s">
        <v>3378</v>
      </c>
    </row>
    <row r="1160" spans="1:9" x14ac:dyDescent="0.15">
      <c r="A1160" s="10">
        <v>1159</v>
      </c>
      <c r="B1160" s="11" t="s">
        <v>9</v>
      </c>
      <c r="C1160" s="11" t="s">
        <v>152</v>
      </c>
      <c r="D1160" s="11" t="s">
        <v>153</v>
      </c>
      <c r="E1160" s="9" t="str">
        <f>+HYPERLINK("http://trademark.i-assist.jp/data/china/image_1906th/79834153.pdf", "79834153")</f>
        <v>79834153</v>
      </c>
      <c r="F1160" s="11" t="s">
        <v>12</v>
      </c>
      <c r="G1160" s="11" t="s">
        <v>3391</v>
      </c>
      <c r="H1160" s="11" t="s">
        <v>3392</v>
      </c>
      <c r="I1160" s="11" t="s">
        <v>3378</v>
      </c>
    </row>
    <row r="1161" spans="1:9" x14ac:dyDescent="0.15">
      <c r="A1161" s="10">
        <v>1160</v>
      </c>
      <c r="B1161" s="11" t="s">
        <v>9</v>
      </c>
      <c r="C1161" s="11" t="s">
        <v>152</v>
      </c>
      <c r="D1161" s="11" t="s">
        <v>153</v>
      </c>
      <c r="E1161" s="9" t="str">
        <f>+HYPERLINK("http://trademark.i-assist.jp/data/china/image_1906th/79834457.pdf", "79834457")</f>
        <v>79834457</v>
      </c>
      <c r="F1161" s="11" t="s">
        <v>3393</v>
      </c>
      <c r="G1161" s="11" t="s">
        <v>53</v>
      </c>
      <c r="H1161" s="11" t="s">
        <v>3394</v>
      </c>
      <c r="I1161" s="11" t="s">
        <v>3378</v>
      </c>
    </row>
    <row r="1162" spans="1:9" x14ac:dyDescent="0.15">
      <c r="A1162" s="10">
        <v>1161</v>
      </c>
      <c r="B1162" s="11" t="s">
        <v>9</v>
      </c>
      <c r="C1162" s="11" t="s">
        <v>152</v>
      </c>
      <c r="D1162" s="11" t="s">
        <v>153</v>
      </c>
      <c r="E1162" s="9" t="str">
        <f>+HYPERLINK("http://trademark.i-assist.jp/data/china/image_1906th/79834643.pdf", "79834643")</f>
        <v>79834643</v>
      </c>
      <c r="F1162" s="11" t="s">
        <v>3395</v>
      </c>
      <c r="G1162" s="11" t="s">
        <v>3396</v>
      </c>
      <c r="H1162" s="11" t="s">
        <v>3397</v>
      </c>
      <c r="I1162" s="11" t="s">
        <v>3378</v>
      </c>
    </row>
    <row r="1163" spans="1:9" x14ac:dyDescent="0.15">
      <c r="A1163" s="10">
        <v>1162</v>
      </c>
      <c r="B1163" s="11" t="s">
        <v>9</v>
      </c>
      <c r="C1163" s="11" t="s">
        <v>152</v>
      </c>
      <c r="D1163" s="11" t="s">
        <v>153</v>
      </c>
      <c r="E1163" s="9" t="str">
        <f>+HYPERLINK("http://trademark.i-assist.jp/data/china/image_1906th/79836568.pdf", "79836568")</f>
        <v>79836568</v>
      </c>
      <c r="F1163" s="11" t="s">
        <v>3398</v>
      </c>
      <c r="G1163" s="11" t="s">
        <v>3399</v>
      </c>
      <c r="H1163" s="11" t="s">
        <v>3400</v>
      </c>
      <c r="I1163" s="11" t="s">
        <v>3378</v>
      </c>
    </row>
    <row r="1164" spans="1:9" x14ac:dyDescent="0.15">
      <c r="A1164" s="10">
        <v>1163</v>
      </c>
      <c r="B1164" s="11" t="s">
        <v>9</v>
      </c>
      <c r="C1164" s="11" t="s">
        <v>152</v>
      </c>
      <c r="D1164" s="11" t="s">
        <v>153</v>
      </c>
      <c r="E1164" s="9" t="str">
        <f>+HYPERLINK("http://trademark.i-assist.jp/data/china/image_1906th/79836870.pdf", "79836870")</f>
        <v>79836870</v>
      </c>
      <c r="F1164" s="11" t="s">
        <v>3401</v>
      </c>
      <c r="G1164" s="11" t="s">
        <v>3402</v>
      </c>
      <c r="H1164" s="11" t="s">
        <v>3403</v>
      </c>
      <c r="I1164" s="11" t="s">
        <v>3378</v>
      </c>
    </row>
    <row r="1165" spans="1:9" x14ac:dyDescent="0.15">
      <c r="A1165" s="10">
        <v>1164</v>
      </c>
      <c r="B1165" s="11" t="s">
        <v>9</v>
      </c>
      <c r="C1165" s="11" t="s">
        <v>152</v>
      </c>
      <c r="D1165" s="11" t="s">
        <v>153</v>
      </c>
      <c r="E1165" s="9" t="str">
        <f>+HYPERLINK("http://trademark.i-assist.jp/data/china/image_1906th/79836951.pdf", "79836951")</f>
        <v>79836951</v>
      </c>
      <c r="F1165" s="11" t="s">
        <v>3404</v>
      </c>
      <c r="G1165" s="11" t="s">
        <v>3405</v>
      </c>
      <c r="H1165" s="11" t="s">
        <v>3406</v>
      </c>
      <c r="I1165" s="11" t="s">
        <v>3378</v>
      </c>
    </row>
    <row r="1166" spans="1:9" x14ac:dyDescent="0.15">
      <c r="A1166" s="10">
        <v>1165</v>
      </c>
      <c r="B1166" s="11" t="s">
        <v>9</v>
      </c>
      <c r="C1166" s="11" t="s">
        <v>152</v>
      </c>
      <c r="D1166" s="11" t="s">
        <v>153</v>
      </c>
      <c r="E1166" s="9" t="str">
        <f>+HYPERLINK("http://trademark.i-assist.jp/data/china/image_1906th/79837882.pdf", "79837882")</f>
        <v>79837882</v>
      </c>
      <c r="F1166" s="11" t="s">
        <v>3407</v>
      </c>
      <c r="G1166" s="11" t="s">
        <v>3408</v>
      </c>
      <c r="H1166" s="11" t="s">
        <v>3409</v>
      </c>
      <c r="I1166" s="11" t="s">
        <v>3378</v>
      </c>
    </row>
    <row r="1167" spans="1:9" x14ac:dyDescent="0.15">
      <c r="A1167" s="10">
        <v>1166</v>
      </c>
      <c r="B1167" s="11" t="s">
        <v>9</v>
      </c>
      <c r="C1167" s="11" t="s">
        <v>152</v>
      </c>
      <c r="D1167" s="11" t="s">
        <v>153</v>
      </c>
      <c r="E1167" s="9" t="str">
        <f>+HYPERLINK("http://trademark.i-assist.jp/data/china/image_1906th/79838465.pdf", "79838465")</f>
        <v>79838465</v>
      </c>
      <c r="F1167" s="11" t="s">
        <v>3410</v>
      </c>
      <c r="G1167" s="11" t="s">
        <v>3411</v>
      </c>
      <c r="H1167" s="11" t="s">
        <v>3412</v>
      </c>
      <c r="I1167" s="11" t="s">
        <v>3378</v>
      </c>
    </row>
    <row r="1168" spans="1:9" x14ac:dyDescent="0.15">
      <c r="A1168" s="10">
        <v>1167</v>
      </c>
      <c r="B1168" s="11" t="s">
        <v>9</v>
      </c>
      <c r="C1168" s="11" t="s">
        <v>152</v>
      </c>
      <c r="D1168" s="11" t="s">
        <v>153</v>
      </c>
      <c r="E1168" s="9" t="str">
        <f>+HYPERLINK("http://trademark.i-assist.jp/data/china/image_1906th/79840774.pdf", "79840774")</f>
        <v>79840774</v>
      </c>
      <c r="F1168" s="11" t="s">
        <v>12</v>
      </c>
      <c r="G1168" s="11" t="s">
        <v>3413</v>
      </c>
      <c r="H1168" s="11" t="s">
        <v>3414</v>
      </c>
      <c r="I1168" s="11" t="s">
        <v>3378</v>
      </c>
    </row>
    <row r="1169" spans="1:9" x14ac:dyDescent="0.15">
      <c r="A1169" s="10">
        <v>1168</v>
      </c>
      <c r="B1169" s="11" t="s">
        <v>9</v>
      </c>
      <c r="C1169" s="11" t="s">
        <v>152</v>
      </c>
      <c r="D1169" s="11" t="s">
        <v>153</v>
      </c>
      <c r="E1169" s="9" t="str">
        <f>+HYPERLINK("http://trademark.i-assist.jp/data/china/image_1906th/79841018.pdf", "79841018")</f>
        <v>79841018</v>
      </c>
      <c r="F1169" s="11" t="s">
        <v>3415</v>
      </c>
      <c r="G1169" s="11" t="s">
        <v>3416</v>
      </c>
      <c r="H1169" s="11" t="s">
        <v>3417</v>
      </c>
      <c r="I1169" s="11" t="s">
        <v>3378</v>
      </c>
    </row>
    <row r="1170" spans="1:9" x14ac:dyDescent="0.15">
      <c r="A1170" s="10">
        <v>1169</v>
      </c>
      <c r="B1170" s="11" t="s">
        <v>9</v>
      </c>
      <c r="C1170" s="11" t="s">
        <v>152</v>
      </c>
      <c r="D1170" s="11" t="s">
        <v>153</v>
      </c>
      <c r="E1170" s="9" t="str">
        <f>+HYPERLINK("http://trademark.i-assist.jp/data/china/image_1906th/79842359.pdf", "79842359")</f>
        <v>79842359</v>
      </c>
      <c r="F1170" s="11" t="s">
        <v>3418</v>
      </c>
      <c r="G1170" s="11" t="s">
        <v>3419</v>
      </c>
      <c r="H1170" s="11" t="s">
        <v>3420</v>
      </c>
      <c r="I1170" s="11" t="s">
        <v>3378</v>
      </c>
    </row>
    <row r="1171" spans="1:9" x14ac:dyDescent="0.15">
      <c r="A1171" s="10">
        <v>1170</v>
      </c>
      <c r="B1171" s="11" t="s">
        <v>9</v>
      </c>
      <c r="C1171" s="11" t="s">
        <v>152</v>
      </c>
      <c r="D1171" s="11" t="s">
        <v>153</v>
      </c>
      <c r="E1171" s="9" t="str">
        <f>+HYPERLINK("http://trademark.i-assist.jp/data/china/image_1906th/79842694.pdf", "79842694")</f>
        <v>79842694</v>
      </c>
      <c r="F1171" s="11" t="s">
        <v>3421</v>
      </c>
      <c r="G1171" s="11" t="s">
        <v>3422</v>
      </c>
      <c r="H1171" s="11" t="s">
        <v>3423</v>
      </c>
      <c r="I1171" s="11" t="s">
        <v>3378</v>
      </c>
    </row>
    <row r="1172" spans="1:9" x14ac:dyDescent="0.15">
      <c r="A1172" s="10">
        <v>1171</v>
      </c>
      <c r="B1172" s="11" t="s">
        <v>9</v>
      </c>
      <c r="C1172" s="11" t="s">
        <v>152</v>
      </c>
      <c r="D1172" s="11" t="s">
        <v>153</v>
      </c>
      <c r="E1172" s="9" t="str">
        <f>+HYPERLINK("http://trademark.i-assist.jp/data/china/image_1906th/79843300.pdf", "79843300")</f>
        <v>79843300</v>
      </c>
      <c r="F1172" s="11" t="s">
        <v>3424</v>
      </c>
      <c r="G1172" s="11" t="s">
        <v>3425</v>
      </c>
      <c r="H1172" s="11" t="s">
        <v>3426</v>
      </c>
      <c r="I1172" s="11" t="s">
        <v>3378</v>
      </c>
    </row>
    <row r="1173" spans="1:9" x14ac:dyDescent="0.15">
      <c r="A1173" s="10">
        <v>1172</v>
      </c>
      <c r="B1173" s="11" t="s">
        <v>9</v>
      </c>
      <c r="C1173" s="11" t="s">
        <v>152</v>
      </c>
      <c r="D1173" s="11" t="s">
        <v>153</v>
      </c>
      <c r="E1173" s="9" t="str">
        <f>+HYPERLINK("http://trademark.i-assist.jp/data/china/image_1906th/79843439.pdf", "79843439")</f>
        <v>79843439</v>
      </c>
      <c r="F1173" s="11" t="s">
        <v>3427</v>
      </c>
      <c r="G1173" s="11" t="s">
        <v>27</v>
      </c>
      <c r="H1173" s="11" t="s">
        <v>3428</v>
      </c>
      <c r="I1173" s="11" t="s">
        <v>3378</v>
      </c>
    </row>
    <row r="1174" spans="1:9" x14ac:dyDescent="0.15">
      <c r="A1174" s="10">
        <v>1173</v>
      </c>
      <c r="B1174" s="11" t="s">
        <v>9</v>
      </c>
      <c r="C1174" s="11" t="s">
        <v>152</v>
      </c>
      <c r="D1174" s="11" t="s">
        <v>153</v>
      </c>
      <c r="E1174" s="9" t="str">
        <f>+HYPERLINK("http://trademark.i-assist.jp/data/china/image_1906th/79843523.pdf", "79843523")</f>
        <v>79843523</v>
      </c>
      <c r="F1174" s="11" t="s">
        <v>3429</v>
      </c>
      <c r="G1174" s="11" t="s">
        <v>3430</v>
      </c>
      <c r="H1174" s="11" t="s">
        <v>3431</v>
      </c>
      <c r="I1174" s="11" t="s">
        <v>3378</v>
      </c>
    </row>
    <row r="1175" spans="1:9" x14ac:dyDescent="0.15">
      <c r="A1175" s="10">
        <v>1174</v>
      </c>
      <c r="B1175" s="11" t="s">
        <v>9</v>
      </c>
      <c r="C1175" s="11" t="s">
        <v>152</v>
      </c>
      <c r="D1175" s="11" t="s">
        <v>153</v>
      </c>
      <c r="E1175" s="9" t="str">
        <f>+HYPERLINK("http://trademark.i-assist.jp/data/china/image_1906th/79844168.pdf", "79844168")</f>
        <v>79844168</v>
      </c>
      <c r="F1175" s="11" t="s">
        <v>3432</v>
      </c>
      <c r="G1175" s="11" t="s">
        <v>3433</v>
      </c>
      <c r="H1175" s="11" t="s">
        <v>3434</v>
      </c>
      <c r="I1175" s="11" t="s">
        <v>3378</v>
      </c>
    </row>
    <row r="1176" spans="1:9" x14ac:dyDescent="0.15">
      <c r="A1176" s="10">
        <v>1175</v>
      </c>
      <c r="B1176" s="11" t="s">
        <v>9</v>
      </c>
      <c r="C1176" s="11" t="s">
        <v>152</v>
      </c>
      <c r="D1176" s="11" t="s">
        <v>153</v>
      </c>
      <c r="E1176" s="9" t="str">
        <f>+HYPERLINK("http://trademark.i-assist.jp/data/china/image_1906th/79844741.pdf", "79844741")</f>
        <v>79844741</v>
      </c>
      <c r="F1176" s="11" t="s">
        <v>3435</v>
      </c>
      <c r="G1176" s="11" t="s">
        <v>3436</v>
      </c>
      <c r="H1176" s="11" t="s">
        <v>3437</v>
      </c>
      <c r="I1176" s="11" t="s">
        <v>3378</v>
      </c>
    </row>
    <row r="1177" spans="1:9" x14ac:dyDescent="0.15">
      <c r="A1177" s="10">
        <v>1176</v>
      </c>
      <c r="B1177" s="11" t="s">
        <v>9</v>
      </c>
      <c r="C1177" s="11" t="s">
        <v>152</v>
      </c>
      <c r="D1177" s="11" t="s">
        <v>153</v>
      </c>
      <c r="E1177" s="9" t="str">
        <f>+HYPERLINK("http://trademark.i-assist.jp/data/china/image_1906th/79844958.pdf", "79844958")</f>
        <v>79844958</v>
      </c>
      <c r="F1177" s="11" t="s">
        <v>3438</v>
      </c>
      <c r="G1177" s="11" t="s">
        <v>3439</v>
      </c>
      <c r="H1177" s="11" t="s">
        <v>3440</v>
      </c>
      <c r="I1177" s="11" t="s">
        <v>3378</v>
      </c>
    </row>
    <row r="1178" spans="1:9" x14ac:dyDescent="0.15">
      <c r="A1178" s="10">
        <v>1177</v>
      </c>
      <c r="B1178" s="11" t="s">
        <v>9</v>
      </c>
      <c r="C1178" s="11" t="s">
        <v>152</v>
      </c>
      <c r="D1178" s="11" t="s">
        <v>153</v>
      </c>
      <c r="E1178" s="9" t="str">
        <f>+HYPERLINK("http://trademark.i-assist.jp/data/china/image_1906th/79845462.pdf", "79845462")</f>
        <v>79845462</v>
      </c>
      <c r="F1178" s="11" t="s">
        <v>3441</v>
      </c>
      <c r="G1178" s="11" t="s">
        <v>3442</v>
      </c>
      <c r="H1178" s="11" t="s">
        <v>3443</v>
      </c>
      <c r="I1178" s="11" t="s">
        <v>3378</v>
      </c>
    </row>
    <row r="1179" spans="1:9" x14ac:dyDescent="0.15">
      <c r="A1179" s="10">
        <v>1178</v>
      </c>
      <c r="B1179" s="11" t="s">
        <v>9</v>
      </c>
      <c r="C1179" s="11" t="s">
        <v>152</v>
      </c>
      <c r="D1179" s="11" t="s">
        <v>153</v>
      </c>
      <c r="E1179" s="9" t="str">
        <f>+HYPERLINK("http://trademark.i-assist.jp/data/china/image_1906th/79846873.pdf", "79846873")</f>
        <v>79846873</v>
      </c>
      <c r="F1179" s="11" t="s">
        <v>3444</v>
      </c>
      <c r="G1179" s="11" t="s">
        <v>53</v>
      </c>
      <c r="H1179" s="11" t="s">
        <v>3445</v>
      </c>
      <c r="I1179" s="11" t="s">
        <v>3378</v>
      </c>
    </row>
    <row r="1180" spans="1:9" x14ac:dyDescent="0.15">
      <c r="A1180" s="10">
        <v>1179</v>
      </c>
      <c r="B1180" s="11" t="s">
        <v>9</v>
      </c>
      <c r="C1180" s="11" t="s">
        <v>152</v>
      </c>
      <c r="D1180" s="11" t="s">
        <v>153</v>
      </c>
      <c r="E1180" s="9" t="str">
        <f>+HYPERLINK("http://trademark.i-assist.jp/data/china/image_1906th/79847089.pdf", "79847089")</f>
        <v>79847089</v>
      </c>
      <c r="F1180" s="11" t="s">
        <v>3446</v>
      </c>
      <c r="G1180" s="11" t="s">
        <v>3380</v>
      </c>
      <c r="H1180" s="11" t="s">
        <v>3447</v>
      </c>
      <c r="I1180" s="11" t="s">
        <v>3378</v>
      </c>
    </row>
    <row r="1181" spans="1:9" x14ac:dyDescent="0.15">
      <c r="A1181" s="10">
        <v>1180</v>
      </c>
      <c r="B1181" s="11" t="s">
        <v>9</v>
      </c>
      <c r="C1181" s="11" t="s">
        <v>152</v>
      </c>
      <c r="D1181" s="11" t="s">
        <v>153</v>
      </c>
      <c r="E1181" s="9" t="str">
        <f>+HYPERLINK("http://trademark.i-assist.jp/data/china/image_1906th/79847329.pdf", "79847329")</f>
        <v>79847329</v>
      </c>
      <c r="F1181" s="11" t="s">
        <v>3448</v>
      </c>
      <c r="G1181" s="11" t="s">
        <v>3449</v>
      </c>
      <c r="H1181" s="11" t="s">
        <v>3450</v>
      </c>
      <c r="I1181" s="11" t="s">
        <v>3378</v>
      </c>
    </row>
    <row r="1182" spans="1:9" x14ac:dyDescent="0.15">
      <c r="A1182" s="10">
        <v>1181</v>
      </c>
      <c r="B1182" s="11" t="s">
        <v>9</v>
      </c>
      <c r="C1182" s="11" t="s">
        <v>152</v>
      </c>
      <c r="D1182" s="11" t="s">
        <v>153</v>
      </c>
      <c r="E1182" s="9" t="str">
        <f>+HYPERLINK("http://trademark.i-assist.jp/data/china/image_1906th/79847556.pdf", "79847556")</f>
        <v>79847556</v>
      </c>
      <c r="F1182" s="11" t="s">
        <v>3451</v>
      </c>
      <c r="G1182" s="11" t="s">
        <v>3452</v>
      </c>
      <c r="H1182" s="11" t="s">
        <v>3453</v>
      </c>
      <c r="I1182" s="11" t="s">
        <v>3378</v>
      </c>
    </row>
    <row r="1183" spans="1:9" x14ac:dyDescent="0.15">
      <c r="A1183" s="10">
        <v>1182</v>
      </c>
      <c r="B1183" s="11" t="s">
        <v>9</v>
      </c>
      <c r="C1183" s="11" t="s">
        <v>152</v>
      </c>
      <c r="D1183" s="11" t="s">
        <v>153</v>
      </c>
      <c r="E1183" s="9" t="str">
        <f>+HYPERLINK("http://trademark.i-assist.jp/data/china/image_1906th/79848622.pdf", "79848622")</f>
        <v>79848622</v>
      </c>
      <c r="F1183" s="11" t="s">
        <v>3454</v>
      </c>
      <c r="G1183" s="11" t="s">
        <v>3455</v>
      </c>
      <c r="H1183" s="11" t="s">
        <v>3456</v>
      </c>
      <c r="I1183" s="11" t="s">
        <v>3378</v>
      </c>
    </row>
    <row r="1184" spans="1:9" x14ac:dyDescent="0.15">
      <c r="A1184" s="10">
        <v>1183</v>
      </c>
      <c r="B1184" s="11" t="s">
        <v>9</v>
      </c>
      <c r="C1184" s="11" t="s">
        <v>152</v>
      </c>
      <c r="D1184" s="11" t="s">
        <v>153</v>
      </c>
      <c r="E1184" s="9" t="str">
        <f>+HYPERLINK("http://trademark.i-assist.jp/data/china/image_1906th/79848958.pdf", "79848958")</f>
        <v>79848958</v>
      </c>
      <c r="F1184" s="11" t="s">
        <v>3457</v>
      </c>
      <c r="G1184" s="11" t="s">
        <v>3458</v>
      </c>
      <c r="H1184" s="11" t="s">
        <v>3459</v>
      </c>
      <c r="I1184" s="11" t="s">
        <v>3378</v>
      </c>
    </row>
    <row r="1185" spans="1:9" x14ac:dyDescent="0.15">
      <c r="A1185" s="10">
        <v>1184</v>
      </c>
      <c r="B1185" s="11" t="s">
        <v>9</v>
      </c>
      <c r="C1185" s="11" t="s">
        <v>152</v>
      </c>
      <c r="D1185" s="11" t="s">
        <v>153</v>
      </c>
      <c r="E1185" s="9" t="str">
        <f>+HYPERLINK("http://trademark.i-assist.jp/data/china/image_1906th/79849049.pdf", "79849049")</f>
        <v>79849049</v>
      </c>
      <c r="F1185" s="11" t="s">
        <v>3460</v>
      </c>
      <c r="G1185" s="11" t="s">
        <v>3461</v>
      </c>
      <c r="H1185" s="11" t="s">
        <v>3462</v>
      </c>
      <c r="I1185" s="11" t="s">
        <v>3378</v>
      </c>
    </row>
    <row r="1186" spans="1:9" x14ac:dyDescent="0.15">
      <c r="A1186" s="10">
        <v>1185</v>
      </c>
      <c r="B1186" s="11" t="s">
        <v>9</v>
      </c>
      <c r="C1186" s="11" t="s">
        <v>152</v>
      </c>
      <c r="D1186" s="11" t="s">
        <v>153</v>
      </c>
      <c r="E1186" s="9" t="str">
        <f>+HYPERLINK("http://trademark.i-assist.jp/data/china/image_1906th/79849309.pdf", "79849309")</f>
        <v>79849309</v>
      </c>
      <c r="F1186" s="11" t="s">
        <v>3463</v>
      </c>
      <c r="G1186" s="11" t="s">
        <v>84</v>
      </c>
      <c r="H1186" s="11" t="s">
        <v>3464</v>
      </c>
      <c r="I1186" s="11" t="s">
        <v>3378</v>
      </c>
    </row>
    <row r="1187" spans="1:9" x14ac:dyDescent="0.15">
      <c r="A1187" s="10">
        <v>1186</v>
      </c>
      <c r="B1187" s="11" t="s">
        <v>9</v>
      </c>
      <c r="C1187" s="11" t="s">
        <v>152</v>
      </c>
      <c r="D1187" s="11" t="s">
        <v>153</v>
      </c>
      <c r="E1187" s="9" t="str">
        <f>+HYPERLINK("http://trademark.i-assist.jp/data/china/image_1906th/79849825.pdf", "79849825")</f>
        <v>79849825</v>
      </c>
      <c r="F1187" s="11" t="s">
        <v>3465</v>
      </c>
      <c r="G1187" s="11" t="s">
        <v>3466</v>
      </c>
      <c r="H1187" s="11" t="s">
        <v>3467</v>
      </c>
      <c r="I1187" s="11" t="s">
        <v>3378</v>
      </c>
    </row>
    <row r="1188" spans="1:9" x14ac:dyDescent="0.15">
      <c r="A1188" s="10">
        <v>1187</v>
      </c>
      <c r="B1188" s="11" t="s">
        <v>9</v>
      </c>
      <c r="C1188" s="11" t="s">
        <v>152</v>
      </c>
      <c r="D1188" s="11" t="s">
        <v>153</v>
      </c>
      <c r="E1188" s="9" t="str">
        <f>+HYPERLINK("http://trademark.i-assist.jp/data/china/image_1906th/79850489.pdf", "79850489")</f>
        <v>79850489</v>
      </c>
      <c r="F1188" s="11" t="s">
        <v>3468</v>
      </c>
      <c r="G1188" s="11" t="s">
        <v>84</v>
      </c>
      <c r="H1188" s="11" t="s">
        <v>3469</v>
      </c>
      <c r="I1188" s="11" t="s">
        <v>3378</v>
      </c>
    </row>
    <row r="1189" spans="1:9" x14ac:dyDescent="0.15">
      <c r="A1189" s="10">
        <v>1188</v>
      </c>
      <c r="B1189" s="11" t="s">
        <v>9</v>
      </c>
      <c r="C1189" s="11" t="s">
        <v>152</v>
      </c>
      <c r="D1189" s="11" t="s">
        <v>153</v>
      </c>
      <c r="E1189" s="9" t="str">
        <f>+HYPERLINK("http://trademark.i-assist.jp/data/china/image_1906th/79850530.pdf", "79850530")</f>
        <v>79850530</v>
      </c>
      <c r="F1189" s="11" t="s">
        <v>3470</v>
      </c>
      <c r="G1189" s="11" t="s">
        <v>3471</v>
      </c>
      <c r="H1189" s="11" t="s">
        <v>3472</v>
      </c>
      <c r="I1189" s="11" t="s">
        <v>3378</v>
      </c>
    </row>
    <row r="1190" spans="1:9" x14ac:dyDescent="0.15">
      <c r="A1190" s="10">
        <v>1189</v>
      </c>
      <c r="B1190" s="11" t="s">
        <v>9</v>
      </c>
      <c r="C1190" s="11" t="s">
        <v>152</v>
      </c>
      <c r="D1190" s="11" t="s">
        <v>153</v>
      </c>
      <c r="E1190" s="9" t="str">
        <f>+HYPERLINK("http://trademark.i-assist.jp/data/china/image_1906th/79850658.pdf", "79850658")</f>
        <v>79850658</v>
      </c>
      <c r="F1190" s="11" t="s">
        <v>3473</v>
      </c>
      <c r="G1190" s="11" t="s">
        <v>3474</v>
      </c>
      <c r="H1190" s="11" t="s">
        <v>3475</v>
      </c>
      <c r="I1190" s="11" t="s">
        <v>3378</v>
      </c>
    </row>
    <row r="1191" spans="1:9" x14ac:dyDescent="0.15">
      <c r="A1191" s="10">
        <v>1190</v>
      </c>
      <c r="B1191" s="11" t="s">
        <v>9</v>
      </c>
      <c r="C1191" s="11" t="s">
        <v>152</v>
      </c>
      <c r="D1191" s="11" t="s">
        <v>153</v>
      </c>
      <c r="E1191" s="9" t="str">
        <f>+HYPERLINK("http://trademark.i-assist.jp/data/china/image_1906th/79851001.pdf", "79851001")</f>
        <v>79851001</v>
      </c>
      <c r="F1191" s="11" t="s">
        <v>3476</v>
      </c>
      <c r="G1191" s="11" t="s">
        <v>84</v>
      </c>
      <c r="H1191" s="11" t="s">
        <v>3477</v>
      </c>
      <c r="I1191" s="11" t="s">
        <v>3378</v>
      </c>
    </row>
    <row r="1192" spans="1:9" x14ac:dyDescent="0.15">
      <c r="A1192" s="10">
        <v>1191</v>
      </c>
      <c r="B1192" s="11" t="s">
        <v>9</v>
      </c>
      <c r="C1192" s="11" t="s">
        <v>152</v>
      </c>
      <c r="D1192" s="11" t="s">
        <v>153</v>
      </c>
      <c r="E1192" s="9" t="str">
        <f>+HYPERLINK("http://trademark.i-assist.jp/data/china/image_1906th/79851471.pdf", "79851471")</f>
        <v>79851471</v>
      </c>
      <c r="F1192" s="11" t="s">
        <v>3478</v>
      </c>
      <c r="G1192" s="11" t="s">
        <v>3479</v>
      </c>
      <c r="H1192" s="11" t="s">
        <v>3480</v>
      </c>
      <c r="I1192" s="11" t="s">
        <v>3378</v>
      </c>
    </row>
    <row r="1193" spans="1:9" x14ac:dyDescent="0.15">
      <c r="A1193" s="10">
        <v>1192</v>
      </c>
      <c r="B1193" s="11" t="s">
        <v>9</v>
      </c>
      <c r="C1193" s="11" t="s">
        <v>152</v>
      </c>
      <c r="D1193" s="11" t="s">
        <v>153</v>
      </c>
      <c r="E1193" s="9" t="str">
        <f>+HYPERLINK("http://trademark.i-assist.jp/data/china/image_1906th/79852001.pdf", "79852001")</f>
        <v>79852001</v>
      </c>
      <c r="F1193" s="11" t="s">
        <v>3481</v>
      </c>
      <c r="G1193" s="11" t="s">
        <v>3482</v>
      </c>
      <c r="H1193" s="11" t="s">
        <v>3483</v>
      </c>
      <c r="I1193" s="11" t="s">
        <v>3378</v>
      </c>
    </row>
    <row r="1194" spans="1:9" x14ac:dyDescent="0.15">
      <c r="A1194" s="10">
        <v>1193</v>
      </c>
      <c r="B1194" s="11" t="s">
        <v>9</v>
      </c>
      <c r="C1194" s="11" t="s">
        <v>152</v>
      </c>
      <c r="D1194" s="11" t="s">
        <v>153</v>
      </c>
      <c r="E1194" s="9" t="str">
        <f>+HYPERLINK("http://trademark.i-assist.jp/data/china/image_1906th/79852068.pdf", "79852068")</f>
        <v>79852068</v>
      </c>
      <c r="F1194" s="11" t="s">
        <v>3484</v>
      </c>
      <c r="G1194" s="11" t="s">
        <v>3485</v>
      </c>
      <c r="H1194" s="11" t="s">
        <v>3486</v>
      </c>
      <c r="I1194" s="11" t="s">
        <v>3378</v>
      </c>
    </row>
    <row r="1195" spans="1:9" x14ac:dyDescent="0.15">
      <c r="A1195" s="10">
        <v>1194</v>
      </c>
      <c r="B1195" s="11" t="s">
        <v>9</v>
      </c>
      <c r="C1195" s="11" t="s">
        <v>152</v>
      </c>
      <c r="D1195" s="11" t="s">
        <v>153</v>
      </c>
      <c r="E1195" s="9" t="str">
        <f>+HYPERLINK("http://trademark.i-assist.jp/data/china/image_1906th/79852244.pdf", "79852244")</f>
        <v>79852244</v>
      </c>
      <c r="F1195" s="11" t="s">
        <v>3487</v>
      </c>
      <c r="G1195" s="11" t="s">
        <v>3488</v>
      </c>
      <c r="H1195" s="11" t="s">
        <v>3489</v>
      </c>
      <c r="I1195" s="11" t="s">
        <v>3378</v>
      </c>
    </row>
    <row r="1196" spans="1:9" x14ac:dyDescent="0.15">
      <c r="A1196" s="10">
        <v>1195</v>
      </c>
      <c r="B1196" s="11" t="s">
        <v>9</v>
      </c>
      <c r="C1196" s="11" t="s">
        <v>152</v>
      </c>
      <c r="D1196" s="11" t="s">
        <v>153</v>
      </c>
      <c r="E1196" s="9" t="str">
        <f>+HYPERLINK("http://trademark.i-assist.jp/data/china/image_1906th/79852354.pdf", "79852354")</f>
        <v>79852354</v>
      </c>
      <c r="F1196" s="11" t="s">
        <v>3490</v>
      </c>
      <c r="G1196" s="11" t="s">
        <v>84</v>
      </c>
      <c r="H1196" s="11" t="s">
        <v>3491</v>
      </c>
      <c r="I1196" s="11" t="s">
        <v>3378</v>
      </c>
    </row>
    <row r="1197" spans="1:9" x14ac:dyDescent="0.15">
      <c r="A1197" s="10">
        <v>1196</v>
      </c>
      <c r="B1197" s="11" t="s">
        <v>9</v>
      </c>
      <c r="C1197" s="11" t="s">
        <v>152</v>
      </c>
      <c r="D1197" s="11" t="s">
        <v>153</v>
      </c>
      <c r="E1197" s="9" t="str">
        <f>+HYPERLINK("http://trademark.i-assist.jp/data/china/image_1906th/79852410.pdf", "79852410")</f>
        <v>79852410</v>
      </c>
      <c r="F1197" s="11" t="s">
        <v>3492</v>
      </c>
      <c r="G1197" s="11" t="s">
        <v>3442</v>
      </c>
      <c r="H1197" s="11" t="s">
        <v>3493</v>
      </c>
      <c r="I1197" s="11" t="s">
        <v>3378</v>
      </c>
    </row>
    <row r="1198" spans="1:9" x14ac:dyDescent="0.15">
      <c r="A1198" s="10">
        <v>1197</v>
      </c>
      <c r="B1198" s="11" t="s">
        <v>9</v>
      </c>
      <c r="C1198" s="11" t="s">
        <v>152</v>
      </c>
      <c r="D1198" s="11" t="s">
        <v>153</v>
      </c>
      <c r="E1198" s="9" t="str">
        <f>+HYPERLINK("http://trademark.i-assist.jp/data/china/image_1906th/79852738.pdf", "79852738")</f>
        <v>79852738</v>
      </c>
      <c r="F1198" s="11" t="s">
        <v>3494</v>
      </c>
      <c r="G1198" s="11" t="s">
        <v>3405</v>
      </c>
      <c r="H1198" s="11" t="s">
        <v>3495</v>
      </c>
      <c r="I1198" s="11" t="s">
        <v>3378</v>
      </c>
    </row>
    <row r="1199" spans="1:9" x14ac:dyDescent="0.15">
      <c r="A1199" s="10">
        <v>1198</v>
      </c>
      <c r="B1199" s="11" t="s">
        <v>9</v>
      </c>
      <c r="C1199" s="11" t="s">
        <v>152</v>
      </c>
      <c r="D1199" s="11" t="s">
        <v>153</v>
      </c>
      <c r="E1199" s="9" t="str">
        <f>+HYPERLINK("http://trademark.i-assist.jp/data/china/image_1906th/79853091.pdf", "79853091")</f>
        <v>79853091</v>
      </c>
      <c r="F1199" s="11" t="s">
        <v>3496</v>
      </c>
      <c r="G1199" s="11" t="s">
        <v>3497</v>
      </c>
      <c r="H1199" s="11" t="s">
        <v>3498</v>
      </c>
      <c r="I1199" s="11" t="s">
        <v>3378</v>
      </c>
    </row>
    <row r="1200" spans="1:9" x14ac:dyDescent="0.15">
      <c r="A1200" s="10">
        <v>1199</v>
      </c>
      <c r="B1200" s="11" t="s">
        <v>9</v>
      </c>
      <c r="C1200" s="11" t="s">
        <v>152</v>
      </c>
      <c r="D1200" s="11" t="s">
        <v>153</v>
      </c>
      <c r="E1200" s="9" t="str">
        <f>+HYPERLINK("http://trademark.i-assist.jp/data/china/image_1906th/79853105.pdf", "79853105")</f>
        <v>79853105</v>
      </c>
      <c r="F1200" s="11" t="s">
        <v>3499</v>
      </c>
      <c r="G1200" s="11" t="s">
        <v>3482</v>
      </c>
      <c r="H1200" s="11" t="s">
        <v>3500</v>
      </c>
      <c r="I1200" s="11" t="s">
        <v>3378</v>
      </c>
    </row>
    <row r="1201" spans="1:9" x14ac:dyDescent="0.15">
      <c r="A1201" s="10">
        <v>1200</v>
      </c>
      <c r="B1201" s="11" t="s">
        <v>9</v>
      </c>
      <c r="C1201" s="11" t="s">
        <v>152</v>
      </c>
      <c r="D1201" s="11" t="s">
        <v>153</v>
      </c>
      <c r="E1201" s="9" t="str">
        <f>+HYPERLINK("http://trademark.i-assist.jp/data/china/image_1906th/79853376.pdf", "79853376")</f>
        <v>79853376</v>
      </c>
      <c r="F1201" s="11" t="s">
        <v>3501</v>
      </c>
      <c r="G1201" s="11" t="s">
        <v>2897</v>
      </c>
      <c r="H1201" s="11" t="s">
        <v>3502</v>
      </c>
      <c r="I1201" s="11" t="s">
        <v>3378</v>
      </c>
    </row>
    <row r="1202" spans="1:9" x14ac:dyDescent="0.15">
      <c r="A1202" s="10">
        <v>1201</v>
      </c>
      <c r="B1202" s="11" t="s">
        <v>9</v>
      </c>
      <c r="C1202" s="11" t="s">
        <v>152</v>
      </c>
      <c r="D1202" s="11" t="s">
        <v>153</v>
      </c>
      <c r="E1202" s="9" t="str">
        <f>+HYPERLINK("http://trademark.i-assist.jp/data/china/image_1906th/79853403.pdf", "79853403")</f>
        <v>79853403</v>
      </c>
      <c r="F1202" s="11" t="s">
        <v>3503</v>
      </c>
      <c r="G1202" s="11" t="s">
        <v>3389</v>
      </c>
      <c r="H1202" s="11" t="s">
        <v>3504</v>
      </c>
      <c r="I1202" s="11" t="s">
        <v>3378</v>
      </c>
    </row>
    <row r="1203" spans="1:9" x14ac:dyDescent="0.15">
      <c r="A1203" s="10">
        <v>1202</v>
      </c>
      <c r="B1203" s="11" t="s">
        <v>9</v>
      </c>
      <c r="C1203" s="11" t="s">
        <v>152</v>
      </c>
      <c r="D1203" s="11" t="s">
        <v>153</v>
      </c>
      <c r="E1203" s="9" t="str">
        <f>+HYPERLINK("http://trademark.i-assist.jp/data/china/image_1906th/79853774.pdf", "79853774")</f>
        <v>79853774</v>
      </c>
      <c r="F1203" s="11" t="s">
        <v>3505</v>
      </c>
      <c r="G1203" s="11" t="s">
        <v>3506</v>
      </c>
      <c r="H1203" s="11" t="s">
        <v>3507</v>
      </c>
      <c r="I1203" s="11" t="s">
        <v>3378</v>
      </c>
    </row>
    <row r="1204" spans="1:9" x14ac:dyDescent="0.15">
      <c r="A1204" s="10">
        <v>1203</v>
      </c>
      <c r="B1204" s="11" t="s">
        <v>9</v>
      </c>
      <c r="C1204" s="11" t="s">
        <v>152</v>
      </c>
      <c r="D1204" s="11" t="s">
        <v>153</v>
      </c>
      <c r="E1204" s="9" t="str">
        <f>+HYPERLINK("http://trademark.i-assist.jp/data/china/image_1906th/79853795.pdf", "79853795")</f>
        <v>79853795</v>
      </c>
      <c r="F1204" s="11" t="s">
        <v>3508</v>
      </c>
      <c r="G1204" s="11" t="s">
        <v>84</v>
      </c>
      <c r="H1204" s="11" t="s">
        <v>3509</v>
      </c>
      <c r="I1204" s="11" t="s">
        <v>3378</v>
      </c>
    </row>
    <row r="1205" spans="1:9" x14ac:dyDescent="0.15">
      <c r="A1205" s="10">
        <v>1204</v>
      </c>
      <c r="B1205" s="11" t="s">
        <v>9</v>
      </c>
      <c r="C1205" s="11" t="s">
        <v>152</v>
      </c>
      <c r="D1205" s="11" t="s">
        <v>153</v>
      </c>
      <c r="E1205" s="9" t="str">
        <f>+HYPERLINK("http://trademark.i-assist.jp/data/china/image_1906th/79855434.pdf", "79855434")</f>
        <v>79855434</v>
      </c>
      <c r="F1205" s="11" t="s">
        <v>12</v>
      </c>
      <c r="G1205" s="11" t="s">
        <v>3510</v>
      </c>
      <c r="H1205" s="11" t="s">
        <v>3511</v>
      </c>
      <c r="I1205" s="11" t="s">
        <v>3378</v>
      </c>
    </row>
    <row r="1206" spans="1:9" x14ac:dyDescent="0.15">
      <c r="A1206" s="10">
        <v>1205</v>
      </c>
      <c r="B1206" s="11" t="s">
        <v>9</v>
      </c>
      <c r="C1206" s="11" t="s">
        <v>152</v>
      </c>
      <c r="D1206" s="11" t="s">
        <v>153</v>
      </c>
      <c r="E1206" s="9" t="str">
        <f>+HYPERLINK("http://trademark.i-assist.jp/data/china/image_1906th/79855508.pdf", "79855508")</f>
        <v>79855508</v>
      </c>
      <c r="F1206" s="11" t="s">
        <v>3512</v>
      </c>
      <c r="G1206" s="11" t="s">
        <v>3455</v>
      </c>
      <c r="H1206" s="11" t="s">
        <v>3513</v>
      </c>
      <c r="I1206" s="11" t="s">
        <v>3378</v>
      </c>
    </row>
    <row r="1207" spans="1:9" x14ac:dyDescent="0.15">
      <c r="A1207" s="10">
        <v>1206</v>
      </c>
      <c r="B1207" s="11" t="s">
        <v>9</v>
      </c>
      <c r="C1207" s="11" t="s">
        <v>152</v>
      </c>
      <c r="D1207" s="11" t="s">
        <v>153</v>
      </c>
      <c r="E1207" s="9" t="str">
        <f>+HYPERLINK("http://trademark.i-assist.jp/data/china/image_1906th/79856204.pdf", "79856204")</f>
        <v>79856204</v>
      </c>
      <c r="F1207" s="11" t="s">
        <v>3514</v>
      </c>
      <c r="G1207" s="11" t="s">
        <v>27</v>
      </c>
      <c r="H1207" s="11" t="s">
        <v>3515</v>
      </c>
      <c r="I1207" s="11" t="s">
        <v>3378</v>
      </c>
    </row>
    <row r="1208" spans="1:9" x14ac:dyDescent="0.15">
      <c r="A1208" s="10">
        <v>1207</v>
      </c>
      <c r="B1208" s="11" t="s">
        <v>9</v>
      </c>
      <c r="C1208" s="11" t="s">
        <v>152</v>
      </c>
      <c r="D1208" s="11" t="s">
        <v>153</v>
      </c>
      <c r="E1208" s="9" t="str">
        <f>+HYPERLINK("http://trademark.i-assist.jp/data/china/image_1906th/79856489.pdf", "79856489")</f>
        <v>79856489</v>
      </c>
      <c r="F1208" s="11" t="s">
        <v>3516</v>
      </c>
      <c r="G1208" s="11" t="s">
        <v>3517</v>
      </c>
      <c r="H1208" s="11" t="s">
        <v>3518</v>
      </c>
      <c r="I1208" s="11" t="s">
        <v>3378</v>
      </c>
    </row>
    <row r="1209" spans="1:9" x14ac:dyDescent="0.15">
      <c r="A1209" s="10">
        <v>1208</v>
      </c>
      <c r="B1209" s="11" t="s">
        <v>9</v>
      </c>
      <c r="C1209" s="11" t="s">
        <v>152</v>
      </c>
      <c r="D1209" s="11" t="s">
        <v>153</v>
      </c>
      <c r="E1209" s="9" t="str">
        <f>+HYPERLINK("http://trademark.i-assist.jp/data/china/image_1906th/79856502.pdf", "79856502")</f>
        <v>79856502</v>
      </c>
      <c r="F1209" s="11" t="s">
        <v>3519</v>
      </c>
      <c r="G1209" s="11" t="s">
        <v>3520</v>
      </c>
      <c r="H1209" s="11" t="s">
        <v>3521</v>
      </c>
      <c r="I1209" s="11" t="s">
        <v>3378</v>
      </c>
    </row>
    <row r="1210" spans="1:9" x14ac:dyDescent="0.15">
      <c r="A1210" s="10">
        <v>1209</v>
      </c>
      <c r="B1210" s="11" t="s">
        <v>9</v>
      </c>
      <c r="C1210" s="11" t="s">
        <v>152</v>
      </c>
      <c r="D1210" s="11" t="s">
        <v>153</v>
      </c>
      <c r="E1210" s="9" t="str">
        <f>+HYPERLINK("http://trademark.i-assist.jp/data/china/image_1906th/79856623.pdf", "79856623")</f>
        <v>79856623</v>
      </c>
      <c r="F1210" s="11" t="s">
        <v>3522</v>
      </c>
      <c r="G1210" s="11" t="s">
        <v>3523</v>
      </c>
      <c r="H1210" s="11" t="s">
        <v>3524</v>
      </c>
      <c r="I1210" s="11" t="s">
        <v>3378</v>
      </c>
    </row>
    <row r="1211" spans="1:9" x14ac:dyDescent="0.15">
      <c r="A1211" s="10">
        <v>1210</v>
      </c>
      <c r="B1211" s="11" t="s">
        <v>9</v>
      </c>
      <c r="C1211" s="11" t="s">
        <v>152</v>
      </c>
      <c r="D1211" s="11" t="s">
        <v>153</v>
      </c>
      <c r="E1211" s="9" t="str">
        <f>+HYPERLINK("http://trademark.i-assist.jp/data/china/image_1906th/79856992.pdf", "79856992")</f>
        <v>79856992</v>
      </c>
      <c r="F1211" s="11" t="s">
        <v>3525</v>
      </c>
      <c r="G1211" s="11" t="s">
        <v>3526</v>
      </c>
      <c r="H1211" s="11" t="s">
        <v>3527</v>
      </c>
      <c r="I1211" s="11" t="s">
        <v>3528</v>
      </c>
    </row>
    <row r="1212" spans="1:9" x14ac:dyDescent="0.15">
      <c r="A1212" s="10">
        <v>1211</v>
      </c>
      <c r="B1212" s="11" t="s">
        <v>9</v>
      </c>
      <c r="C1212" s="11" t="s">
        <v>152</v>
      </c>
      <c r="D1212" s="11" t="s">
        <v>153</v>
      </c>
      <c r="E1212" s="9" t="str">
        <f>+HYPERLINK("http://trademark.i-assist.jp/data/china/image_1906th/79857483.pdf", "79857483")</f>
        <v>79857483</v>
      </c>
      <c r="F1212" s="11" t="s">
        <v>3529</v>
      </c>
      <c r="G1212" s="11" t="s">
        <v>83</v>
      </c>
      <c r="H1212" s="11" t="s">
        <v>3530</v>
      </c>
      <c r="I1212" s="11" t="s">
        <v>3528</v>
      </c>
    </row>
    <row r="1213" spans="1:9" x14ac:dyDescent="0.15">
      <c r="A1213" s="10">
        <v>1212</v>
      </c>
      <c r="B1213" s="11" t="s">
        <v>9</v>
      </c>
      <c r="C1213" s="11" t="s">
        <v>152</v>
      </c>
      <c r="D1213" s="11" t="s">
        <v>153</v>
      </c>
      <c r="E1213" s="9" t="str">
        <f>+HYPERLINK("http://trademark.i-assist.jp/data/china/image_1906th/79857627.pdf", "79857627")</f>
        <v>79857627</v>
      </c>
      <c r="F1213" s="11" t="s">
        <v>3531</v>
      </c>
      <c r="G1213" s="11" t="s">
        <v>3532</v>
      </c>
      <c r="H1213" s="11" t="s">
        <v>3533</v>
      </c>
      <c r="I1213" s="11" t="s">
        <v>3528</v>
      </c>
    </row>
    <row r="1214" spans="1:9" x14ac:dyDescent="0.15">
      <c r="A1214" s="10">
        <v>1213</v>
      </c>
      <c r="B1214" s="11" t="s">
        <v>9</v>
      </c>
      <c r="C1214" s="11" t="s">
        <v>152</v>
      </c>
      <c r="D1214" s="11" t="s">
        <v>153</v>
      </c>
      <c r="E1214" s="9" t="str">
        <f>+HYPERLINK("http://trademark.i-assist.jp/data/china/image_1906th/79857704.pdf", "79857704")</f>
        <v>79857704</v>
      </c>
      <c r="F1214" s="11" t="s">
        <v>3534</v>
      </c>
      <c r="G1214" s="11" t="s">
        <v>3535</v>
      </c>
      <c r="H1214" s="11" t="s">
        <v>3536</v>
      </c>
      <c r="I1214" s="11" t="s">
        <v>3528</v>
      </c>
    </row>
    <row r="1215" spans="1:9" x14ac:dyDescent="0.15">
      <c r="A1215" s="10">
        <v>1214</v>
      </c>
      <c r="B1215" s="11" t="s">
        <v>9</v>
      </c>
      <c r="C1215" s="11" t="s">
        <v>152</v>
      </c>
      <c r="D1215" s="11" t="s">
        <v>153</v>
      </c>
      <c r="E1215" s="9" t="str">
        <f>+HYPERLINK("http://trademark.i-assist.jp/data/china/image_1906th/79857927.pdf", "79857927")</f>
        <v>79857927</v>
      </c>
      <c r="F1215" s="11" t="s">
        <v>3537</v>
      </c>
      <c r="G1215" s="11" t="s">
        <v>3538</v>
      </c>
      <c r="H1215" s="11" t="s">
        <v>13</v>
      </c>
      <c r="I1215" s="11" t="s">
        <v>3528</v>
      </c>
    </row>
    <row r="1216" spans="1:9" x14ac:dyDescent="0.15">
      <c r="A1216" s="10">
        <v>1215</v>
      </c>
      <c r="B1216" s="11" t="s">
        <v>9</v>
      </c>
      <c r="C1216" s="11" t="s">
        <v>152</v>
      </c>
      <c r="D1216" s="11" t="s">
        <v>153</v>
      </c>
      <c r="E1216" s="9" t="str">
        <f>+HYPERLINK("http://trademark.i-assist.jp/data/china/image_1906th/79858018.pdf", "79858018")</f>
        <v>79858018</v>
      </c>
      <c r="F1216" s="11" t="s">
        <v>12</v>
      </c>
      <c r="G1216" s="11" t="s">
        <v>3539</v>
      </c>
      <c r="H1216" s="11" t="s">
        <v>3540</v>
      </c>
      <c r="I1216" s="11" t="s">
        <v>3528</v>
      </c>
    </row>
    <row r="1217" spans="1:9" x14ac:dyDescent="0.15">
      <c r="A1217" s="10">
        <v>1216</v>
      </c>
      <c r="B1217" s="11" t="s">
        <v>9</v>
      </c>
      <c r="C1217" s="11" t="s">
        <v>152</v>
      </c>
      <c r="D1217" s="11" t="s">
        <v>153</v>
      </c>
      <c r="E1217" s="9" t="str">
        <f>+HYPERLINK("http://trademark.i-assist.jp/data/china/image_1906th/79859364.pdf", "79859364")</f>
        <v>79859364</v>
      </c>
      <c r="F1217" s="11" t="s">
        <v>12</v>
      </c>
      <c r="G1217" s="11" t="s">
        <v>3541</v>
      </c>
      <c r="H1217" s="11" t="s">
        <v>3542</v>
      </c>
      <c r="I1217" s="11" t="s">
        <v>3528</v>
      </c>
    </row>
    <row r="1218" spans="1:9" x14ac:dyDescent="0.15">
      <c r="A1218" s="10">
        <v>1217</v>
      </c>
      <c r="B1218" s="11" t="s">
        <v>9</v>
      </c>
      <c r="C1218" s="11" t="s">
        <v>152</v>
      </c>
      <c r="D1218" s="11" t="s">
        <v>153</v>
      </c>
      <c r="E1218" s="9" t="str">
        <f>+HYPERLINK("http://trademark.i-assist.jp/data/china/image_1906th/79859540.pdf", "79859540")</f>
        <v>79859540</v>
      </c>
      <c r="F1218" s="11" t="s">
        <v>3543</v>
      </c>
      <c r="G1218" s="11" t="s">
        <v>3544</v>
      </c>
      <c r="H1218" s="11" t="s">
        <v>3545</v>
      </c>
      <c r="I1218" s="11" t="s">
        <v>3528</v>
      </c>
    </row>
    <row r="1219" spans="1:9" x14ac:dyDescent="0.15">
      <c r="A1219" s="10">
        <v>1218</v>
      </c>
      <c r="B1219" s="11" t="s">
        <v>9</v>
      </c>
      <c r="C1219" s="11" t="s">
        <v>152</v>
      </c>
      <c r="D1219" s="11" t="s">
        <v>153</v>
      </c>
      <c r="E1219" s="9" t="str">
        <f>+HYPERLINK("http://trademark.i-assist.jp/data/china/image_1906th/79859599.pdf", "79859599")</f>
        <v>79859599</v>
      </c>
      <c r="F1219" s="11" t="s">
        <v>3546</v>
      </c>
      <c r="G1219" s="11" t="s">
        <v>3547</v>
      </c>
      <c r="H1219" s="11" t="s">
        <v>3548</v>
      </c>
      <c r="I1219" s="11" t="s">
        <v>3528</v>
      </c>
    </row>
    <row r="1220" spans="1:9" x14ac:dyDescent="0.15">
      <c r="A1220" s="10">
        <v>1219</v>
      </c>
      <c r="B1220" s="11" t="s">
        <v>9</v>
      </c>
      <c r="C1220" s="11" t="s">
        <v>152</v>
      </c>
      <c r="D1220" s="11" t="s">
        <v>153</v>
      </c>
      <c r="E1220" s="9" t="str">
        <f>+HYPERLINK("http://trademark.i-assist.jp/data/china/image_1906th/79860211.pdf", "79860211")</f>
        <v>79860211</v>
      </c>
      <c r="F1220" s="11" t="s">
        <v>3549</v>
      </c>
      <c r="G1220" s="11" t="s">
        <v>3532</v>
      </c>
      <c r="H1220" s="11" t="s">
        <v>3550</v>
      </c>
      <c r="I1220" s="11" t="s">
        <v>3528</v>
      </c>
    </row>
    <row r="1221" spans="1:9" x14ac:dyDescent="0.15">
      <c r="A1221" s="10">
        <v>1220</v>
      </c>
      <c r="B1221" s="11" t="s">
        <v>9</v>
      </c>
      <c r="C1221" s="11" t="s">
        <v>152</v>
      </c>
      <c r="D1221" s="11" t="s">
        <v>153</v>
      </c>
      <c r="E1221" s="9" t="str">
        <f>+HYPERLINK("http://trademark.i-assist.jp/data/china/image_1906th/79860268.pdf", "79860268")</f>
        <v>79860268</v>
      </c>
      <c r="F1221" s="11" t="s">
        <v>3551</v>
      </c>
      <c r="G1221" s="11" t="s">
        <v>3552</v>
      </c>
      <c r="H1221" s="11" t="s">
        <v>3553</v>
      </c>
      <c r="I1221" s="11" t="s">
        <v>3528</v>
      </c>
    </row>
    <row r="1222" spans="1:9" x14ac:dyDescent="0.15">
      <c r="A1222" s="10">
        <v>1221</v>
      </c>
      <c r="B1222" s="11" t="s">
        <v>9</v>
      </c>
      <c r="C1222" s="11" t="s">
        <v>152</v>
      </c>
      <c r="D1222" s="11" t="s">
        <v>153</v>
      </c>
      <c r="E1222" s="9" t="str">
        <f>+HYPERLINK("http://trademark.i-assist.jp/data/china/image_1906th/79860387.pdf", "79860387")</f>
        <v>79860387</v>
      </c>
      <c r="F1222" s="11" t="s">
        <v>3554</v>
      </c>
      <c r="G1222" s="11" t="s">
        <v>3555</v>
      </c>
      <c r="H1222" s="11" t="s">
        <v>3556</v>
      </c>
      <c r="I1222" s="11" t="s">
        <v>3528</v>
      </c>
    </row>
    <row r="1223" spans="1:9" x14ac:dyDescent="0.15">
      <c r="A1223" s="10">
        <v>1222</v>
      </c>
      <c r="B1223" s="11" t="s">
        <v>9</v>
      </c>
      <c r="C1223" s="11" t="s">
        <v>152</v>
      </c>
      <c r="D1223" s="11" t="s">
        <v>153</v>
      </c>
      <c r="E1223" s="9" t="str">
        <f>+HYPERLINK("http://trademark.i-assist.jp/data/china/image_1906th/79860645.pdf", "79860645")</f>
        <v>79860645</v>
      </c>
      <c r="F1223" s="11" t="s">
        <v>3557</v>
      </c>
      <c r="G1223" s="11" t="s">
        <v>3558</v>
      </c>
      <c r="H1223" s="11" t="s">
        <v>3559</v>
      </c>
      <c r="I1223" s="11" t="s">
        <v>3528</v>
      </c>
    </row>
    <row r="1224" spans="1:9" x14ac:dyDescent="0.15">
      <c r="A1224" s="10">
        <v>1223</v>
      </c>
      <c r="B1224" s="11" t="s">
        <v>9</v>
      </c>
      <c r="C1224" s="11" t="s">
        <v>152</v>
      </c>
      <c r="D1224" s="11" t="s">
        <v>153</v>
      </c>
      <c r="E1224" s="9" t="str">
        <f>+HYPERLINK("http://trademark.i-assist.jp/data/china/image_1906th/79861560.pdf", "79861560")</f>
        <v>79861560</v>
      </c>
      <c r="F1224" s="11" t="s">
        <v>3560</v>
      </c>
      <c r="G1224" s="11" t="s">
        <v>2947</v>
      </c>
      <c r="H1224" s="11" t="s">
        <v>3561</v>
      </c>
      <c r="I1224" s="11" t="s">
        <v>3528</v>
      </c>
    </row>
    <row r="1225" spans="1:9" x14ac:dyDescent="0.15">
      <c r="A1225" s="10">
        <v>1224</v>
      </c>
      <c r="B1225" s="11" t="s">
        <v>9</v>
      </c>
      <c r="C1225" s="11" t="s">
        <v>152</v>
      </c>
      <c r="D1225" s="11" t="s">
        <v>153</v>
      </c>
      <c r="E1225" s="9" t="str">
        <f>+HYPERLINK("http://trademark.i-assist.jp/data/china/image_1906th/79862890.pdf", "79862890")</f>
        <v>79862890</v>
      </c>
      <c r="F1225" s="11" t="s">
        <v>12</v>
      </c>
      <c r="G1225" s="11" t="s">
        <v>3562</v>
      </c>
      <c r="H1225" s="11" t="s">
        <v>3563</v>
      </c>
      <c r="I1225" s="11" t="s">
        <v>3528</v>
      </c>
    </row>
    <row r="1226" spans="1:9" x14ac:dyDescent="0.15">
      <c r="A1226" s="10">
        <v>1225</v>
      </c>
      <c r="B1226" s="11" t="s">
        <v>9</v>
      </c>
      <c r="C1226" s="11" t="s">
        <v>152</v>
      </c>
      <c r="D1226" s="11" t="s">
        <v>153</v>
      </c>
      <c r="E1226" s="9" t="str">
        <f>+HYPERLINK("http://trademark.i-assist.jp/data/china/image_1906th/79863738.pdf", "79863738")</f>
        <v>79863738</v>
      </c>
      <c r="F1226" s="11" t="s">
        <v>3564</v>
      </c>
      <c r="G1226" s="11" t="s">
        <v>90</v>
      </c>
      <c r="H1226" s="11" t="s">
        <v>3565</v>
      </c>
      <c r="I1226" s="11" t="s">
        <v>3528</v>
      </c>
    </row>
    <row r="1227" spans="1:9" x14ac:dyDescent="0.15">
      <c r="A1227" s="10">
        <v>1226</v>
      </c>
      <c r="B1227" s="11" t="s">
        <v>9</v>
      </c>
      <c r="C1227" s="11" t="s">
        <v>152</v>
      </c>
      <c r="D1227" s="11" t="s">
        <v>153</v>
      </c>
      <c r="E1227" s="9" t="str">
        <f>+HYPERLINK("http://trademark.i-assist.jp/data/china/image_1906th/79863977.pdf", "79863977")</f>
        <v>79863977</v>
      </c>
      <c r="F1227" s="11" t="s">
        <v>3566</v>
      </c>
      <c r="G1227" s="11" t="s">
        <v>3567</v>
      </c>
      <c r="H1227" s="11" t="s">
        <v>3568</v>
      </c>
      <c r="I1227" s="11" t="s">
        <v>3528</v>
      </c>
    </row>
    <row r="1228" spans="1:9" x14ac:dyDescent="0.15">
      <c r="A1228" s="10">
        <v>1227</v>
      </c>
      <c r="B1228" s="11" t="s">
        <v>9</v>
      </c>
      <c r="C1228" s="11" t="s">
        <v>152</v>
      </c>
      <c r="D1228" s="11" t="s">
        <v>153</v>
      </c>
      <c r="E1228" s="9" t="str">
        <f>+HYPERLINK("http://trademark.i-assist.jp/data/china/image_1906th/79864116.pdf", "79864116")</f>
        <v>79864116</v>
      </c>
      <c r="F1228" s="11" t="s">
        <v>3569</v>
      </c>
      <c r="G1228" s="11" t="s">
        <v>3570</v>
      </c>
      <c r="H1228" s="11" t="s">
        <v>3571</v>
      </c>
      <c r="I1228" s="11" t="s">
        <v>3528</v>
      </c>
    </row>
    <row r="1229" spans="1:9" x14ac:dyDescent="0.15">
      <c r="A1229" s="10">
        <v>1228</v>
      </c>
      <c r="B1229" s="11" t="s">
        <v>9</v>
      </c>
      <c r="C1229" s="11" t="s">
        <v>152</v>
      </c>
      <c r="D1229" s="11" t="s">
        <v>153</v>
      </c>
      <c r="E1229" s="9" t="str">
        <f>+HYPERLINK("http://trademark.i-assist.jp/data/china/image_1906th/79864144.pdf", "79864144")</f>
        <v>79864144</v>
      </c>
      <c r="F1229" s="11" t="s">
        <v>3572</v>
      </c>
      <c r="G1229" s="11" t="s">
        <v>3570</v>
      </c>
      <c r="H1229" s="11" t="s">
        <v>3573</v>
      </c>
      <c r="I1229" s="11" t="s">
        <v>3528</v>
      </c>
    </row>
    <row r="1230" spans="1:9" x14ac:dyDescent="0.15">
      <c r="A1230" s="10">
        <v>1229</v>
      </c>
      <c r="B1230" s="11" t="s">
        <v>9</v>
      </c>
      <c r="C1230" s="11" t="s">
        <v>152</v>
      </c>
      <c r="D1230" s="11" t="s">
        <v>153</v>
      </c>
      <c r="E1230" s="9" t="str">
        <f>+HYPERLINK("http://trademark.i-assist.jp/data/china/image_1906th/79864481.pdf", "79864481")</f>
        <v>79864481</v>
      </c>
      <c r="F1230" s="11" t="s">
        <v>3574</v>
      </c>
      <c r="G1230" s="11" t="s">
        <v>3575</v>
      </c>
      <c r="H1230" s="11" t="s">
        <v>3576</v>
      </c>
      <c r="I1230" s="11" t="s">
        <v>3528</v>
      </c>
    </row>
    <row r="1231" spans="1:9" x14ac:dyDescent="0.15">
      <c r="A1231" s="10">
        <v>1230</v>
      </c>
      <c r="B1231" s="11" t="s">
        <v>9</v>
      </c>
      <c r="C1231" s="11" t="s">
        <v>152</v>
      </c>
      <c r="D1231" s="11" t="s">
        <v>153</v>
      </c>
      <c r="E1231" s="9" t="str">
        <f>+HYPERLINK("http://trademark.i-assist.jp/data/china/image_1906th/79864698.pdf", "79864698")</f>
        <v>79864698</v>
      </c>
      <c r="F1231" s="11" t="s">
        <v>3577</v>
      </c>
      <c r="G1231" s="11" t="s">
        <v>2947</v>
      </c>
      <c r="H1231" s="11" t="s">
        <v>3578</v>
      </c>
      <c r="I1231" s="11" t="s">
        <v>3528</v>
      </c>
    </row>
    <row r="1232" spans="1:9" x14ac:dyDescent="0.15">
      <c r="A1232" s="10">
        <v>1231</v>
      </c>
      <c r="B1232" s="11" t="s">
        <v>9</v>
      </c>
      <c r="C1232" s="11" t="s">
        <v>152</v>
      </c>
      <c r="D1232" s="11" t="s">
        <v>153</v>
      </c>
      <c r="E1232" s="9" t="str">
        <f>+HYPERLINK("http://trademark.i-assist.jp/data/china/image_1906th/79865350.pdf", "79865350")</f>
        <v>79865350</v>
      </c>
      <c r="F1232" s="11" t="s">
        <v>3579</v>
      </c>
      <c r="G1232" s="11" t="s">
        <v>3580</v>
      </c>
      <c r="H1232" s="11" t="s">
        <v>3581</v>
      </c>
      <c r="I1232" s="11" t="s">
        <v>3528</v>
      </c>
    </row>
    <row r="1233" spans="1:9" x14ac:dyDescent="0.15">
      <c r="A1233" s="10">
        <v>1232</v>
      </c>
      <c r="B1233" s="11" t="s">
        <v>9</v>
      </c>
      <c r="C1233" s="11" t="s">
        <v>152</v>
      </c>
      <c r="D1233" s="11" t="s">
        <v>153</v>
      </c>
      <c r="E1233" s="9" t="str">
        <f>+HYPERLINK("http://trademark.i-assist.jp/data/china/image_1906th/79865692.pdf", "79865692")</f>
        <v>79865692</v>
      </c>
      <c r="F1233" s="11" t="s">
        <v>3582</v>
      </c>
      <c r="G1233" s="11" t="s">
        <v>3555</v>
      </c>
      <c r="H1233" s="11" t="s">
        <v>3583</v>
      </c>
      <c r="I1233" s="11" t="s">
        <v>3528</v>
      </c>
    </row>
    <row r="1234" spans="1:9" x14ac:dyDescent="0.15">
      <c r="A1234" s="10">
        <v>1233</v>
      </c>
      <c r="B1234" s="11" t="s">
        <v>9</v>
      </c>
      <c r="C1234" s="11" t="s">
        <v>152</v>
      </c>
      <c r="D1234" s="11" t="s">
        <v>153</v>
      </c>
      <c r="E1234" s="9" t="str">
        <f>+HYPERLINK("http://trademark.i-assist.jp/data/china/image_1906th/79865719.pdf", "79865719")</f>
        <v>79865719</v>
      </c>
      <c r="F1234" s="11" t="s">
        <v>3584</v>
      </c>
      <c r="G1234" s="11" t="s">
        <v>3585</v>
      </c>
      <c r="H1234" s="11" t="s">
        <v>3586</v>
      </c>
      <c r="I1234" s="11" t="s">
        <v>3528</v>
      </c>
    </row>
    <row r="1235" spans="1:9" x14ac:dyDescent="0.15">
      <c r="A1235" s="10">
        <v>1234</v>
      </c>
      <c r="B1235" s="11" t="s">
        <v>9</v>
      </c>
      <c r="C1235" s="11" t="s">
        <v>152</v>
      </c>
      <c r="D1235" s="11" t="s">
        <v>153</v>
      </c>
      <c r="E1235" s="9" t="str">
        <f>+HYPERLINK("http://trademark.i-assist.jp/data/china/image_1906th/79866009.pdf", "79866009")</f>
        <v>79866009</v>
      </c>
      <c r="F1235" s="11" t="s">
        <v>3587</v>
      </c>
      <c r="G1235" s="11" t="s">
        <v>3575</v>
      </c>
      <c r="H1235" s="11" t="s">
        <v>3588</v>
      </c>
      <c r="I1235" s="11" t="s">
        <v>3528</v>
      </c>
    </row>
    <row r="1236" spans="1:9" x14ac:dyDescent="0.15">
      <c r="A1236" s="10">
        <v>1235</v>
      </c>
      <c r="B1236" s="11" t="s">
        <v>9</v>
      </c>
      <c r="C1236" s="11" t="s">
        <v>152</v>
      </c>
      <c r="D1236" s="11" t="s">
        <v>153</v>
      </c>
      <c r="E1236" s="9" t="str">
        <f>+HYPERLINK("http://trademark.i-assist.jp/data/china/image_1906th/79866718.pdf", "79866718")</f>
        <v>79866718</v>
      </c>
      <c r="F1236" s="11" t="s">
        <v>3589</v>
      </c>
      <c r="G1236" s="11" t="s">
        <v>3590</v>
      </c>
      <c r="H1236" s="11" t="s">
        <v>3591</v>
      </c>
      <c r="I1236" s="11" t="s">
        <v>3528</v>
      </c>
    </row>
    <row r="1237" spans="1:9" x14ac:dyDescent="0.15">
      <c r="A1237" s="10">
        <v>1236</v>
      </c>
      <c r="B1237" s="11" t="s">
        <v>9</v>
      </c>
      <c r="C1237" s="11" t="s">
        <v>152</v>
      </c>
      <c r="D1237" s="11" t="s">
        <v>153</v>
      </c>
      <c r="E1237" s="9" t="str">
        <f>+HYPERLINK("http://trademark.i-assist.jp/data/china/image_1906th/79866745.pdf", "79866745")</f>
        <v>79866745</v>
      </c>
      <c r="F1237" s="11" t="s">
        <v>3592</v>
      </c>
      <c r="G1237" s="11" t="s">
        <v>3593</v>
      </c>
      <c r="H1237" s="11" t="s">
        <v>3594</v>
      </c>
      <c r="I1237" s="11" t="s">
        <v>3528</v>
      </c>
    </row>
    <row r="1238" spans="1:9" x14ac:dyDescent="0.15">
      <c r="A1238" s="10">
        <v>1237</v>
      </c>
      <c r="B1238" s="11" t="s">
        <v>9</v>
      </c>
      <c r="C1238" s="11" t="s">
        <v>152</v>
      </c>
      <c r="D1238" s="11" t="s">
        <v>153</v>
      </c>
      <c r="E1238" s="9" t="str">
        <f>+HYPERLINK("http://trademark.i-assist.jp/data/china/image_1906th/79867138.pdf", "79867138")</f>
        <v>79867138</v>
      </c>
      <c r="F1238" s="11" t="s">
        <v>3595</v>
      </c>
      <c r="G1238" s="11" t="s">
        <v>3596</v>
      </c>
      <c r="H1238" s="11" t="s">
        <v>3597</v>
      </c>
      <c r="I1238" s="11" t="s">
        <v>3528</v>
      </c>
    </row>
    <row r="1239" spans="1:9" x14ac:dyDescent="0.15">
      <c r="A1239" s="10">
        <v>1238</v>
      </c>
      <c r="B1239" s="11" t="s">
        <v>9</v>
      </c>
      <c r="C1239" s="11" t="s">
        <v>152</v>
      </c>
      <c r="D1239" s="11" t="s">
        <v>153</v>
      </c>
      <c r="E1239" s="9" t="str">
        <f>+HYPERLINK("http://trademark.i-assist.jp/data/china/image_1906th/79867164.pdf", "79867164")</f>
        <v>79867164</v>
      </c>
      <c r="F1239" s="11" t="s">
        <v>3598</v>
      </c>
      <c r="G1239" s="11" t="s">
        <v>3599</v>
      </c>
      <c r="H1239" s="11" t="s">
        <v>3600</v>
      </c>
      <c r="I1239" s="11" t="s">
        <v>3528</v>
      </c>
    </row>
    <row r="1240" spans="1:9" x14ac:dyDescent="0.15">
      <c r="A1240" s="10">
        <v>1239</v>
      </c>
      <c r="B1240" s="11" t="s">
        <v>9</v>
      </c>
      <c r="C1240" s="11" t="s">
        <v>152</v>
      </c>
      <c r="D1240" s="11" t="s">
        <v>153</v>
      </c>
      <c r="E1240" s="9" t="str">
        <f>+HYPERLINK("http://trademark.i-assist.jp/data/china/image_1906th/79867192.pdf", "79867192")</f>
        <v>79867192</v>
      </c>
      <c r="F1240" s="11" t="s">
        <v>3601</v>
      </c>
      <c r="G1240" s="11" t="s">
        <v>3602</v>
      </c>
      <c r="H1240" s="11" t="s">
        <v>3603</v>
      </c>
      <c r="I1240" s="11" t="s">
        <v>3528</v>
      </c>
    </row>
    <row r="1241" spans="1:9" x14ac:dyDescent="0.15">
      <c r="A1241" s="10">
        <v>1240</v>
      </c>
      <c r="B1241" s="11" t="s">
        <v>9</v>
      </c>
      <c r="C1241" s="11" t="s">
        <v>152</v>
      </c>
      <c r="D1241" s="11" t="s">
        <v>153</v>
      </c>
      <c r="E1241" s="9" t="str">
        <f>+HYPERLINK("http://trademark.i-assist.jp/data/china/image_1906th/79867637.pdf", "79867637")</f>
        <v>79867637</v>
      </c>
      <c r="F1241" s="11" t="s">
        <v>3604</v>
      </c>
      <c r="G1241" s="11" t="s">
        <v>2032</v>
      </c>
      <c r="H1241" s="11" t="s">
        <v>3605</v>
      </c>
      <c r="I1241" s="11" t="s">
        <v>3528</v>
      </c>
    </row>
    <row r="1242" spans="1:9" x14ac:dyDescent="0.15">
      <c r="A1242" s="10">
        <v>1241</v>
      </c>
      <c r="B1242" s="11" t="s">
        <v>9</v>
      </c>
      <c r="C1242" s="11" t="s">
        <v>152</v>
      </c>
      <c r="D1242" s="11" t="s">
        <v>153</v>
      </c>
      <c r="E1242" s="9" t="str">
        <f>+HYPERLINK("http://trademark.i-assist.jp/data/china/image_1906th/79867849.pdf", "79867849")</f>
        <v>79867849</v>
      </c>
      <c r="F1242" s="11" t="s">
        <v>3606</v>
      </c>
      <c r="G1242" s="11" t="s">
        <v>3607</v>
      </c>
      <c r="H1242" s="11" t="s">
        <v>3608</v>
      </c>
      <c r="I1242" s="11" t="s">
        <v>3528</v>
      </c>
    </row>
    <row r="1243" spans="1:9" x14ac:dyDescent="0.15">
      <c r="A1243" s="10">
        <v>1242</v>
      </c>
      <c r="B1243" s="11" t="s">
        <v>9</v>
      </c>
      <c r="C1243" s="11" t="s">
        <v>152</v>
      </c>
      <c r="D1243" s="11" t="s">
        <v>153</v>
      </c>
      <c r="E1243" s="9" t="str">
        <f>+HYPERLINK("http://trademark.i-assist.jp/data/china/image_1906th/79868523.pdf", "79868523")</f>
        <v>79868523</v>
      </c>
      <c r="F1243" s="11" t="s">
        <v>3609</v>
      </c>
      <c r="G1243" s="11" t="s">
        <v>3547</v>
      </c>
      <c r="H1243" s="11" t="s">
        <v>3610</v>
      </c>
      <c r="I1243" s="11" t="s">
        <v>3528</v>
      </c>
    </row>
    <row r="1244" spans="1:9" x14ac:dyDescent="0.15">
      <c r="A1244" s="10">
        <v>1243</v>
      </c>
      <c r="B1244" s="11" t="s">
        <v>9</v>
      </c>
      <c r="C1244" s="11" t="s">
        <v>152</v>
      </c>
      <c r="D1244" s="11" t="s">
        <v>153</v>
      </c>
      <c r="E1244" s="9" t="str">
        <f>+HYPERLINK("http://trademark.i-assist.jp/data/china/image_1906th/79868533.pdf", "79868533")</f>
        <v>79868533</v>
      </c>
      <c r="F1244" s="11" t="s">
        <v>3611</v>
      </c>
      <c r="G1244" s="11" t="s">
        <v>3547</v>
      </c>
      <c r="H1244" s="11" t="s">
        <v>3612</v>
      </c>
      <c r="I1244" s="11" t="s">
        <v>3528</v>
      </c>
    </row>
    <row r="1245" spans="1:9" x14ac:dyDescent="0.15">
      <c r="A1245" s="10">
        <v>1244</v>
      </c>
      <c r="B1245" s="11" t="s">
        <v>9</v>
      </c>
      <c r="C1245" s="11" t="s">
        <v>152</v>
      </c>
      <c r="D1245" s="11" t="s">
        <v>153</v>
      </c>
      <c r="E1245" s="9" t="str">
        <f>+HYPERLINK("http://trademark.i-assist.jp/data/china/image_1906th/79869339.pdf", "79869339")</f>
        <v>79869339</v>
      </c>
      <c r="F1245" s="11" t="s">
        <v>3613</v>
      </c>
      <c r="G1245" s="11" t="s">
        <v>3614</v>
      </c>
      <c r="H1245" s="11" t="s">
        <v>3615</v>
      </c>
      <c r="I1245" s="11" t="s">
        <v>3528</v>
      </c>
    </row>
    <row r="1246" spans="1:9" x14ac:dyDescent="0.15">
      <c r="A1246" s="10">
        <v>1245</v>
      </c>
      <c r="B1246" s="11" t="s">
        <v>9</v>
      </c>
      <c r="C1246" s="11" t="s">
        <v>152</v>
      </c>
      <c r="D1246" s="11" t="s">
        <v>153</v>
      </c>
      <c r="E1246" s="9" t="str">
        <f>+HYPERLINK("http://trademark.i-assist.jp/data/china/image_1906th/79869977.pdf", "79869977")</f>
        <v>79869977</v>
      </c>
      <c r="F1246" s="11" t="s">
        <v>3616</v>
      </c>
      <c r="G1246" s="11" t="s">
        <v>3617</v>
      </c>
      <c r="H1246" s="11" t="s">
        <v>3618</v>
      </c>
      <c r="I1246" s="11" t="s">
        <v>3528</v>
      </c>
    </row>
    <row r="1247" spans="1:9" x14ac:dyDescent="0.15">
      <c r="A1247" s="10">
        <v>1246</v>
      </c>
      <c r="B1247" s="11" t="s">
        <v>9</v>
      </c>
      <c r="C1247" s="11" t="s">
        <v>152</v>
      </c>
      <c r="D1247" s="11" t="s">
        <v>153</v>
      </c>
      <c r="E1247" s="9" t="str">
        <f>+HYPERLINK("http://trademark.i-assist.jp/data/china/image_1906th/79870496.pdf", "79870496")</f>
        <v>79870496</v>
      </c>
      <c r="F1247" s="11" t="s">
        <v>3619</v>
      </c>
      <c r="G1247" s="11" t="s">
        <v>3620</v>
      </c>
      <c r="H1247" s="11" t="s">
        <v>3621</v>
      </c>
      <c r="I1247" s="11" t="s">
        <v>3528</v>
      </c>
    </row>
    <row r="1248" spans="1:9" x14ac:dyDescent="0.15">
      <c r="A1248" s="10">
        <v>1247</v>
      </c>
      <c r="B1248" s="11" t="s">
        <v>9</v>
      </c>
      <c r="C1248" s="11" t="s">
        <v>152</v>
      </c>
      <c r="D1248" s="11" t="s">
        <v>153</v>
      </c>
      <c r="E1248" s="9" t="str">
        <f>+HYPERLINK("http://trademark.i-assist.jp/data/china/image_1906th/79870732.pdf", "79870732")</f>
        <v>79870732</v>
      </c>
      <c r="F1248" s="11" t="s">
        <v>3622</v>
      </c>
      <c r="G1248" s="11" t="s">
        <v>3623</v>
      </c>
      <c r="H1248" s="11" t="s">
        <v>3624</v>
      </c>
      <c r="I1248" s="11" t="s">
        <v>3528</v>
      </c>
    </row>
    <row r="1249" spans="1:9" x14ac:dyDescent="0.15">
      <c r="A1249" s="10">
        <v>1248</v>
      </c>
      <c r="B1249" s="11" t="s">
        <v>9</v>
      </c>
      <c r="C1249" s="11" t="s">
        <v>152</v>
      </c>
      <c r="D1249" s="11" t="s">
        <v>153</v>
      </c>
      <c r="E1249" s="9" t="str">
        <f>+HYPERLINK("http://trademark.i-assist.jp/data/china/image_1906th/79870816.pdf", "79870816")</f>
        <v>79870816</v>
      </c>
      <c r="F1249" s="11" t="s">
        <v>3625</v>
      </c>
      <c r="G1249" s="11" t="s">
        <v>3626</v>
      </c>
      <c r="H1249" s="11" t="s">
        <v>3627</v>
      </c>
      <c r="I1249" s="11" t="s">
        <v>3528</v>
      </c>
    </row>
    <row r="1250" spans="1:9" x14ac:dyDescent="0.15">
      <c r="A1250" s="10">
        <v>1249</v>
      </c>
      <c r="B1250" s="11" t="s">
        <v>9</v>
      </c>
      <c r="C1250" s="11" t="s">
        <v>152</v>
      </c>
      <c r="D1250" s="11" t="s">
        <v>153</v>
      </c>
      <c r="E1250" s="9" t="str">
        <f>+HYPERLINK("http://trademark.i-assist.jp/data/china/image_1906th/79871093.pdf", "79871093")</f>
        <v>79871093</v>
      </c>
      <c r="F1250" s="11" t="s">
        <v>3628</v>
      </c>
      <c r="G1250" s="11" t="s">
        <v>128</v>
      </c>
      <c r="H1250" s="11" t="s">
        <v>3629</v>
      </c>
      <c r="I1250" s="11" t="s">
        <v>3528</v>
      </c>
    </row>
    <row r="1251" spans="1:9" x14ac:dyDescent="0.15">
      <c r="A1251" s="10">
        <v>1250</v>
      </c>
      <c r="B1251" s="11" t="s">
        <v>9</v>
      </c>
      <c r="C1251" s="11" t="s">
        <v>152</v>
      </c>
      <c r="D1251" s="11" t="s">
        <v>153</v>
      </c>
      <c r="E1251" s="9" t="str">
        <f>+HYPERLINK("http://trademark.i-assist.jp/data/china/image_1906th/79871539.pdf", "79871539")</f>
        <v>79871539</v>
      </c>
      <c r="F1251" s="11" t="s">
        <v>3630</v>
      </c>
      <c r="G1251" s="11" t="s">
        <v>3631</v>
      </c>
      <c r="H1251" s="11" t="s">
        <v>3632</v>
      </c>
      <c r="I1251" s="11" t="s">
        <v>3528</v>
      </c>
    </row>
    <row r="1252" spans="1:9" x14ac:dyDescent="0.15">
      <c r="A1252" s="10">
        <v>1251</v>
      </c>
      <c r="B1252" s="11" t="s">
        <v>9</v>
      </c>
      <c r="C1252" s="11" t="s">
        <v>152</v>
      </c>
      <c r="D1252" s="11" t="s">
        <v>153</v>
      </c>
      <c r="E1252" s="9" t="str">
        <f>+HYPERLINK("http://trademark.i-assist.jp/data/china/image_1906th/79872066.pdf", "79872066")</f>
        <v>79872066</v>
      </c>
      <c r="F1252" s="11" t="s">
        <v>12</v>
      </c>
      <c r="G1252" s="11" t="s">
        <v>3633</v>
      </c>
      <c r="H1252" s="11" t="s">
        <v>3634</v>
      </c>
      <c r="I1252" s="11" t="s">
        <v>3528</v>
      </c>
    </row>
    <row r="1253" spans="1:9" x14ac:dyDescent="0.15">
      <c r="A1253" s="10">
        <v>1252</v>
      </c>
      <c r="B1253" s="11" t="s">
        <v>9</v>
      </c>
      <c r="C1253" s="11" t="s">
        <v>152</v>
      </c>
      <c r="D1253" s="11" t="s">
        <v>153</v>
      </c>
      <c r="E1253" s="9" t="str">
        <f>+HYPERLINK("http://trademark.i-assist.jp/data/china/image_1906th/79873255.pdf", "79873255")</f>
        <v>79873255</v>
      </c>
      <c r="F1253" s="11" t="s">
        <v>3635</v>
      </c>
      <c r="G1253" s="11" t="s">
        <v>94</v>
      </c>
      <c r="H1253" s="11" t="s">
        <v>3636</v>
      </c>
      <c r="I1253" s="11" t="s">
        <v>3528</v>
      </c>
    </row>
    <row r="1254" spans="1:9" x14ac:dyDescent="0.15">
      <c r="A1254" s="10">
        <v>1253</v>
      </c>
      <c r="B1254" s="11" t="s">
        <v>9</v>
      </c>
      <c r="C1254" s="11" t="s">
        <v>152</v>
      </c>
      <c r="D1254" s="11" t="s">
        <v>153</v>
      </c>
      <c r="E1254" s="9" t="str">
        <f>+HYPERLINK("http://trademark.i-assist.jp/data/china/image_1906th/79873273.pdf", "79873273")</f>
        <v>79873273</v>
      </c>
      <c r="F1254" s="11" t="s">
        <v>3637</v>
      </c>
      <c r="G1254" s="11" t="s">
        <v>3638</v>
      </c>
      <c r="H1254" s="11" t="s">
        <v>3639</v>
      </c>
      <c r="I1254" s="11" t="s">
        <v>3528</v>
      </c>
    </row>
    <row r="1255" spans="1:9" x14ac:dyDescent="0.15">
      <c r="A1255" s="10">
        <v>1254</v>
      </c>
      <c r="B1255" s="11" t="s">
        <v>9</v>
      </c>
      <c r="C1255" s="11" t="s">
        <v>152</v>
      </c>
      <c r="D1255" s="11" t="s">
        <v>153</v>
      </c>
      <c r="E1255" s="9" t="str">
        <f>+HYPERLINK("http://trademark.i-assist.jp/data/china/image_1906th/79875497.pdf", "79875497")</f>
        <v>79875497</v>
      </c>
      <c r="F1255" s="11" t="s">
        <v>3640</v>
      </c>
      <c r="G1255" s="11" t="s">
        <v>3641</v>
      </c>
      <c r="H1255" s="11" t="s">
        <v>3642</v>
      </c>
      <c r="I1255" s="11" t="s">
        <v>3528</v>
      </c>
    </row>
    <row r="1256" spans="1:9" x14ac:dyDescent="0.15">
      <c r="A1256" s="10">
        <v>1255</v>
      </c>
      <c r="B1256" s="11" t="s">
        <v>9</v>
      </c>
      <c r="C1256" s="11" t="s">
        <v>152</v>
      </c>
      <c r="D1256" s="11" t="s">
        <v>153</v>
      </c>
      <c r="E1256" s="9" t="str">
        <f>+HYPERLINK("http://trademark.i-assist.jp/data/china/image_1906th/79875528.pdf", "79875528")</f>
        <v>79875528</v>
      </c>
      <c r="F1256" s="11" t="s">
        <v>3643</v>
      </c>
      <c r="G1256" s="11" t="s">
        <v>3644</v>
      </c>
      <c r="H1256" s="11" t="s">
        <v>3645</v>
      </c>
      <c r="I1256" s="11" t="s">
        <v>3528</v>
      </c>
    </row>
    <row r="1257" spans="1:9" x14ac:dyDescent="0.15">
      <c r="A1257" s="10">
        <v>1256</v>
      </c>
      <c r="B1257" s="11" t="s">
        <v>9</v>
      </c>
      <c r="C1257" s="11" t="s">
        <v>152</v>
      </c>
      <c r="D1257" s="11" t="s">
        <v>153</v>
      </c>
      <c r="E1257" s="9" t="str">
        <f>+HYPERLINK("http://trademark.i-assist.jp/data/china/image_1906th/79875655.pdf", "79875655")</f>
        <v>79875655</v>
      </c>
      <c r="F1257" s="11" t="s">
        <v>3646</v>
      </c>
      <c r="G1257" s="11" t="s">
        <v>3575</v>
      </c>
      <c r="H1257" s="11" t="s">
        <v>14</v>
      </c>
      <c r="I1257" s="11" t="s">
        <v>14</v>
      </c>
    </row>
    <row r="1258" spans="1:9" x14ac:dyDescent="0.15">
      <c r="A1258" s="10">
        <v>1257</v>
      </c>
      <c r="B1258" s="11" t="s">
        <v>9</v>
      </c>
      <c r="C1258" s="11" t="s">
        <v>152</v>
      </c>
      <c r="D1258" s="11" t="s">
        <v>153</v>
      </c>
      <c r="E1258" s="9" t="str">
        <f>+HYPERLINK("http://trademark.i-assist.jp/data/china/image_1906th/79875715.pdf", "79875715")</f>
        <v>79875715</v>
      </c>
      <c r="F1258" s="11" t="s">
        <v>3647</v>
      </c>
      <c r="G1258" s="11" t="s">
        <v>3648</v>
      </c>
      <c r="H1258" s="11" t="s">
        <v>3649</v>
      </c>
      <c r="I1258" s="11" t="s">
        <v>3528</v>
      </c>
    </row>
    <row r="1259" spans="1:9" x14ac:dyDescent="0.15">
      <c r="A1259" s="10">
        <v>1258</v>
      </c>
      <c r="B1259" s="11" t="s">
        <v>9</v>
      </c>
      <c r="C1259" s="11" t="s">
        <v>152</v>
      </c>
      <c r="D1259" s="11" t="s">
        <v>153</v>
      </c>
      <c r="E1259" s="9" t="str">
        <f>+HYPERLINK("http://trademark.i-assist.jp/data/china/image_1906th/79875737.pdf", "79875737")</f>
        <v>79875737</v>
      </c>
      <c r="F1259" s="11" t="s">
        <v>3650</v>
      </c>
      <c r="G1259" s="11" t="s">
        <v>3651</v>
      </c>
      <c r="H1259" s="11" t="s">
        <v>3652</v>
      </c>
      <c r="I1259" s="11" t="s">
        <v>3528</v>
      </c>
    </row>
    <row r="1260" spans="1:9" x14ac:dyDescent="0.15">
      <c r="A1260" s="10">
        <v>1259</v>
      </c>
      <c r="B1260" s="11" t="s">
        <v>9</v>
      </c>
      <c r="C1260" s="11" t="s">
        <v>152</v>
      </c>
      <c r="D1260" s="11" t="s">
        <v>153</v>
      </c>
      <c r="E1260" s="9" t="str">
        <f>+HYPERLINK("http://trademark.i-assist.jp/data/china/image_1906th/79876738.pdf", "79876738")</f>
        <v>79876738</v>
      </c>
      <c r="F1260" s="11" t="s">
        <v>3653</v>
      </c>
      <c r="G1260" s="11" t="s">
        <v>3654</v>
      </c>
      <c r="H1260" s="11" t="s">
        <v>3655</v>
      </c>
      <c r="I1260" s="11" t="s">
        <v>3528</v>
      </c>
    </row>
    <row r="1261" spans="1:9" x14ac:dyDescent="0.15">
      <c r="A1261" s="10">
        <v>1260</v>
      </c>
      <c r="B1261" s="11" t="s">
        <v>9</v>
      </c>
      <c r="C1261" s="11" t="s">
        <v>152</v>
      </c>
      <c r="D1261" s="11" t="s">
        <v>153</v>
      </c>
      <c r="E1261" s="9" t="str">
        <f>+HYPERLINK("http://trademark.i-assist.jp/data/china/image_1906th/79877058.pdf", "79877058")</f>
        <v>79877058</v>
      </c>
      <c r="F1261" s="11" t="s">
        <v>3656</v>
      </c>
      <c r="G1261" s="11" t="s">
        <v>3657</v>
      </c>
      <c r="H1261" s="11" t="s">
        <v>3658</v>
      </c>
      <c r="I1261" s="11" t="s">
        <v>3528</v>
      </c>
    </row>
    <row r="1262" spans="1:9" x14ac:dyDescent="0.15">
      <c r="A1262" s="10">
        <v>1261</v>
      </c>
      <c r="B1262" s="11" t="s">
        <v>9</v>
      </c>
      <c r="C1262" s="11" t="s">
        <v>152</v>
      </c>
      <c r="D1262" s="11" t="s">
        <v>153</v>
      </c>
      <c r="E1262" s="9" t="str">
        <f>+HYPERLINK("http://trademark.i-assist.jp/data/china/image_1906th/79877668.pdf", "79877668")</f>
        <v>79877668</v>
      </c>
      <c r="F1262" s="11" t="s">
        <v>3659</v>
      </c>
      <c r="G1262" s="11" t="s">
        <v>3660</v>
      </c>
      <c r="H1262" s="11" t="s">
        <v>3661</v>
      </c>
      <c r="I1262" s="11" t="s">
        <v>3528</v>
      </c>
    </row>
    <row r="1263" spans="1:9" x14ac:dyDescent="0.15">
      <c r="A1263" s="10">
        <v>1262</v>
      </c>
      <c r="B1263" s="11" t="s">
        <v>9</v>
      </c>
      <c r="C1263" s="11" t="s">
        <v>152</v>
      </c>
      <c r="D1263" s="11" t="s">
        <v>153</v>
      </c>
      <c r="E1263" s="9" t="str">
        <f>+HYPERLINK("http://trademark.i-assist.jp/data/china/image_1906th/79878135.pdf", "79878135")</f>
        <v>79878135</v>
      </c>
      <c r="F1263" s="11" t="s">
        <v>3662</v>
      </c>
      <c r="G1263" s="11" t="s">
        <v>3663</v>
      </c>
      <c r="H1263" s="11" t="s">
        <v>3664</v>
      </c>
      <c r="I1263" s="11" t="s">
        <v>3528</v>
      </c>
    </row>
    <row r="1264" spans="1:9" x14ac:dyDescent="0.15">
      <c r="A1264" s="10">
        <v>1263</v>
      </c>
      <c r="B1264" s="11" t="s">
        <v>9</v>
      </c>
      <c r="C1264" s="11" t="s">
        <v>152</v>
      </c>
      <c r="D1264" s="11" t="s">
        <v>153</v>
      </c>
      <c r="E1264" s="9" t="str">
        <f>+HYPERLINK("http://trademark.i-assist.jp/data/china/image_1906th/79878549.pdf", "79878549")</f>
        <v>79878549</v>
      </c>
      <c r="F1264" s="11" t="s">
        <v>12</v>
      </c>
      <c r="G1264" s="11" t="s">
        <v>3665</v>
      </c>
      <c r="H1264" s="11" t="s">
        <v>3666</v>
      </c>
      <c r="I1264" s="11" t="s">
        <v>3528</v>
      </c>
    </row>
    <row r="1265" spans="1:9" x14ac:dyDescent="0.15">
      <c r="A1265" s="10">
        <v>1264</v>
      </c>
      <c r="B1265" s="11" t="s">
        <v>9</v>
      </c>
      <c r="C1265" s="11" t="s">
        <v>152</v>
      </c>
      <c r="D1265" s="11" t="s">
        <v>153</v>
      </c>
      <c r="E1265" s="9" t="str">
        <f>+HYPERLINK("http://trademark.i-assist.jp/data/china/image_1906th/79878584.pdf", "79878584")</f>
        <v>79878584</v>
      </c>
      <c r="F1265" s="11" t="s">
        <v>3667</v>
      </c>
      <c r="G1265" s="11" t="s">
        <v>3668</v>
      </c>
      <c r="H1265" s="11" t="s">
        <v>3669</v>
      </c>
      <c r="I1265" s="11" t="s">
        <v>3528</v>
      </c>
    </row>
    <row r="1266" spans="1:9" x14ac:dyDescent="0.15">
      <c r="A1266" s="10">
        <v>1265</v>
      </c>
      <c r="B1266" s="11" t="s">
        <v>9</v>
      </c>
      <c r="C1266" s="11" t="s">
        <v>152</v>
      </c>
      <c r="D1266" s="11" t="s">
        <v>153</v>
      </c>
      <c r="E1266" s="9" t="str">
        <f>+HYPERLINK("http://trademark.i-assist.jp/data/china/image_1906th/79879076.pdf", "79879076")</f>
        <v>79879076</v>
      </c>
      <c r="F1266" s="11" t="s">
        <v>3670</v>
      </c>
      <c r="G1266" s="11" t="s">
        <v>3671</v>
      </c>
      <c r="H1266" s="11" t="s">
        <v>3672</v>
      </c>
      <c r="I1266" s="11" t="s">
        <v>3528</v>
      </c>
    </row>
    <row r="1267" spans="1:9" x14ac:dyDescent="0.15">
      <c r="A1267" s="10">
        <v>1266</v>
      </c>
      <c r="B1267" s="11" t="s">
        <v>9</v>
      </c>
      <c r="C1267" s="11" t="s">
        <v>152</v>
      </c>
      <c r="D1267" s="11" t="s">
        <v>153</v>
      </c>
      <c r="E1267" s="9" t="str">
        <f>+HYPERLINK("http://trademark.i-assist.jp/data/china/image_1906th/79879409.pdf", "79879409")</f>
        <v>79879409</v>
      </c>
      <c r="F1267" s="11" t="s">
        <v>3673</v>
      </c>
      <c r="G1267" s="11" t="s">
        <v>3674</v>
      </c>
      <c r="H1267" s="11" t="s">
        <v>3675</v>
      </c>
      <c r="I1267" s="11" t="s">
        <v>3528</v>
      </c>
    </row>
    <row r="1268" spans="1:9" x14ac:dyDescent="0.15">
      <c r="A1268" s="10">
        <v>1267</v>
      </c>
      <c r="B1268" s="11" t="s">
        <v>9</v>
      </c>
      <c r="C1268" s="11" t="s">
        <v>152</v>
      </c>
      <c r="D1268" s="11" t="s">
        <v>153</v>
      </c>
      <c r="E1268" s="9" t="str">
        <f>+HYPERLINK("http://trademark.i-assist.jp/data/china/image_1906th/79879459.pdf", "79879459")</f>
        <v>79879459</v>
      </c>
      <c r="F1268" s="11" t="s">
        <v>3676</v>
      </c>
      <c r="G1268" s="11" t="s">
        <v>3677</v>
      </c>
      <c r="H1268" s="11" t="s">
        <v>3678</v>
      </c>
      <c r="I1268" s="11" t="s">
        <v>3528</v>
      </c>
    </row>
    <row r="1269" spans="1:9" x14ac:dyDescent="0.15">
      <c r="A1269" s="10">
        <v>1268</v>
      </c>
      <c r="B1269" s="11" t="s">
        <v>9</v>
      </c>
      <c r="C1269" s="11" t="s">
        <v>152</v>
      </c>
      <c r="D1269" s="11" t="s">
        <v>153</v>
      </c>
      <c r="E1269" s="9" t="str">
        <f>+HYPERLINK("http://trademark.i-assist.jp/data/china/image_1906th/79879556.pdf", "79879556")</f>
        <v>79879556</v>
      </c>
      <c r="F1269" s="11" t="s">
        <v>3679</v>
      </c>
      <c r="G1269" s="11" t="s">
        <v>3680</v>
      </c>
      <c r="H1269" s="11" t="s">
        <v>3681</v>
      </c>
      <c r="I1269" s="11" t="s">
        <v>3528</v>
      </c>
    </row>
    <row r="1270" spans="1:9" x14ac:dyDescent="0.15">
      <c r="A1270" s="10">
        <v>1269</v>
      </c>
      <c r="B1270" s="11" t="s">
        <v>9</v>
      </c>
      <c r="C1270" s="11" t="s">
        <v>152</v>
      </c>
      <c r="D1270" s="11" t="s">
        <v>153</v>
      </c>
      <c r="E1270" s="9" t="str">
        <f>+HYPERLINK("http://trademark.i-assist.jp/data/china/image_1906th/79880099.pdf", "79880099")</f>
        <v>79880099</v>
      </c>
      <c r="F1270" s="11" t="s">
        <v>3682</v>
      </c>
      <c r="G1270" s="11" t="s">
        <v>3683</v>
      </c>
      <c r="H1270" s="11" t="s">
        <v>3684</v>
      </c>
      <c r="I1270" s="11" t="s">
        <v>3528</v>
      </c>
    </row>
    <row r="1271" spans="1:9" x14ac:dyDescent="0.15">
      <c r="A1271" s="10">
        <v>1270</v>
      </c>
      <c r="B1271" s="11" t="s">
        <v>9</v>
      </c>
      <c r="C1271" s="11" t="s">
        <v>152</v>
      </c>
      <c r="D1271" s="11" t="s">
        <v>153</v>
      </c>
      <c r="E1271" s="9" t="str">
        <f>+HYPERLINK("http://trademark.i-assist.jp/data/china/image_1906th/79880629.pdf", "79880629")</f>
        <v>79880629</v>
      </c>
      <c r="F1271" s="11" t="s">
        <v>3685</v>
      </c>
      <c r="G1271" s="11" t="s">
        <v>3686</v>
      </c>
      <c r="H1271" s="11" t="s">
        <v>3687</v>
      </c>
      <c r="I1271" s="11" t="s">
        <v>3528</v>
      </c>
    </row>
    <row r="1272" spans="1:9" x14ac:dyDescent="0.15">
      <c r="A1272" s="10">
        <v>1271</v>
      </c>
      <c r="B1272" s="11" t="s">
        <v>9</v>
      </c>
      <c r="C1272" s="11" t="s">
        <v>152</v>
      </c>
      <c r="D1272" s="11" t="s">
        <v>153</v>
      </c>
      <c r="E1272" s="9" t="str">
        <f>+HYPERLINK("http://trademark.i-assist.jp/data/china/image_1906th/79880689.pdf", "79880689")</f>
        <v>79880689</v>
      </c>
      <c r="F1272" s="11" t="s">
        <v>3688</v>
      </c>
      <c r="G1272" s="11" t="s">
        <v>3585</v>
      </c>
      <c r="H1272" s="11" t="s">
        <v>3689</v>
      </c>
      <c r="I1272" s="11" t="s">
        <v>3528</v>
      </c>
    </row>
    <row r="1273" spans="1:9" x14ac:dyDescent="0.15">
      <c r="A1273" s="10">
        <v>1272</v>
      </c>
      <c r="B1273" s="11" t="s">
        <v>9</v>
      </c>
      <c r="C1273" s="11" t="s">
        <v>152</v>
      </c>
      <c r="D1273" s="11" t="s">
        <v>153</v>
      </c>
      <c r="E1273" s="9" t="str">
        <f>+HYPERLINK("http://trademark.i-assist.jp/data/china/image_1906th/79880699.pdf", "79880699")</f>
        <v>79880699</v>
      </c>
      <c r="F1273" s="11" t="s">
        <v>3690</v>
      </c>
      <c r="G1273" s="11" t="s">
        <v>3691</v>
      </c>
      <c r="H1273" s="11" t="s">
        <v>3692</v>
      </c>
      <c r="I1273" s="11" t="s">
        <v>3528</v>
      </c>
    </row>
    <row r="1274" spans="1:9" x14ac:dyDescent="0.15">
      <c r="A1274" s="10">
        <v>1273</v>
      </c>
      <c r="B1274" s="11" t="s">
        <v>9</v>
      </c>
      <c r="C1274" s="11" t="s">
        <v>152</v>
      </c>
      <c r="D1274" s="11" t="s">
        <v>153</v>
      </c>
      <c r="E1274" s="9" t="str">
        <f>+HYPERLINK("http://trademark.i-assist.jp/data/china/image_1906th/79880978.pdf", "79880978")</f>
        <v>79880978</v>
      </c>
      <c r="F1274" s="11" t="s">
        <v>3693</v>
      </c>
      <c r="G1274" s="11" t="s">
        <v>3547</v>
      </c>
      <c r="H1274" s="11" t="s">
        <v>3694</v>
      </c>
      <c r="I1274" s="11" t="s">
        <v>3528</v>
      </c>
    </row>
    <row r="1275" spans="1:9" x14ac:dyDescent="0.15">
      <c r="A1275" s="10">
        <v>1274</v>
      </c>
      <c r="B1275" s="11" t="s">
        <v>9</v>
      </c>
      <c r="C1275" s="11" t="s">
        <v>152</v>
      </c>
      <c r="D1275" s="11" t="s">
        <v>153</v>
      </c>
      <c r="E1275" s="9" t="str">
        <f>+HYPERLINK("http://trademark.i-assist.jp/data/china/image_1906th/79881286.pdf", "79881286")</f>
        <v>79881286</v>
      </c>
      <c r="F1275" s="11" t="s">
        <v>3695</v>
      </c>
      <c r="G1275" s="11" t="s">
        <v>3696</v>
      </c>
      <c r="H1275" s="11" t="s">
        <v>3697</v>
      </c>
      <c r="I1275" s="11" t="s">
        <v>3528</v>
      </c>
    </row>
    <row r="1276" spans="1:9" x14ac:dyDescent="0.15">
      <c r="A1276" s="10">
        <v>1275</v>
      </c>
      <c r="B1276" s="11" t="s">
        <v>9</v>
      </c>
      <c r="C1276" s="11" t="s">
        <v>152</v>
      </c>
      <c r="D1276" s="11" t="s">
        <v>153</v>
      </c>
      <c r="E1276" s="9" t="str">
        <f>+HYPERLINK("http://trademark.i-assist.jp/data/china/image_1906th/79881559.pdf", "79881559")</f>
        <v>79881559</v>
      </c>
      <c r="F1276" s="11" t="s">
        <v>12</v>
      </c>
      <c r="G1276" s="11" t="s">
        <v>3665</v>
      </c>
      <c r="H1276" s="11" t="s">
        <v>3698</v>
      </c>
      <c r="I1276" s="11" t="s">
        <v>3528</v>
      </c>
    </row>
    <row r="1277" spans="1:9" x14ac:dyDescent="0.15">
      <c r="A1277" s="10">
        <v>1276</v>
      </c>
      <c r="B1277" s="11" t="s">
        <v>9</v>
      </c>
      <c r="C1277" s="11" t="s">
        <v>152</v>
      </c>
      <c r="D1277" s="11" t="s">
        <v>153</v>
      </c>
      <c r="E1277" s="9" t="str">
        <f>+HYPERLINK("http://trademark.i-assist.jp/data/china/image_1906th/79881797.pdf", "79881797")</f>
        <v>79881797</v>
      </c>
      <c r="F1277" s="11" t="s">
        <v>3699</v>
      </c>
      <c r="G1277" s="11" t="s">
        <v>3700</v>
      </c>
      <c r="H1277" s="11" t="s">
        <v>3701</v>
      </c>
      <c r="I1277" s="11" t="s">
        <v>3702</v>
      </c>
    </row>
    <row r="1278" spans="1:9" x14ac:dyDescent="0.15">
      <c r="A1278" s="10">
        <v>1277</v>
      </c>
      <c r="B1278" s="11" t="s">
        <v>9</v>
      </c>
      <c r="C1278" s="11" t="s">
        <v>152</v>
      </c>
      <c r="D1278" s="11" t="s">
        <v>153</v>
      </c>
      <c r="E1278" s="9" t="str">
        <f>+HYPERLINK("http://trademark.i-assist.jp/data/china/image_1906th/79881874.pdf", "79881874")</f>
        <v>79881874</v>
      </c>
      <c r="F1278" s="11" t="s">
        <v>3703</v>
      </c>
      <c r="G1278" s="11" t="s">
        <v>3704</v>
      </c>
      <c r="H1278" s="11" t="s">
        <v>3705</v>
      </c>
      <c r="I1278" s="11" t="s">
        <v>3702</v>
      </c>
    </row>
    <row r="1279" spans="1:9" x14ac:dyDescent="0.15">
      <c r="A1279" s="10">
        <v>1278</v>
      </c>
      <c r="B1279" s="11" t="s">
        <v>9</v>
      </c>
      <c r="C1279" s="11" t="s">
        <v>152</v>
      </c>
      <c r="D1279" s="11" t="s">
        <v>153</v>
      </c>
      <c r="E1279" s="9" t="str">
        <f>+HYPERLINK("http://trademark.i-assist.jp/data/china/image_1906th/79883025.pdf", "79883025")</f>
        <v>79883025</v>
      </c>
      <c r="F1279" s="11" t="s">
        <v>3706</v>
      </c>
      <c r="G1279" s="11" t="s">
        <v>3707</v>
      </c>
      <c r="H1279" s="11" t="s">
        <v>3708</v>
      </c>
      <c r="I1279" s="11" t="s">
        <v>3702</v>
      </c>
    </row>
    <row r="1280" spans="1:9" x14ac:dyDescent="0.15">
      <c r="A1280" s="10">
        <v>1279</v>
      </c>
      <c r="B1280" s="11" t="s">
        <v>9</v>
      </c>
      <c r="C1280" s="11" t="s">
        <v>152</v>
      </c>
      <c r="D1280" s="11" t="s">
        <v>153</v>
      </c>
      <c r="E1280" s="9" t="str">
        <f>+HYPERLINK("http://trademark.i-assist.jp/data/china/image_1906th/79883716.pdf", "79883716")</f>
        <v>79883716</v>
      </c>
      <c r="F1280" s="11" t="s">
        <v>3709</v>
      </c>
      <c r="G1280" s="11" t="s">
        <v>3710</v>
      </c>
      <c r="H1280" s="11" t="s">
        <v>3711</v>
      </c>
      <c r="I1280" s="11" t="s">
        <v>3702</v>
      </c>
    </row>
    <row r="1281" spans="1:9" x14ac:dyDescent="0.15">
      <c r="A1281" s="10">
        <v>1280</v>
      </c>
      <c r="B1281" s="11" t="s">
        <v>9</v>
      </c>
      <c r="C1281" s="11" t="s">
        <v>152</v>
      </c>
      <c r="D1281" s="11" t="s">
        <v>153</v>
      </c>
      <c r="E1281" s="9" t="str">
        <f>+HYPERLINK("http://trademark.i-assist.jp/data/china/image_1906th/79883719.pdf", "79883719")</f>
        <v>79883719</v>
      </c>
      <c r="F1281" s="11" t="s">
        <v>3712</v>
      </c>
      <c r="G1281" s="11" t="s">
        <v>3713</v>
      </c>
      <c r="H1281" s="11" t="s">
        <v>3714</v>
      </c>
      <c r="I1281" s="11" t="s">
        <v>3702</v>
      </c>
    </row>
    <row r="1282" spans="1:9" x14ac:dyDescent="0.15">
      <c r="A1282" s="10">
        <v>1281</v>
      </c>
      <c r="B1282" s="11" t="s">
        <v>9</v>
      </c>
      <c r="C1282" s="11" t="s">
        <v>152</v>
      </c>
      <c r="D1282" s="11" t="s">
        <v>153</v>
      </c>
      <c r="E1282" s="9" t="str">
        <f>+HYPERLINK("http://trademark.i-assist.jp/data/china/image_1906th/79884282.pdf", "79884282")</f>
        <v>79884282</v>
      </c>
      <c r="F1282" s="11" t="s">
        <v>3715</v>
      </c>
      <c r="G1282" s="11" t="s">
        <v>3716</v>
      </c>
      <c r="H1282" s="11" t="s">
        <v>3717</v>
      </c>
      <c r="I1282" s="11" t="s">
        <v>3702</v>
      </c>
    </row>
    <row r="1283" spans="1:9" x14ac:dyDescent="0.15">
      <c r="A1283" s="10">
        <v>1282</v>
      </c>
      <c r="B1283" s="11" t="s">
        <v>9</v>
      </c>
      <c r="C1283" s="11" t="s">
        <v>152</v>
      </c>
      <c r="D1283" s="11" t="s">
        <v>153</v>
      </c>
      <c r="E1283" s="9" t="str">
        <f>+HYPERLINK("http://trademark.i-assist.jp/data/china/image_1906th/79884320.pdf", "79884320")</f>
        <v>79884320</v>
      </c>
      <c r="F1283" s="11" t="s">
        <v>3718</v>
      </c>
      <c r="G1283" s="11" t="s">
        <v>3719</v>
      </c>
      <c r="H1283" s="11" t="s">
        <v>3720</v>
      </c>
      <c r="I1283" s="11" t="s">
        <v>3702</v>
      </c>
    </row>
    <row r="1284" spans="1:9" x14ac:dyDescent="0.15">
      <c r="A1284" s="10">
        <v>1283</v>
      </c>
      <c r="B1284" s="11" t="s">
        <v>9</v>
      </c>
      <c r="C1284" s="11" t="s">
        <v>152</v>
      </c>
      <c r="D1284" s="11" t="s">
        <v>153</v>
      </c>
      <c r="E1284" s="9" t="str">
        <f>+HYPERLINK("http://trademark.i-assist.jp/data/china/image_1906th/79884448.pdf", "79884448")</f>
        <v>79884448</v>
      </c>
      <c r="F1284" s="11" t="s">
        <v>3721</v>
      </c>
      <c r="G1284" s="11" t="s">
        <v>3722</v>
      </c>
      <c r="H1284" s="11" t="s">
        <v>3723</v>
      </c>
      <c r="I1284" s="11" t="s">
        <v>3702</v>
      </c>
    </row>
    <row r="1285" spans="1:9" x14ac:dyDescent="0.15">
      <c r="A1285" s="10">
        <v>1284</v>
      </c>
      <c r="B1285" s="11" t="s">
        <v>9</v>
      </c>
      <c r="C1285" s="11" t="s">
        <v>152</v>
      </c>
      <c r="D1285" s="11" t="s">
        <v>153</v>
      </c>
      <c r="E1285" s="9" t="str">
        <f>+HYPERLINK("http://trademark.i-assist.jp/data/china/image_1906th/79884514.pdf", "79884514")</f>
        <v>79884514</v>
      </c>
      <c r="F1285" s="11" t="s">
        <v>12</v>
      </c>
      <c r="G1285" s="11" t="s">
        <v>3724</v>
      </c>
      <c r="H1285" s="11" t="s">
        <v>3725</v>
      </c>
      <c r="I1285" s="11" t="s">
        <v>3702</v>
      </c>
    </row>
    <row r="1286" spans="1:9" x14ac:dyDescent="0.15">
      <c r="A1286" s="10">
        <v>1285</v>
      </c>
      <c r="B1286" s="11" t="s">
        <v>9</v>
      </c>
      <c r="C1286" s="11" t="s">
        <v>152</v>
      </c>
      <c r="D1286" s="11" t="s">
        <v>153</v>
      </c>
      <c r="E1286" s="9" t="str">
        <f>+HYPERLINK("http://trademark.i-assist.jp/data/china/image_1906th/79885081.pdf", "79885081")</f>
        <v>79885081</v>
      </c>
      <c r="F1286" s="11" t="s">
        <v>3726</v>
      </c>
      <c r="G1286" s="11" t="s">
        <v>3727</v>
      </c>
      <c r="H1286" s="11" t="s">
        <v>3728</v>
      </c>
      <c r="I1286" s="11" t="s">
        <v>3702</v>
      </c>
    </row>
    <row r="1287" spans="1:9" x14ac:dyDescent="0.15">
      <c r="A1287" s="10">
        <v>1286</v>
      </c>
      <c r="B1287" s="11" t="s">
        <v>9</v>
      </c>
      <c r="C1287" s="11" t="s">
        <v>152</v>
      </c>
      <c r="D1287" s="11" t="s">
        <v>153</v>
      </c>
      <c r="E1287" s="9" t="str">
        <f>+HYPERLINK("http://trademark.i-assist.jp/data/china/image_1906th/79885235.pdf", "79885235")</f>
        <v>79885235</v>
      </c>
      <c r="F1287" s="11" t="s">
        <v>3729</v>
      </c>
      <c r="G1287" s="11" t="s">
        <v>3730</v>
      </c>
      <c r="H1287" s="11" t="s">
        <v>3731</v>
      </c>
      <c r="I1287" s="11" t="s">
        <v>3702</v>
      </c>
    </row>
    <row r="1288" spans="1:9" x14ac:dyDescent="0.15">
      <c r="A1288" s="10">
        <v>1287</v>
      </c>
      <c r="B1288" s="11" t="s">
        <v>9</v>
      </c>
      <c r="C1288" s="11" t="s">
        <v>152</v>
      </c>
      <c r="D1288" s="11" t="s">
        <v>153</v>
      </c>
      <c r="E1288" s="9" t="str">
        <f>+HYPERLINK("http://trademark.i-assist.jp/data/china/image_1906th/79886343.pdf", "79886343")</f>
        <v>79886343</v>
      </c>
      <c r="F1288" s="11" t="s">
        <v>3732</v>
      </c>
      <c r="G1288" s="11" t="s">
        <v>3733</v>
      </c>
      <c r="H1288" s="11" t="s">
        <v>3734</v>
      </c>
      <c r="I1288" s="11" t="s">
        <v>3702</v>
      </c>
    </row>
    <row r="1289" spans="1:9" x14ac:dyDescent="0.15">
      <c r="A1289" s="10">
        <v>1288</v>
      </c>
      <c r="B1289" s="11" t="s">
        <v>9</v>
      </c>
      <c r="C1289" s="11" t="s">
        <v>152</v>
      </c>
      <c r="D1289" s="11" t="s">
        <v>153</v>
      </c>
      <c r="E1289" s="9" t="str">
        <f>+HYPERLINK("http://trademark.i-assist.jp/data/china/image_1906th/79886677.pdf", "79886677")</f>
        <v>79886677</v>
      </c>
      <c r="F1289" s="11" t="s">
        <v>3735</v>
      </c>
      <c r="G1289" s="11" t="s">
        <v>3736</v>
      </c>
      <c r="H1289" s="11" t="s">
        <v>3737</v>
      </c>
      <c r="I1289" s="11" t="s">
        <v>3702</v>
      </c>
    </row>
    <row r="1290" spans="1:9" x14ac:dyDescent="0.15">
      <c r="A1290" s="10">
        <v>1289</v>
      </c>
      <c r="B1290" s="11" t="s">
        <v>9</v>
      </c>
      <c r="C1290" s="11" t="s">
        <v>152</v>
      </c>
      <c r="D1290" s="11" t="s">
        <v>153</v>
      </c>
      <c r="E1290" s="9" t="str">
        <f>+HYPERLINK("http://trademark.i-assist.jp/data/china/image_1906th/79886983.pdf", "79886983")</f>
        <v>79886983</v>
      </c>
      <c r="F1290" s="11" t="s">
        <v>3738</v>
      </c>
      <c r="G1290" s="11" t="s">
        <v>3739</v>
      </c>
      <c r="H1290" s="11" t="s">
        <v>3740</v>
      </c>
      <c r="I1290" s="11" t="s">
        <v>3702</v>
      </c>
    </row>
    <row r="1291" spans="1:9" x14ac:dyDescent="0.15">
      <c r="A1291" s="10">
        <v>1290</v>
      </c>
      <c r="B1291" s="11" t="s">
        <v>9</v>
      </c>
      <c r="C1291" s="11" t="s">
        <v>152</v>
      </c>
      <c r="D1291" s="11" t="s">
        <v>153</v>
      </c>
      <c r="E1291" s="9" t="str">
        <f>+HYPERLINK("http://trademark.i-assist.jp/data/china/image_1906th/79887745.pdf", "79887745")</f>
        <v>79887745</v>
      </c>
      <c r="F1291" s="11" t="s">
        <v>3741</v>
      </c>
      <c r="G1291" s="11" t="s">
        <v>3742</v>
      </c>
      <c r="H1291" s="11" t="s">
        <v>3743</v>
      </c>
      <c r="I1291" s="11" t="s">
        <v>3702</v>
      </c>
    </row>
    <row r="1292" spans="1:9" x14ac:dyDescent="0.15">
      <c r="A1292" s="10">
        <v>1291</v>
      </c>
      <c r="B1292" s="11" t="s">
        <v>9</v>
      </c>
      <c r="C1292" s="11" t="s">
        <v>152</v>
      </c>
      <c r="D1292" s="11" t="s">
        <v>153</v>
      </c>
      <c r="E1292" s="9" t="str">
        <f>+HYPERLINK("http://trademark.i-assist.jp/data/china/image_1906th/79888263.pdf", "79888263")</f>
        <v>79888263</v>
      </c>
      <c r="F1292" s="11" t="s">
        <v>3738</v>
      </c>
      <c r="G1292" s="11" t="s">
        <v>3739</v>
      </c>
      <c r="H1292" s="11" t="s">
        <v>3744</v>
      </c>
      <c r="I1292" s="11" t="s">
        <v>3702</v>
      </c>
    </row>
    <row r="1293" spans="1:9" x14ac:dyDescent="0.15">
      <c r="A1293" s="10">
        <v>1292</v>
      </c>
      <c r="B1293" s="11" t="s">
        <v>9</v>
      </c>
      <c r="C1293" s="11" t="s">
        <v>152</v>
      </c>
      <c r="D1293" s="11" t="s">
        <v>153</v>
      </c>
      <c r="E1293" s="9" t="str">
        <f>+HYPERLINK("http://trademark.i-assist.jp/data/china/image_1906th/79889002.pdf", "79889002")</f>
        <v>79889002</v>
      </c>
      <c r="F1293" s="11" t="s">
        <v>3745</v>
      </c>
      <c r="G1293" s="11" t="s">
        <v>3746</v>
      </c>
      <c r="H1293" s="11" t="s">
        <v>3747</v>
      </c>
      <c r="I1293" s="11" t="s">
        <v>3702</v>
      </c>
    </row>
    <row r="1294" spans="1:9" x14ac:dyDescent="0.15">
      <c r="A1294" s="10">
        <v>1293</v>
      </c>
      <c r="B1294" s="11" t="s">
        <v>9</v>
      </c>
      <c r="C1294" s="11" t="s">
        <v>152</v>
      </c>
      <c r="D1294" s="11" t="s">
        <v>153</v>
      </c>
      <c r="E1294" s="9" t="str">
        <f>+HYPERLINK("http://trademark.i-assist.jp/data/china/image_1906th/79891128.pdf", "79891128")</f>
        <v>79891128</v>
      </c>
      <c r="F1294" s="11" t="s">
        <v>3748</v>
      </c>
      <c r="G1294" s="11" t="s">
        <v>3710</v>
      </c>
      <c r="H1294" s="11" t="s">
        <v>3749</v>
      </c>
      <c r="I1294" s="11" t="s">
        <v>3702</v>
      </c>
    </row>
    <row r="1295" spans="1:9" x14ac:dyDescent="0.15">
      <c r="A1295" s="10">
        <v>1294</v>
      </c>
      <c r="B1295" s="11" t="s">
        <v>9</v>
      </c>
      <c r="C1295" s="11" t="s">
        <v>152</v>
      </c>
      <c r="D1295" s="11" t="s">
        <v>153</v>
      </c>
      <c r="E1295" s="9" t="str">
        <f>+HYPERLINK("http://trademark.i-assist.jp/data/china/image_1906th/79891171.pdf", "79891171")</f>
        <v>79891171</v>
      </c>
      <c r="F1295" s="11" t="s">
        <v>3750</v>
      </c>
      <c r="G1295" s="11" t="s">
        <v>3751</v>
      </c>
      <c r="H1295" s="11" t="s">
        <v>3752</v>
      </c>
      <c r="I1295" s="11" t="s">
        <v>3702</v>
      </c>
    </row>
    <row r="1296" spans="1:9" x14ac:dyDescent="0.15">
      <c r="A1296" s="10">
        <v>1295</v>
      </c>
      <c r="B1296" s="11" t="s">
        <v>9</v>
      </c>
      <c r="C1296" s="11" t="s">
        <v>152</v>
      </c>
      <c r="D1296" s="11" t="s">
        <v>153</v>
      </c>
      <c r="E1296" s="9" t="str">
        <f>+HYPERLINK("http://trademark.i-assist.jp/data/china/image_1906th/79891451.pdf", "79891451")</f>
        <v>79891451</v>
      </c>
      <c r="F1296" s="11" t="s">
        <v>3753</v>
      </c>
      <c r="G1296" s="11" t="s">
        <v>3754</v>
      </c>
      <c r="H1296" s="11" t="s">
        <v>3755</v>
      </c>
      <c r="I1296" s="11" t="s">
        <v>3702</v>
      </c>
    </row>
    <row r="1297" spans="1:9" x14ac:dyDescent="0.15">
      <c r="A1297" s="10">
        <v>1296</v>
      </c>
      <c r="B1297" s="11" t="s">
        <v>9</v>
      </c>
      <c r="C1297" s="11" t="s">
        <v>152</v>
      </c>
      <c r="D1297" s="11" t="s">
        <v>153</v>
      </c>
      <c r="E1297" s="9" t="str">
        <f>+HYPERLINK("http://trademark.i-assist.jp/data/china/image_1906th/79891672.pdf", "79891672")</f>
        <v>79891672</v>
      </c>
      <c r="F1297" s="11" t="s">
        <v>3756</v>
      </c>
      <c r="G1297" s="11" t="s">
        <v>3757</v>
      </c>
      <c r="H1297" s="11" t="s">
        <v>3758</v>
      </c>
      <c r="I1297" s="11" t="s">
        <v>3702</v>
      </c>
    </row>
    <row r="1298" spans="1:9" x14ac:dyDescent="0.15">
      <c r="A1298" s="10">
        <v>1297</v>
      </c>
      <c r="B1298" s="11" t="s">
        <v>9</v>
      </c>
      <c r="C1298" s="11" t="s">
        <v>152</v>
      </c>
      <c r="D1298" s="11" t="s">
        <v>153</v>
      </c>
      <c r="E1298" s="9" t="str">
        <f>+HYPERLINK("http://trademark.i-assist.jp/data/china/image_1906th/79892384.pdf", "79892384")</f>
        <v>79892384</v>
      </c>
      <c r="F1298" s="11" t="s">
        <v>12</v>
      </c>
      <c r="G1298" s="11" t="s">
        <v>130</v>
      </c>
      <c r="H1298" s="11" t="s">
        <v>3759</v>
      </c>
      <c r="I1298" s="11" t="s">
        <v>3702</v>
      </c>
    </row>
    <row r="1299" spans="1:9" x14ac:dyDescent="0.15">
      <c r="A1299" s="10">
        <v>1298</v>
      </c>
      <c r="B1299" s="11" t="s">
        <v>9</v>
      </c>
      <c r="C1299" s="11" t="s">
        <v>152</v>
      </c>
      <c r="D1299" s="11" t="s">
        <v>153</v>
      </c>
      <c r="E1299" s="9" t="str">
        <f>+HYPERLINK("http://trademark.i-assist.jp/data/china/image_1906th/79892810.pdf", "79892810")</f>
        <v>79892810</v>
      </c>
      <c r="F1299" s="11" t="s">
        <v>3760</v>
      </c>
      <c r="G1299" s="11" t="s">
        <v>3761</v>
      </c>
      <c r="H1299" s="11" t="s">
        <v>3762</v>
      </c>
      <c r="I1299" s="11" t="s">
        <v>3702</v>
      </c>
    </row>
    <row r="1300" spans="1:9" x14ac:dyDescent="0.15">
      <c r="A1300" s="10">
        <v>1299</v>
      </c>
      <c r="B1300" s="11" t="s">
        <v>9</v>
      </c>
      <c r="C1300" s="11" t="s">
        <v>152</v>
      </c>
      <c r="D1300" s="11" t="s">
        <v>153</v>
      </c>
      <c r="E1300" s="9" t="str">
        <f>+HYPERLINK("http://trademark.i-assist.jp/data/china/image_1906th/79893542.pdf", "79893542")</f>
        <v>79893542</v>
      </c>
      <c r="F1300" s="11" t="s">
        <v>12</v>
      </c>
      <c r="G1300" s="11" t="s">
        <v>3763</v>
      </c>
      <c r="H1300" s="11" t="s">
        <v>3764</v>
      </c>
      <c r="I1300" s="11" t="s">
        <v>3702</v>
      </c>
    </row>
    <row r="1301" spans="1:9" x14ac:dyDescent="0.15">
      <c r="A1301" s="10">
        <v>1300</v>
      </c>
      <c r="B1301" s="11" t="s">
        <v>9</v>
      </c>
      <c r="C1301" s="11" t="s">
        <v>152</v>
      </c>
      <c r="D1301" s="11" t="s">
        <v>153</v>
      </c>
      <c r="E1301" s="9" t="str">
        <f>+HYPERLINK("http://trademark.i-assist.jp/data/china/image_1906th/79893940.pdf", "79893940")</f>
        <v>79893940</v>
      </c>
      <c r="F1301" s="11" t="s">
        <v>3765</v>
      </c>
      <c r="G1301" s="11" t="s">
        <v>27</v>
      </c>
      <c r="H1301" s="11" t="s">
        <v>3766</v>
      </c>
      <c r="I1301" s="11" t="s">
        <v>3702</v>
      </c>
    </row>
    <row r="1302" spans="1:9" x14ac:dyDescent="0.15">
      <c r="A1302" s="10">
        <v>1301</v>
      </c>
      <c r="B1302" s="11" t="s">
        <v>9</v>
      </c>
      <c r="C1302" s="11" t="s">
        <v>152</v>
      </c>
      <c r="D1302" s="11" t="s">
        <v>153</v>
      </c>
      <c r="E1302" s="9" t="str">
        <f>+HYPERLINK("http://trademark.i-assist.jp/data/china/image_1906th/79893952.pdf", "79893952")</f>
        <v>79893952</v>
      </c>
      <c r="F1302" s="11" t="s">
        <v>3767</v>
      </c>
      <c r="G1302" s="11" t="s">
        <v>27</v>
      </c>
      <c r="H1302" s="11" t="s">
        <v>3768</v>
      </c>
      <c r="I1302" s="11" t="s">
        <v>3702</v>
      </c>
    </row>
    <row r="1303" spans="1:9" x14ac:dyDescent="0.15">
      <c r="A1303" s="10">
        <v>1302</v>
      </c>
      <c r="B1303" s="11" t="s">
        <v>9</v>
      </c>
      <c r="C1303" s="11" t="s">
        <v>152</v>
      </c>
      <c r="D1303" s="11" t="s">
        <v>153</v>
      </c>
      <c r="E1303" s="9" t="str">
        <f>+HYPERLINK("http://trademark.i-assist.jp/data/china/image_1906th/79894921.pdf", "79894921")</f>
        <v>79894921</v>
      </c>
      <c r="F1303" s="11" t="s">
        <v>12</v>
      </c>
      <c r="G1303" s="11" t="s">
        <v>3769</v>
      </c>
      <c r="H1303" s="11" t="s">
        <v>3770</v>
      </c>
      <c r="I1303" s="11" t="s">
        <v>3702</v>
      </c>
    </row>
    <row r="1304" spans="1:9" x14ac:dyDescent="0.15">
      <c r="A1304" s="10">
        <v>1303</v>
      </c>
      <c r="B1304" s="11" t="s">
        <v>9</v>
      </c>
      <c r="C1304" s="11" t="s">
        <v>152</v>
      </c>
      <c r="D1304" s="11" t="s">
        <v>153</v>
      </c>
      <c r="E1304" s="9" t="str">
        <f>+HYPERLINK("http://trademark.i-assist.jp/data/china/image_1906th/79895282.pdf", "79895282")</f>
        <v>79895282</v>
      </c>
      <c r="F1304" s="11" t="s">
        <v>3771</v>
      </c>
      <c r="G1304" s="11" t="s">
        <v>3739</v>
      </c>
      <c r="H1304" s="11" t="s">
        <v>3772</v>
      </c>
      <c r="I1304" s="11" t="s">
        <v>3702</v>
      </c>
    </row>
    <row r="1305" spans="1:9" x14ac:dyDescent="0.15">
      <c r="A1305" s="10">
        <v>1304</v>
      </c>
      <c r="B1305" s="11" t="s">
        <v>9</v>
      </c>
      <c r="C1305" s="11" t="s">
        <v>152</v>
      </c>
      <c r="D1305" s="11" t="s">
        <v>153</v>
      </c>
      <c r="E1305" s="9" t="str">
        <f>+HYPERLINK("http://trademark.i-assist.jp/data/china/image_1906th/79895803.pdf", "79895803")</f>
        <v>79895803</v>
      </c>
      <c r="F1305" s="11" t="s">
        <v>3773</v>
      </c>
      <c r="G1305" s="11" t="s">
        <v>27</v>
      </c>
      <c r="H1305" s="11" t="s">
        <v>3774</v>
      </c>
      <c r="I1305" s="11" t="s">
        <v>3702</v>
      </c>
    </row>
    <row r="1306" spans="1:9" x14ac:dyDescent="0.15">
      <c r="A1306" s="10">
        <v>1305</v>
      </c>
      <c r="B1306" s="11" t="s">
        <v>9</v>
      </c>
      <c r="C1306" s="11" t="s">
        <v>152</v>
      </c>
      <c r="D1306" s="11" t="s">
        <v>153</v>
      </c>
      <c r="E1306" s="9" t="str">
        <f>+HYPERLINK("http://trademark.i-assist.jp/data/china/image_1906th/79897397.pdf", "79897397")</f>
        <v>79897397</v>
      </c>
      <c r="F1306" s="11" t="s">
        <v>3775</v>
      </c>
      <c r="G1306" s="11" t="s">
        <v>3776</v>
      </c>
      <c r="H1306" s="11" t="s">
        <v>3777</v>
      </c>
      <c r="I1306" s="11" t="s">
        <v>3702</v>
      </c>
    </row>
    <row r="1307" spans="1:9" x14ac:dyDescent="0.15">
      <c r="A1307" s="10">
        <v>1306</v>
      </c>
      <c r="B1307" s="11" t="s">
        <v>9</v>
      </c>
      <c r="C1307" s="11" t="s">
        <v>152</v>
      </c>
      <c r="D1307" s="11" t="s">
        <v>153</v>
      </c>
      <c r="E1307" s="9" t="str">
        <f>+HYPERLINK("http://trademark.i-assist.jp/data/china/image_1906th/79897839.pdf", "79897839")</f>
        <v>79897839</v>
      </c>
      <c r="F1307" s="11" t="s">
        <v>12</v>
      </c>
      <c r="G1307" s="11" t="s">
        <v>3746</v>
      </c>
      <c r="H1307" s="11" t="s">
        <v>3778</v>
      </c>
      <c r="I1307" s="11" t="s">
        <v>3702</v>
      </c>
    </row>
    <row r="1308" spans="1:9" x14ac:dyDescent="0.15">
      <c r="A1308" s="10">
        <v>1307</v>
      </c>
      <c r="B1308" s="11" t="s">
        <v>9</v>
      </c>
      <c r="C1308" s="11" t="s">
        <v>152</v>
      </c>
      <c r="D1308" s="11" t="s">
        <v>153</v>
      </c>
      <c r="E1308" s="9" t="str">
        <f>+HYPERLINK("http://trademark.i-assist.jp/data/china/image_1906th/79898038.pdf", "79898038")</f>
        <v>79898038</v>
      </c>
      <c r="F1308" s="11" t="s">
        <v>3779</v>
      </c>
      <c r="G1308" s="11" t="s">
        <v>3780</v>
      </c>
      <c r="H1308" s="11" t="s">
        <v>3781</v>
      </c>
      <c r="I1308" s="11" t="s">
        <v>3702</v>
      </c>
    </row>
    <row r="1309" spans="1:9" x14ac:dyDescent="0.15">
      <c r="A1309" s="10">
        <v>1308</v>
      </c>
      <c r="B1309" s="11" t="s">
        <v>9</v>
      </c>
      <c r="C1309" s="11" t="s">
        <v>152</v>
      </c>
      <c r="D1309" s="11" t="s">
        <v>153</v>
      </c>
      <c r="E1309" s="9" t="str">
        <f>+HYPERLINK("http://trademark.i-assist.jp/data/china/image_1906th/79898345.pdf", "79898345")</f>
        <v>79898345</v>
      </c>
      <c r="F1309" s="11" t="s">
        <v>3782</v>
      </c>
      <c r="G1309" s="11" t="s">
        <v>3710</v>
      </c>
      <c r="H1309" s="11" t="s">
        <v>3783</v>
      </c>
      <c r="I1309" s="11" t="s">
        <v>3702</v>
      </c>
    </row>
    <row r="1310" spans="1:9" x14ac:dyDescent="0.15">
      <c r="A1310" s="10">
        <v>1309</v>
      </c>
      <c r="B1310" s="11" t="s">
        <v>9</v>
      </c>
      <c r="C1310" s="11" t="s">
        <v>152</v>
      </c>
      <c r="D1310" s="11" t="s">
        <v>153</v>
      </c>
      <c r="E1310" s="9" t="str">
        <f>+HYPERLINK("http://trademark.i-assist.jp/data/china/image_1906th/79898706.pdf", "79898706")</f>
        <v>79898706</v>
      </c>
      <c r="F1310" s="11" t="s">
        <v>3784</v>
      </c>
      <c r="G1310" s="11" t="s">
        <v>3785</v>
      </c>
      <c r="H1310" s="11" t="s">
        <v>3786</v>
      </c>
      <c r="I1310" s="11" t="s">
        <v>3702</v>
      </c>
    </row>
    <row r="1311" spans="1:9" x14ac:dyDescent="0.15">
      <c r="A1311" s="10">
        <v>1310</v>
      </c>
      <c r="B1311" s="11" t="s">
        <v>9</v>
      </c>
      <c r="C1311" s="11" t="s">
        <v>152</v>
      </c>
      <c r="D1311" s="11" t="s">
        <v>153</v>
      </c>
      <c r="E1311" s="9" t="str">
        <f>+HYPERLINK("http://trademark.i-assist.jp/data/china/image_1906th/79898799.pdf", "79898799")</f>
        <v>79898799</v>
      </c>
      <c r="F1311" s="11" t="s">
        <v>3787</v>
      </c>
      <c r="G1311" s="11" t="s">
        <v>3788</v>
      </c>
      <c r="H1311" s="11" t="s">
        <v>3789</v>
      </c>
      <c r="I1311" s="11" t="s">
        <v>3702</v>
      </c>
    </row>
    <row r="1312" spans="1:9" x14ac:dyDescent="0.15">
      <c r="A1312" s="10">
        <v>1311</v>
      </c>
      <c r="B1312" s="11" t="s">
        <v>9</v>
      </c>
      <c r="C1312" s="11" t="s">
        <v>152</v>
      </c>
      <c r="D1312" s="11" t="s">
        <v>153</v>
      </c>
      <c r="E1312" s="9" t="str">
        <f>+HYPERLINK("http://trademark.i-assist.jp/data/china/image_1906th/79900462.pdf", "79900462")</f>
        <v>79900462</v>
      </c>
      <c r="F1312" s="11" t="s">
        <v>3790</v>
      </c>
      <c r="G1312" s="11" t="s">
        <v>3791</v>
      </c>
      <c r="H1312" s="11" t="s">
        <v>3792</v>
      </c>
      <c r="I1312" s="11" t="s">
        <v>3702</v>
      </c>
    </row>
    <row r="1313" spans="1:9" x14ac:dyDescent="0.15">
      <c r="A1313" s="10">
        <v>1312</v>
      </c>
      <c r="B1313" s="11" t="s">
        <v>9</v>
      </c>
      <c r="C1313" s="11" t="s">
        <v>152</v>
      </c>
      <c r="D1313" s="11" t="s">
        <v>153</v>
      </c>
      <c r="E1313" s="9" t="str">
        <f>+HYPERLINK("http://trademark.i-assist.jp/data/china/image_1906th/79900782.pdf", "79900782")</f>
        <v>79900782</v>
      </c>
      <c r="F1313" s="11" t="s">
        <v>3793</v>
      </c>
      <c r="G1313" s="11" t="s">
        <v>3710</v>
      </c>
      <c r="H1313" s="11" t="s">
        <v>3794</v>
      </c>
      <c r="I1313" s="11" t="s">
        <v>3702</v>
      </c>
    </row>
    <row r="1314" spans="1:9" x14ac:dyDescent="0.15">
      <c r="A1314" s="10">
        <v>1313</v>
      </c>
      <c r="B1314" s="11" t="s">
        <v>9</v>
      </c>
      <c r="C1314" s="11" t="s">
        <v>152</v>
      </c>
      <c r="D1314" s="11" t="s">
        <v>153</v>
      </c>
      <c r="E1314" s="9" t="str">
        <f>+HYPERLINK("http://trademark.i-assist.jp/data/china/image_1906th/79900903.pdf", "79900903")</f>
        <v>79900903</v>
      </c>
      <c r="F1314" s="11" t="s">
        <v>3795</v>
      </c>
      <c r="G1314" s="11" t="s">
        <v>3796</v>
      </c>
      <c r="H1314" s="11" t="s">
        <v>3797</v>
      </c>
      <c r="I1314" s="11" t="s">
        <v>3702</v>
      </c>
    </row>
    <row r="1315" spans="1:9" x14ac:dyDescent="0.15">
      <c r="A1315" s="10">
        <v>1314</v>
      </c>
      <c r="B1315" s="11" t="s">
        <v>9</v>
      </c>
      <c r="C1315" s="11" t="s">
        <v>152</v>
      </c>
      <c r="D1315" s="11" t="s">
        <v>153</v>
      </c>
      <c r="E1315" s="9" t="str">
        <f>+HYPERLINK("http://trademark.i-assist.jp/data/china/image_1906th/79900952.pdf", "79900952")</f>
        <v>79900952</v>
      </c>
      <c r="F1315" s="11" t="s">
        <v>3798</v>
      </c>
      <c r="G1315" s="11" t="s">
        <v>3799</v>
      </c>
      <c r="H1315" s="11" t="s">
        <v>3800</v>
      </c>
      <c r="I1315" s="11" t="s">
        <v>3801</v>
      </c>
    </row>
    <row r="1316" spans="1:9" x14ac:dyDescent="0.15">
      <c r="A1316" s="10">
        <v>1315</v>
      </c>
      <c r="B1316" s="11" t="s">
        <v>9</v>
      </c>
      <c r="C1316" s="11" t="s">
        <v>152</v>
      </c>
      <c r="D1316" s="11" t="s">
        <v>153</v>
      </c>
      <c r="E1316" s="9" t="str">
        <f>+HYPERLINK("http://trademark.i-assist.jp/data/china/image_1906th/79901958.pdf", "79901958")</f>
        <v>79901958</v>
      </c>
      <c r="F1316" s="11" t="s">
        <v>3802</v>
      </c>
      <c r="G1316" s="11" t="s">
        <v>3739</v>
      </c>
      <c r="H1316" s="11" t="s">
        <v>3803</v>
      </c>
      <c r="I1316" s="11" t="s">
        <v>3702</v>
      </c>
    </row>
    <row r="1317" spans="1:9" x14ac:dyDescent="0.15">
      <c r="A1317" s="10">
        <v>1316</v>
      </c>
      <c r="B1317" s="11" t="s">
        <v>9</v>
      </c>
      <c r="C1317" s="11" t="s">
        <v>152</v>
      </c>
      <c r="D1317" s="11" t="s">
        <v>153</v>
      </c>
      <c r="E1317" s="9" t="str">
        <f>+HYPERLINK("http://trademark.i-assist.jp/data/china/image_1906th/79902064.pdf", "79902064")</f>
        <v>79902064</v>
      </c>
      <c r="F1317" s="11" t="s">
        <v>3804</v>
      </c>
      <c r="G1317" s="11" t="s">
        <v>3805</v>
      </c>
      <c r="H1317" s="11" t="s">
        <v>3806</v>
      </c>
      <c r="I1317" s="11" t="s">
        <v>3702</v>
      </c>
    </row>
    <row r="1318" spans="1:9" x14ac:dyDescent="0.15">
      <c r="A1318" s="10">
        <v>1317</v>
      </c>
      <c r="B1318" s="11" t="s">
        <v>9</v>
      </c>
      <c r="C1318" s="11" t="s">
        <v>152</v>
      </c>
      <c r="D1318" s="11" t="s">
        <v>153</v>
      </c>
      <c r="E1318" s="9" t="str">
        <f>+HYPERLINK("http://trademark.i-assist.jp/data/china/image_1906th/79903016.pdf", "79903016")</f>
        <v>79903016</v>
      </c>
      <c r="F1318" s="11" t="s">
        <v>3807</v>
      </c>
      <c r="G1318" s="11" t="s">
        <v>3808</v>
      </c>
      <c r="H1318" s="11" t="s">
        <v>3809</v>
      </c>
      <c r="I1318" s="11" t="s">
        <v>3702</v>
      </c>
    </row>
    <row r="1319" spans="1:9" x14ac:dyDescent="0.15">
      <c r="A1319" s="10">
        <v>1318</v>
      </c>
      <c r="B1319" s="11" t="s">
        <v>9</v>
      </c>
      <c r="C1319" s="11" t="s">
        <v>152</v>
      </c>
      <c r="D1319" s="11" t="s">
        <v>153</v>
      </c>
      <c r="E1319" s="9" t="str">
        <f>+HYPERLINK("http://trademark.i-assist.jp/data/china/image_1906th/79903268.pdf", "79903268")</f>
        <v>79903268</v>
      </c>
      <c r="F1319" s="11" t="s">
        <v>3810</v>
      </c>
      <c r="G1319" s="11" t="s">
        <v>3811</v>
      </c>
      <c r="H1319" s="11" t="s">
        <v>3812</v>
      </c>
      <c r="I1319" s="11" t="s">
        <v>3702</v>
      </c>
    </row>
    <row r="1320" spans="1:9" x14ac:dyDescent="0.15">
      <c r="A1320" s="10">
        <v>1319</v>
      </c>
      <c r="B1320" s="11" t="s">
        <v>9</v>
      </c>
      <c r="C1320" s="11" t="s">
        <v>152</v>
      </c>
      <c r="D1320" s="11" t="s">
        <v>153</v>
      </c>
      <c r="E1320" s="9" t="str">
        <f>+HYPERLINK("http://trademark.i-assist.jp/data/china/image_1906th/79903754.pdf", "79903754")</f>
        <v>79903754</v>
      </c>
      <c r="F1320" s="11" t="s">
        <v>3813</v>
      </c>
      <c r="G1320" s="11" t="s">
        <v>3814</v>
      </c>
      <c r="H1320" s="11" t="s">
        <v>3815</v>
      </c>
      <c r="I1320" s="11" t="s">
        <v>3702</v>
      </c>
    </row>
    <row r="1321" spans="1:9" x14ac:dyDescent="0.15">
      <c r="A1321" s="10">
        <v>1320</v>
      </c>
      <c r="B1321" s="11" t="s">
        <v>9</v>
      </c>
      <c r="C1321" s="11" t="s">
        <v>152</v>
      </c>
      <c r="D1321" s="11" t="s">
        <v>153</v>
      </c>
      <c r="E1321" s="9" t="str">
        <f>+HYPERLINK("http://trademark.i-assist.jp/data/china/image_1906th/79904031.pdf", "79904031")</f>
        <v>79904031</v>
      </c>
      <c r="F1321" s="11" t="s">
        <v>3816</v>
      </c>
      <c r="G1321" s="11" t="s">
        <v>3817</v>
      </c>
      <c r="H1321" s="11" t="s">
        <v>3818</v>
      </c>
      <c r="I1321" s="11" t="s">
        <v>3702</v>
      </c>
    </row>
    <row r="1322" spans="1:9" x14ac:dyDescent="0.15">
      <c r="A1322" s="10">
        <v>1321</v>
      </c>
      <c r="B1322" s="11" t="s">
        <v>9</v>
      </c>
      <c r="C1322" s="11" t="s">
        <v>152</v>
      </c>
      <c r="D1322" s="11" t="s">
        <v>153</v>
      </c>
      <c r="E1322" s="9" t="str">
        <f>+HYPERLINK("http://trademark.i-assist.jp/data/china/image_1906th/79904052.pdf", "79904052")</f>
        <v>79904052</v>
      </c>
      <c r="F1322" s="11" t="s">
        <v>3819</v>
      </c>
      <c r="G1322" s="11" t="s">
        <v>3820</v>
      </c>
      <c r="H1322" s="11" t="s">
        <v>3821</v>
      </c>
      <c r="I1322" s="11" t="s">
        <v>3702</v>
      </c>
    </row>
    <row r="1323" spans="1:9" x14ac:dyDescent="0.15">
      <c r="A1323" s="10">
        <v>1322</v>
      </c>
      <c r="B1323" s="11" t="s">
        <v>9</v>
      </c>
      <c r="C1323" s="11" t="s">
        <v>152</v>
      </c>
      <c r="D1323" s="11" t="s">
        <v>153</v>
      </c>
      <c r="E1323" s="9" t="str">
        <f>+HYPERLINK("http://trademark.i-assist.jp/data/china/image_1906th/79904175.pdf", "79904175")</f>
        <v>79904175</v>
      </c>
      <c r="F1323" s="11" t="s">
        <v>3822</v>
      </c>
      <c r="G1323" s="11" t="s">
        <v>3823</v>
      </c>
      <c r="H1323" s="11" t="s">
        <v>3824</v>
      </c>
      <c r="I1323" s="11" t="s">
        <v>3702</v>
      </c>
    </row>
    <row r="1324" spans="1:9" x14ac:dyDescent="0.15">
      <c r="A1324" s="10">
        <v>1323</v>
      </c>
      <c r="B1324" s="11" t="s">
        <v>9</v>
      </c>
      <c r="C1324" s="11" t="s">
        <v>152</v>
      </c>
      <c r="D1324" s="11" t="s">
        <v>153</v>
      </c>
      <c r="E1324" s="9" t="str">
        <f>+HYPERLINK("http://trademark.i-assist.jp/data/china/image_1906th/79904366.pdf", "79904366")</f>
        <v>79904366</v>
      </c>
      <c r="F1324" s="11" t="s">
        <v>3825</v>
      </c>
      <c r="G1324" s="11" t="s">
        <v>3826</v>
      </c>
      <c r="H1324" s="11" t="s">
        <v>3827</v>
      </c>
      <c r="I1324" s="11" t="s">
        <v>3702</v>
      </c>
    </row>
    <row r="1325" spans="1:9" x14ac:dyDescent="0.15">
      <c r="A1325" s="10">
        <v>1324</v>
      </c>
      <c r="B1325" s="11" t="s">
        <v>9</v>
      </c>
      <c r="C1325" s="11" t="s">
        <v>152</v>
      </c>
      <c r="D1325" s="11" t="s">
        <v>153</v>
      </c>
      <c r="E1325" s="9" t="str">
        <f>+HYPERLINK("http://trademark.i-assist.jp/data/china/image_1906th/79904720.pdf", "79904720")</f>
        <v>79904720</v>
      </c>
      <c r="F1325" s="11" t="s">
        <v>3828</v>
      </c>
      <c r="G1325" s="11" t="s">
        <v>3829</v>
      </c>
      <c r="H1325" s="11" t="s">
        <v>3830</v>
      </c>
      <c r="I1325" s="11" t="s">
        <v>3702</v>
      </c>
    </row>
    <row r="1326" spans="1:9" x14ac:dyDescent="0.15">
      <c r="A1326" s="10">
        <v>1325</v>
      </c>
      <c r="B1326" s="11" t="s">
        <v>9</v>
      </c>
      <c r="C1326" s="11" t="s">
        <v>152</v>
      </c>
      <c r="D1326" s="11" t="s">
        <v>153</v>
      </c>
      <c r="E1326" s="9" t="str">
        <f>+HYPERLINK("http://trademark.i-assist.jp/data/china/image_1906th/79904734.pdf", "79904734")</f>
        <v>79904734</v>
      </c>
      <c r="F1326" s="11" t="s">
        <v>3831</v>
      </c>
      <c r="G1326" s="11" t="s">
        <v>3832</v>
      </c>
      <c r="H1326" s="11" t="s">
        <v>3833</v>
      </c>
      <c r="I1326" s="11" t="s">
        <v>3702</v>
      </c>
    </row>
    <row r="1327" spans="1:9" x14ac:dyDescent="0.15">
      <c r="A1327" s="10">
        <v>1326</v>
      </c>
      <c r="B1327" s="11" t="s">
        <v>9</v>
      </c>
      <c r="C1327" s="11" t="s">
        <v>152</v>
      </c>
      <c r="D1327" s="11" t="s">
        <v>153</v>
      </c>
      <c r="E1327" s="9" t="str">
        <f>+HYPERLINK("http://trademark.i-assist.jp/data/china/image_1906th/79905083.pdf", "79905083")</f>
        <v>79905083</v>
      </c>
      <c r="F1327" s="11" t="s">
        <v>3834</v>
      </c>
      <c r="G1327" s="11" t="s">
        <v>3835</v>
      </c>
      <c r="H1327" s="11" t="s">
        <v>3836</v>
      </c>
      <c r="I1327" s="11" t="s">
        <v>3801</v>
      </c>
    </row>
    <row r="1328" spans="1:9" x14ac:dyDescent="0.15">
      <c r="A1328" s="10">
        <v>1327</v>
      </c>
      <c r="B1328" s="11" t="s">
        <v>9</v>
      </c>
      <c r="C1328" s="11" t="s">
        <v>152</v>
      </c>
      <c r="D1328" s="11" t="s">
        <v>153</v>
      </c>
      <c r="E1328" s="9" t="str">
        <f>+HYPERLINK("http://trademark.i-assist.jp/data/china/image_1906th/79905116.pdf", "79905116")</f>
        <v>79905116</v>
      </c>
      <c r="F1328" s="11" t="s">
        <v>3837</v>
      </c>
      <c r="G1328" s="11" t="s">
        <v>3838</v>
      </c>
      <c r="H1328" s="11" t="s">
        <v>3839</v>
      </c>
      <c r="I1328" s="11" t="s">
        <v>3801</v>
      </c>
    </row>
    <row r="1329" spans="1:9" x14ac:dyDescent="0.15">
      <c r="A1329" s="10">
        <v>1328</v>
      </c>
      <c r="B1329" s="11" t="s">
        <v>9</v>
      </c>
      <c r="C1329" s="11" t="s">
        <v>152</v>
      </c>
      <c r="D1329" s="11" t="s">
        <v>153</v>
      </c>
      <c r="E1329" s="9" t="str">
        <f>+HYPERLINK("http://trademark.i-assist.jp/data/china/image_1906th/79905893.pdf", "79905893")</f>
        <v>79905893</v>
      </c>
      <c r="F1329" s="11" t="s">
        <v>3840</v>
      </c>
      <c r="G1329" s="11" t="s">
        <v>3838</v>
      </c>
      <c r="H1329" s="11" t="s">
        <v>3841</v>
      </c>
      <c r="I1329" s="11" t="s">
        <v>3801</v>
      </c>
    </row>
    <row r="1330" spans="1:9" x14ac:dyDescent="0.15">
      <c r="A1330" s="10">
        <v>1329</v>
      </c>
      <c r="B1330" s="11" t="s">
        <v>9</v>
      </c>
      <c r="C1330" s="11" t="s">
        <v>152</v>
      </c>
      <c r="D1330" s="11" t="s">
        <v>153</v>
      </c>
      <c r="E1330" s="9" t="str">
        <f>+HYPERLINK("http://trademark.i-assist.jp/data/china/image_1906th/79905994.pdf", "79905994")</f>
        <v>79905994</v>
      </c>
      <c r="F1330" s="11" t="s">
        <v>3842</v>
      </c>
      <c r="G1330" s="11" t="s">
        <v>3843</v>
      </c>
      <c r="H1330" s="11" t="s">
        <v>3844</v>
      </c>
      <c r="I1330" s="11" t="s">
        <v>3801</v>
      </c>
    </row>
    <row r="1331" spans="1:9" x14ac:dyDescent="0.15">
      <c r="A1331" s="10">
        <v>1330</v>
      </c>
      <c r="B1331" s="11" t="s">
        <v>9</v>
      </c>
      <c r="C1331" s="11" t="s">
        <v>152</v>
      </c>
      <c r="D1331" s="11" t="s">
        <v>153</v>
      </c>
      <c r="E1331" s="9" t="str">
        <f>+HYPERLINK("http://trademark.i-assist.jp/data/china/image_1906th/79906662.pdf", "79906662")</f>
        <v>79906662</v>
      </c>
      <c r="F1331" s="11" t="s">
        <v>3845</v>
      </c>
      <c r="G1331" s="11" t="s">
        <v>3846</v>
      </c>
      <c r="H1331" s="11" t="s">
        <v>3847</v>
      </c>
      <c r="I1331" s="11" t="s">
        <v>3801</v>
      </c>
    </row>
    <row r="1332" spans="1:9" x14ac:dyDescent="0.15">
      <c r="A1332" s="10">
        <v>1331</v>
      </c>
      <c r="B1332" s="11" t="s">
        <v>9</v>
      </c>
      <c r="C1332" s="11" t="s">
        <v>152</v>
      </c>
      <c r="D1332" s="11" t="s">
        <v>153</v>
      </c>
      <c r="E1332" s="9" t="str">
        <f>+HYPERLINK("http://trademark.i-assist.jp/data/china/image_1906th/79906951.pdf", "79906951")</f>
        <v>79906951</v>
      </c>
      <c r="F1332" s="11" t="s">
        <v>3848</v>
      </c>
      <c r="G1332" s="11" t="s">
        <v>3849</v>
      </c>
      <c r="H1332" s="11" t="s">
        <v>3850</v>
      </c>
      <c r="I1332" s="11" t="s">
        <v>3801</v>
      </c>
    </row>
    <row r="1333" spans="1:9" x14ac:dyDescent="0.15">
      <c r="A1333" s="10">
        <v>1332</v>
      </c>
      <c r="B1333" s="11" t="s">
        <v>9</v>
      </c>
      <c r="C1333" s="11" t="s">
        <v>152</v>
      </c>
      <c r="D1333" s="11" t="s">
        <v>153</v>
      </c>
      <c r="E1333" s="9" t="str">
        <f>+HYPERLINK("http://trademark.i-assist.jp/data/china/image_1906th/79907133.pdf", "79907133")</f>
        <v>79907133</v>
      </c>
      <c r="F1333" s="11" t="s">
        <v>3851</v>
      </c>
      <c r="G1333" s="11" t="s">
        <v>3852</v>
      </c>
      <c r="H1333" s="11" t="s">
        <v>3853</v>
      </c>
      <c r="I1333" s="11" t="s">
        <v>3801</v>
      </c>
    </row>
    <row r="1334" spans="1:9" x14ac:dyDescent="0.15">
      <c r="A1334" s="10">
        <v>1333</v>
      </c>
      <c r="B1334" s="11" t="s">
        <v>9</v>
      </c>
      <c r="C1334" s="11" t="s">
        <v>152</v>
      </c>
      <c r="D1334" s="11" t="s">
        <v>153</v>
      </c>
      <c r="E1334" s="9" t="str">
        <f>+HYPERLINK("http://trademark.i-assist.jp/data/china/image_1906th/79907506.pdf", "79907506")</f>
        <v>79907506</v>
      </c>
      <c r="F1334" s="11" t="s">
        <v>3854</v>
      </c>
      <c r="G1334" s="11" t="s">
        <v>3855</v>
      </c>
      <c r="H1334" s="11" t="s">
        <v>3856</v>
      </c>
      <c r="I1334" s="11" t="s">
        <v>3801</v>
      </c>
    </row>
    <row r="1335" spans="1:9" x14ac:dyDescent="0.15">
      <c r="A1335" s="10">
        <v>1334</v>
      </c>
      <c r="B1335" s="11" t="s">
        <v>9</v>
      </c>
      <c r="C1335" s="11" t="s">
        <v>152</v>
      </c>
      <c r="D1335" s="11" t="s">
        <v>153</v>
      </c>
      <c r="E1335" s="9" t="str">
        <f>+HYPERLINK("http://trademark.i-assist.jp/data/china/image_1906th/79908032.pdf", "79908032")</f>
        <v>79908032</v>
      </c>
      <c r="F1335" s="11" t="s">
        <v>3857</v>
      </c>
      <c r="G1335" s="11" t="s">
        <v>3858</v>
      </c>
      <c r="H1335" s="11" t="s">
        <v>3859</v>
      </c>
      <c r="I1335" s="11" t="s">
        <v>3801</v>
      </c>
    </row>
    <row r="1336" spans="1:9" x14ac:dyDescent="0.15">
      <c r="A1336" s="10">
        <v>1335</v>
      </c>
      <c r="B1336" s="11" t="s">
        <v>9</v>
      </c>
      <c r="C1336" s="11" t="s">
        <v>152</v>
      </c>
      <c r="D1336" s="11" t="s">
        <v>153</v>
      </c>
      <c r="E1336" s="9" t="str">
        <f>+HYPERLINK("http://trademark.i-assist.jp/data/china/image_1906th/79908179.pdf", "79908179")</f>
        <v>79908179</v>
      </c>
      <c r="F1336" s="11" t="s">
        <v>3860</v>
      </c>
      <c r="G1336" s="11" t="s">
        <v>3861</v>
      </c>
      <c r="H1336" s="11" t="s">
        <v>3862</v>
      </c>
      <c r="I1336" s="11" t="s">
        <v>3801</v>
      </c>
    </row>
    <row r="1337" spans="1:9" x14ac:dyDescent="0.15">
      <c r="A1337" s="10">
        <v>1336</v>
      </c>
      <c r="B1337" s="11" t="s">
        <v>9</v>
      </c>
      <c r="C1337" s="11" t="s">
        <v>152</v>
      </c>
      <c r="D1337" s="11" t="s">
        <v>153</v>
      </c>
      <c r="E1337" s="9" t="str">
        <f>+HYPERLINK("http://trademark.i-assist.jp/data/china/image_1906th/79908671.pdf", "79908671")</f>
        <v>79908671</v>
      </c>
      <c r="F1337" s="11" t="s">
        <v>3863</v>
      </c>
      <c r="G1337" s="11" t="s">
        <v>3849</v>
      </c>
      <c r="H1337" s="11" t="s">
        <v>3864</v>
      </c>
      <c r="I1337" s="11" t="s">
        <v>3801</v>
      </c>
    </row>
    <row r="1338" spans="1:9" x14ac:dyDescent="0.15">
      <c r="A1338" s="10">
        <v>1337</v>
      </c>
      <c r="B1338" s="11" t="s">
        <v>9</v>
      </c>
      <c r="C1338" s="11" t="s">
        <v>152</v>
      </c>
      <c r="D1338" s="11" t="s">
        <v>153</v>
      </c>
      <c r="E1338" s="9" t="str">
        <f>+HYPERLINK("http://trademark.i-assist.jp/data/china/image_1906th/79908714.pdf", "79908714")</f>
        <v>79908714</v>
      </c>
      <c r="F1338" s="11" t="s">
        <v>3865</v>
      </c>
      <c r="G1338" s="11" t="s">
        <v>3866</v>
      </c>
      <c r="H1338" s="11" t="s">
        <v>3867</v>
      </c>
      <c r="I1338" s="11" t="s">
        <v>3801</v>
      </c>
    </row>
    <row r="1339" spans="1:9" x14ac:dyDescent="0.15">
      <c r="A1339" s="10">
        <v>1338</v>
      </c>
      <c r="B1339" s="11" t="s">
        <v>9</v>
      </c>
      <c r="C1339" s="11" t="s">
        <v>152</v>
      </c>
      <c r="D1339" s="11" t="s">
        <v>153</v>
      </c>
      <c r="E1339" s="9" t="str">
        <f>+HYPERLINK("http://trademark.i-assist.jp/data/china/image_1906th/79908958.pdf", "79908958")</f>
        <v>79908958</v>
      </c>
      <c r="F1339" s="11" t="s">
        <v>3868</v>
      </c>
      <c r="G1339" s="11" t="s">
        <v>3869</v>
      </c>
      <c r="H1339" s="11" t="s">
        <v>3870</v>
      </c>
      <c r="I1339" s="11" t="s">
        <v>3801</v>
      </c>
    </row>
    <row r="1340" spans="1:9" x14ac:dyDescent="0.15">
      <c r="A1340" s="10">
        <v>1339</v>
      </c>
      <c r="B1340" s="11" t="s">
        <v>9</v>
      </c>
      <c r="C1340" s="11" t="s">
        <v>152</v>
      </c>
      <c r="D1340" s="11" t="s">
        <v>153</v>
      </c>
      <c r="E1340" s="9" t="str">
        <f>+HYPERLINK("http://trademark.i-assist.jp/data/china/image_1906th/79909175.pdf", "79909175")</f>
        <v>79909175</v>
      </c>
      <c r="F1340" s="11" t="s">
        <v>3871</v>
      </c>
      <c r="G1340" s="11" t="s">
        <v>3871</v>
      </c>
      <c r="H1340" s="11" t="s">
        <v>3872</v>
      </c>
      <c r="I1340" s="11" t="s">
        <v>3801</v>
      </c>
    </row>
    <row r="1341" spans="1:9" x14ac:dyDescent="0.15">
      <c r="A1341" s="10">
        <v>1340</v>
      </c>
      <c r="B1341" s="11" t="s">
        <v>9</v>
      </c>
      <c r="C1341" s="11" t="s">
        <v>152</v>
      </c>
      <c r="D1341" s="11" t="s">
        <v>153</v>
      </c>
      <c r="E1341" s="9" t="str">
        <f>+HYPERLINK("http://trademark.i-assist.jp/data/china/image_1906th/79911331.pdf", "79911331")</f>
        <v>79911331</v>
      </c>
      <c r="F1341" s="11" t="s">
        <v>3873</v>
      </c>
      <c r="G1341" s="11" t="s">
        <v>3874</v>
      </c>
      <c r="H1341" s="11" t="s">
        <v>3875</v>
      </c>
      <c r="I1341" s="11" t="s">
        <v>3876</v>
      </c>
    </row>
    <row r="1342" spans="1:9" x14ac:dyDescent="0.15">
      <c r="A1342" s="10">
        <v>1341</v>
      </c>
      <c r="B1342" s="11" t="s">
        <v>9</v>
      </c>
      <c r="C1342" s="11" t="s">
        <v>152</v>
      </c>
      <c r="D1342" s="11" t="s">
        <v>153</v>
      </c>
      <c r="E1342" s="9" t="str">
        <f>+HYPERLINK("http://trademark.i-assist.jp/data/china/image_1906th/79911476.pdf", "79911476")</f>
        <v>79911476</v>
      </c>
      <c r="F1342" s="11" t="s">
        <v>3877</v>
      </c>
      <c r="G1342" s="11" t="s">
        <v>3878</v>
      </c>
      <c r="H1342" s="11" t="s">
        <v>3879</v>
      </c>
      <c r="I1342" s="11" t="s">
        <v>3876</v>
      </c>
    </row>
    <row r="1343" spans="1:9" x14ac:dyDescent="0.15">
      <c r="A1343" s="10">
        <v>1342</v>
      </c>
      <c r="B1343" s="11" t="s">
        <v>9</v>
      </c>
      <c r="C1343" s="11" t="s">
        <v>152</v>
      </c>
      <c r="D1343" s="11" t="s">
        <v>153</v>
      </c>
      <c r="E1343" s="9" t="str">
        <f>+HYPERLINK("http://trademark.i-assist.jp/data/china/image_1906th/79912492.pdf", "79912492")</f>
        <v>79912492</v>
      </c>
      <c r="F1343" s="11" t="s">
        <v>3880</v>
      </c>
      <c r="G1343" s="11" t="s">
        <v>3881</v>
      </c>
      <c r="H1343" s="11" t="s">
        <v>3882</v>
      </c>
      <c r="I1343" s="11" t="s">
        <v>3876</v>
      </c>
    </row>
    <row r="1344" spans="1:9" x14ac:dyDescent="0.15">
      <c r="A1344" s="10">
        <v>1343</v>
      </c>
      <c r="B1344" s="11" t="s">
        <v>9</v>
      </c>
      <c r="C1344" s="11" t="s">
        <v>152</v>
      </c>
      <c r="D1344" s="11" t="s">
        <v>153</v>
      </c>
      <c r="E1344" s="9" t="str">
        <f>+HYPERLINK("http://trademark.i-assist.jp/data/china/image_1906th/79912921.pdf", "79912921")</f>
        <v>79912921</v>
      </c>
      <c r="F1344" s="11" t="s">
        <v>3883</v>
      </c>
      <c r="G1344" s="11" t="s">
        <v>3884</v>
      </c>
      <c r="H1344" s="11" t="s">
        <v>3885</v>
      </c>
      <c r="I1344" s="11" t="s">
        <v>3702</v>
      </c>
    </row>
    <row r="1345" spans="1:9" x14ac:dyDescent="0.15">
      <c r="A1345" s="10">
        <v>1344</v>
      </c>
      <c r="B1345" s="11" t="s">
        <v>9</v>
      </c>
      <c r="C1345" s="11" t="s">
        <v>152</v>
      </c>
      <c r="D1345" s="11" t="s">
        <v>153</v>
      </c>
      <c r="E1345" s="9" t="str">
        <f>+HYPERLINK("http://trademark.i-assist.jp/data/china/image_1906th/79913010.pdf", "79913010")</f>
        <v>79913010</v>
      </c>
      <c r="F1345" s="11" t="s">
        <v>3886</v>
      </c>
      <c r="G1345" s="11" t="s">
        <v>3887</v>
      </c>
      <c r="H1345" s="11" t="s">
        <v>3888</v>
      </c>
      <c r="I1345" s="11" t="s">
        <v>3702</v>
      </c>
    </row>
    <row r="1346" spans="1:9" x14ac:dyDescent="0.15">
      <c r="A1346" s="10">
        <v>1345</v>
      </c>
      <c r="B1346" s="11" t="s">
        <v>9</v>
      </c>
      <c r="C1346" s="11" t="s">
        <v>152</v>
      </c>
      <c r="D1346" s="11" t="s">
        <v>153</v>
      </c>
      <c r="E1346" s="9" t="str">
        <f>+HYPERLINK("http://trademark.i-assist.jp/data/china/image_1906th/79913658.pdf", "79913658")</f>
        <v>79913658</v>
      </c>
      <c r="F1346" s="11" t="s">
        <v>3889</v>
      </c>
      <c r="G1346" s="11" t="s">
        <v>1833</v>
      </c>
      <c r="H1346" s="11" t="s">
        <v>3890</v>
      </c>
      <c r="I1346" s="11" t="s">
        <v>3891</v>
      </c>
    </row>
    <row r="1347" spans="1:9" x14ac:dyDescent="0.15">
      <c r="A1347" s="10">
        <v>1346</v>
      </c>
      <c r="B1347" s="11" t="s">
        <v>9</v>
      </c>
      <c r="C1347" s="11" t="s">
        <v>152</v>
      </c>
      <c r="D1347" s="11" t="s">
        <v>153</v>
      </c>
      <c r="E1347" s="9" t="str">
        <f>+HYPERLINK("http://trademark.i-assist.jp/data/china/image_1906th/79918105.pdf", "79918105")</f>
        <v>79918105</v>
      </c>
      <c r="F1347" s="11" t="s">
        <v>3892</v>
      </c>
      <c r="G1347" s="11" t="s">
        <v>3893</v>
      </c>
      <c r="H1347" s="11" t="s">
        <v>3894</v>
      </c>
      <c r="I1347" s="11" t="s">
        <v>3891</v>
      </c>
    </row>
    <row r="1348" spans="1:9" x14ac:dyDescent="0.15">
      <c r="A1348" s="10">
        <v>1347</v>
      </c>
      <c r="B1348" s="11" t="s">
        <v>9</v>
      </c>
      <c r="C1348" s="11" t="s">
        <v>152</v>
      </c>
      <c r="D1348" s="11" t="s">
        <v>153</v>
      </c>
      <c r="E1348" s="9" t="str">
        <f>+HYPERLINK("http://trademark.i-assist.jp/data/china/image_1906th/79920177.pdf", "79920177")</f>
        <v>79920177</v>
      </c>
      <c r="F1348" s="11" t="s">
        <v>3895</v>
      </c>
      <c r="G1348" s="11" t="s">
        <v>133</v>
      </c>
      <c r="H1348" s="11" t="s">
        <v>3896</v>
      </c>
      <c r="I1348" s="11" t="s">
        <v>3891</v>
      </c>
    </row>
    <row r="1349" spans="1:9" x14ac:dyDescent="0.15">
      <c r="A1349" s="10">
        <v>1348</v>
      </c>
      <c r="B1349" s="11" t="s">
        <v>9</v>
      </c>
      <c r="C1349" s="11" t="s">
        <v>152</v>
      </c>
      <c r="D1349" s="11" t="s">
        <v>153</v>
      </c>
      <c r="E1349" s="9" t="str">
        <f>+HYPERLINK("http://trademark.i-assist.jp/data/china/image_1906th/79921389.pdf", "79921389")</f>
        <v>79921389</v>
      </c>
      <c r="F1349" s="11" t="s">
        <v>3897</v>
      </c>
      <c r="G1349" s="11" t="s">
        <v>3898</v>
      </c>
      <c r="H1349" s="11" t="s">
        <v>3899</v>
      </c>
      <c r="I1349" s="11" t="s">
        <v>3891</v>
      </c>
    </row>
    <row r="1350" spans="1:9" x14ac:dyDescent="0.15">
      <c r="A1350" s="10">
        <v>1349</v>
      </c>
      <c r="B1350" s="11" t="s">
        <v>9</v>
      </c>
      <c r="C1350" s="11" t="s">
        <v>152</v>
      </c>
      <c r="D1350" s="11" t="s">
        <v>153</v>
      </c>
      <c r="E1350" s="9" t="str">
        <f>+HYPERLINK("http://trademark.i-assist.jp/data/china/image_1906th/79921616.pdf", "79921616")</f>
        <v>79921616</v>
      </c>
      <c r="F1350" s="11" t="s">
        <v>3900</v>
      </c>
      <c r="G1350" s="11" t="s">
        <v>3901</v>
      </c>
      <c r="H1350" s="11" t="s">
        <v>3902</v>
      </c>
      <c r="I1350" s="11" t="s">
        <v>3891</v>
      </c>
    </row>
    <row r="1351" spans="1:9" x14ac:dyDescent="0.15">
      <c r="A1351" s="10">
        <v>1350</v>
      </c>
      <c r="B1351" s="11" t="s">
        <v>9</v>
      </c>
      <c r="C1351" s="11" t="s">
        <v>152</v>
      </c>
      <c r="D1351" s="11" t="s">
        <v>153</v>
      </c>
      <c r="E1351" s="9" t="str">
        <f>+HYPERLINK("http://trademark.i-assist.jp/data/china/image_1906th/79921886.pdf", "79921886")</f>
        <v>79921886</v>
      </c>
      <c r="F1351" s="11" t="s">
        <v>3903</v>
      </c>
      <c r="G1351" s="11" t="s">
        <v>3904</v>
      </c>
      <c r="H1351" s="11" t="s">
        <v>3905</v>
      </c>
      <c r="I1351" s="11" t="s">
        <v>3891</v>
      </c>
    </row>
    <row r="1352" spans="1:9" x14ac:dyDescent="0.15">
      <c r="A1352" s="10">
        <v>1351</v>
      </c>
      <c r="B1352" s="11" t="s">
        <v>9</v>
      </c>
      <c r="C1352" s="11" t="s">
        <v>152</v>
      </c>
      <c r="D1352" s="11" t="s">
        <v>153</v>
      </c>
      <c r="E1352" s="9" t="str">
        <f>+HYPERLINK("http://trademark.i-assist.jp/data/china/image_1906th/79921988.pdf", "79921988")</f>
        <v>79921988</v>
      </c>
      <c r="F1352" s="11" t="s">
        <v>3906</v>
      </c>
      <c r="G1352" s="11" t="s">
        <v>3907</v>
      </c>
      <c r="H1352" s="11" t="s">
        <v>3908</v>
      </c>
      <c r="I1352" s="11" t="s">
        <v>3891</v>
      </c>
    </row>
    <row r="1353" spans="1:9" x14ac:dyDescent="0.15">
      <c r="A1353" s="10">
        <v>1352</v>
      </c>
      <c r="B1353" s="11" t="s">
        <v>9</v>
      </c>
      <c r="C1353" s="11" t="s">
        <v>152</v>
      </c>
      <c r="D1353" s="11" t="s">
        <v>153</v>
      </c>
      <c r="E1353" s="9" t="str">
        <f>+HYPERLINK("http://trademark.i-assist.jp/data/china/image_1906th/79922099.pdf", "79922099")</f>
        <v>79922099</v>
      </c>
      <c r="F1353" s="11" t="s">
        <v>3909</v>
      </c>
      <c r="G1353" s="11" t="s">
        <v>125</v>
      </c>
      <c r="H1353" s="11" t="s">
        <v>3910</v>
      </c>
      <c r="I1353" s="11" t="s">
        <v>3891</v>
      </c>
    </row>
    <row r="1354" spans="1:9" x14ac:dyDescent="0.15">
      <c r="A1354" s="10">
        <v>1353</v>
      </c>
      <c r="B1354" s="11" t="s">
        <v>9</v>
      </c>
      <c r="C1354" s="11" t="s">
        <v>152</v>
      </c>
      <c r="D1354" s="11" t="s">
        <v>153</v>
      </c>
      <c r="E1354" s="9" t="str">
        <f>+HYPERLINK("http://trademark.i-assist.jp/data/china/image_1906th/79925438.pdf", "79925438")</f>
        <v>79925438</v>
      </c>
      <c r="F1354" s="11" t="s">
        <v>3911</v>
      </c>
      <c r="G1354" s="11" t="s">
        <v>3912</v>
      </c>
      <c r="H1354" s="11" t="s">
        <v>3913</v>
      </c>
      <c r="I1354" s="11" t="s">
        <v>3891</v>
      </c>
    </row>
    <row r="1355" spans="1:9" x14ac:dyDescent="0.15">
      <c r="A1355" s="10">
        <v>1354</v>
      </c>
      <c r="B1355" s="11" t="s">
        <v>9</v>
      </c>
      <c r="C1355" s="11" t="s">
        <v>152</v>
      </c>
      <c r="D1355" s="11" t="s">
        <v>153</v>
      </c>
      <c r="E1355" s="9" t="str">
        <f>+HYPERLINK("http://trademark.i-assist.jp/data/china/image_1906th/79925499.pdf", "79925499")</f>
        <v>79925499</v>
      </c>
      <c r="F1355" s="11" t="s">
        <v>3914</v>
      </c>
      <c r="G1355" s="11" t="s">
        <v>3915</v>
      </c>
      <c r="H1355" s="11" t="s">
        <v>3916</v>
      </c>
      <c r="I1355" s="11" t="s">
        <v>3891</v>
      </c>
    </row>
    <row r="1356" spans="1:9" x14ac:dyDescent="0.15">
      <c r="A1356" s="10">
        <v>1355</v>
      </c>
      <c r="B1356" s="11" t="s">
        <v>9</v>
      </c>
      <c r="C1356" s="11" t="s">
        <v>152</v>
      </c>
      <c r="D1356" s="11" t="s">
        <v>153</v>
      </c>
      <c r="E1356" s="9" t="str">
        <f>+HYPERLINK("http://trademark.i-assist.jp/data/china/image_1906th/79925825.pdf", "79925825")</f>
        <v>79925825</v>
      </c>
      <c r="F1356" s="11" t="s">
        <v>3917</v>
      </c>
      <c r="G1356" s="11" t="s">
        <v>3912</v>
      </c>
      <c r="H1356" s="11" t="s">
        <v>3918</v>
      </c>
      <c r="I1356" s="11" t="s">
        <v>3891</v>
      </c>
    </row>
    <row r="1357" spans="1:9" x14ac:dyDescent="0.15">
      <c r="A1357" s="10">
        <v>1356</v>
      </c>
      <c r="B1357" s="11" t="s">
        <v>9</v>
      </c>
      <c r="C1357" s="11" t="s">
        <v>152</v>
      </c>
      <c r="D1357" s="11" t="s">
        <v>153</v>
      </c>
      <c r="E1357" s="9" t="str">
        <f>+HYPERLINK("http://trademark.i-assist.jp/data/china/image_1906th/79927310.pdf", "79927310")</f>
        <v>79927310</v>
      </c>
      <c r="F1357" s="11" t="s">
        <v>3919</v>
      </c>
      <c r="G1357" s="11" t="s">
        <v>3920</v>
      </c>
      <c r="H1357" s="11" t="s">
        <v>3921</v>
      </c>
      <c r="I1357" s="11" t="s">
        <v>3891</v>
      </c>
    </row>
    <row r="1358" spans="1:9" x14ac:dyDescent="0.15">
      <c r="A1358" s="10">
        <v>1357</v>
      </c>
      <c r="B1358" s="11" t="s">
        <v>9</v>
      </c>
      <c r="C1358" s="11" t="s">
        <v>152</v>
      </c>
      <c r="D1358" s="11" t="s">
        <v>153</v>
      </c>
      <c r="E1358" s="9" t="str">
        <f>+HYPERLINK("http://trademark.i-assist.jp/data/china/image_1906th/79928920.pdf", "79928920")</f>
        <v>79928920</v>
      </c>
      <c r="F1358" s="11" t="s">
        <v>3922</v>
      </c>
      <c r="G1358" s="11" t="s">
        <v>3923</v>
      </c>
      <c r="H1358" s="11" t="s">
        <v>3924</v>
      </c>
      <c r="I1358" s="11" t="s">
        <v>3891</v>
      </c>
    </row>
    <row r="1359" spans="1:9" x14ac:dyDescent="0.15">
      <c r="A1359" s="10">
        <v>1358</v>
      </c>
      <c r="B1359" s="11" t="s">
        <v>9</v>
      </c>
      <c r="C1359" s="11" t="s">
        <v>152</v>
      </c>
      <c r="D1359" s="11" t="s">
        <v>153</v>
      </c>
      <c r="E1359" s="9" t="str">
        <f>+HYPERLINK("http://trademark.i-assist.jp/data/china/image_1906th/79929241.pdf", "79929241")</f>
        <v>79929241</v>
      </c>
      <c r="F1359" s="11" t="s">
        <v>3925</v>
      </c>
      <c r="G1359" s="11" t="s">
        <v>3926</v>
      </c>
      <c r="H1359" s="11" t="s">
        <v>3927</v>
      </c>
      <c r="I1359" s="11" t="s">
        <v>3891</v>
      </c>
    </row>
    <row r="1360" spans="1:9" x14ac:dyDescent="0.15">
      <c r="A1360" s="10">
        <v>1359</v>
      </c>
      <c r="B1360" s="11" t="s">
        <v>9</v>
      </c>
      <c r="C1360" s="11" t="s">
        <v>152</v>
      </c>
      <c r="D1360" s="11" t="s">
        <v>153</v>
      </c>
      <c r="E1360" s="9" t="str">
        <f>+HYPERLINK("http://trademark.i-assist.jp/data/china/image_1906th/79931401.pdf", "79931401")</f>
        <v>79931401</v>
      </c>
      <c r="F1360" s="11" t="s">
        <v>3928</v>
      </c>
      <c r="G1360" s="11" t="s">
        <v>3929</v>
      </c>
      <c r="H1360" s="11" t="s">
        <v>3930</v>
      </c>
      <c r="I1360" s="11" t="s">
        <v>3891</v>
      </c>
    </row>
    <row r="1361" spans="1:9" x14ac:dyDescent="0.15">
      <c r="A1361" s="10">
        <v>1360</v>
      </c>
      <c r="B1361" s="11" t="s">
        <v>9</v>
      </c>
      <c r="C1361" s="11" t="s">
        <v>152</v>
      </c>
      <c r="D1361" s="11" t="s">
        <v>153</v>
      </c>
      <c r="E1361" s="9" t="str">
        <f>+HYPERLINK("http://trademark.i-assist.jp/data/china/image_1906th/79931739.pdf", "79931739")</f>
        <v>79931739</v>
      </c>
      <c r="F1361" s="11" t="s">
        <v>3931</v>
      </c>
      <c r="G1361" s="11" t="s">
        <v>3932</v>
      </c>
      <c r="H1361" s="11" t="s">
        <v>3933</v>
      </c>
      <c r="I1361" s="11" t="s">
        <v>3891</v>
      </c>
    </row>
    <row r="1362" spans="1:9" x14ac:dyDescent="0.15">
      <c r="A1362" s="10">
        <v>1361</v>
      </c>
      <c r="B1362" s="11" t="s">
        <v>9</v>
      </c>
      <c r="C1362" s="11" t="s">
        <v>152</v>
      </c>
      <c r="D1362" s="11" t="s">
        <v>153</v>
      </c>
      <c r="E1362" s="9" t="str">
        <f>+HYPERLINK("http://trademark.i-assist.jp/data/china/image_1906th/79933932.pdf", "79933932")</f>
        <v>79933932</v>
      </c>
      <c r="F1362" s="11" t="s">
        <v>3934</v>
      </c>
      <c r="G1362" s="11" t="s">
        <v>3935</v>
      </c>
      <c r="H1362" s="11" t="s">
        <v>3936</v>
      </c>
      <c r="I1362" s="11" t="s">
        <v>3891</v>
      </c>
    </row>
    <row r="1363" spans="1:9" x14ac:dyDescent="0.15">
      <c r="A1363" s="10">
        <v>1362</v>
      </c>
      <c r="B1363" s="11" t="s">
        <v>9</v>
      </c>
      <c r="C1363" s="11" t="s">
        <v>152</v>
      </c>
      <c r="D1363" s="11" t="s">
        <v>153</v>
      </c>
      <c r="E1363" s="9" t="str">
        <f>+HYPERLINK("http://trademark.i-assist.jp/data/china/image_1906th/79934184.pdf", "79934184")</f>
        <v>79934184</v>
      </c>
      <c r="F1363" s="11" t="s">
        <v>3937</v>
      </c>
      <c r="G1363" s="11" t="s">
        <v>3938</v>
      </c>
      <c r="H1363" s="11" t="s">
        <v>3939</v>
      </c>
      <c r="I1363" s="11" t="s">
        <v>3891</v>
      </c>
    </row>
    <row r="1364" spans="1:9" x14ac:dyDescent="0.15">
      <c r="A1364" s="10">
        <v>1363</v>
      </c>
      <c r="B1364" s="11" t="s">
        <v>9</v>
      </c>
      <c r="C1364" s="11" t="s">
        <v>152</v>
      </c>
      <c r="D1364" s="11" t="s">
        <v>153</v>
      </c>
      <c r="E1364" s="9" t="str">
        <f>+HYPERLINK("http://trademark.i-assist.jp/data/china/image_1906th/79936414.pdf", "79936414")</f>
        <v>79936414</v>
      </c>
      <c r="F1364" s="11" t="s">
        <v>3940</v>
      </c>
      <c r="G1364" s="11" t="s">
        <v>3941</v>
      </c>
      <c r="H1364" s="11" t="s">
        <v>3942</v>
      </c>
      <c r="I1364" s="11" t="s">
        <v>3891</v>
      </c>
    </row>
    <row r="1365" spans="1:9" x14ac:dyDescent="0.15">
      <c r="A1365" s="10">
        <v>1364</v>
      </c>
      <c r="B1365" s="11" t="s">
        <v>9</v>
      </c>
      <c r="C1365" s="11" t="s">
        <v>152</v>
      </c>
      <c r="D1365" s="11" t="s">
        <v>153</v>
      </c>
      <c r="E1365" s="9" t="str">
        <f>+HYPERLINK("http://trademark.i-assist.jp/data/china/image_1906th/79937552.pdf", "79937552")</f>
        <v>79937552</v>
      </c>
      <c r="F1365" s="11" t="s">
        <v>3943</v>
      </c>
      <c r="G1365" s="11" t="s">
        <v>3944</v>
      </c>
      <c r="H1365" s="11" t="s">
        <v>3945</v>
      </c>
      <c r="I1365" s="11" t="s">
        <v>3946</v>
      </c>
    </row>
    <row r="1366" spans="1:9" x14ac:dyDescent="0.15">
      <c r="A1366" s="10">
        <v>1365</v>
      </c>
      <c r="B1366" s="11" t="s">
        <v>9</v>
      </c>
      <c r="C1366" s="11" t="s">
        <v>152</v>
      </c>
      <c r="D1366" s="11" t="s">
        <v>153</v>
      </c>
      <c r="E1366" s="9" t="str">
        <f>+HYPERLINK("http://trademark.i-assist.jp/data/china/image_1906th/79937692.pdf", "79937692")</f>
        <v>79937692</v>
      </c>
      <c r="F1366" s="11" t="s">
        <v>3947</v>
      </c>
      <c r="G1366" s="11" t="s">
        <v>3948</v>
      </c>
      <c r="H1366" s="11" t="s">
        <v>3949</v>
      </c>
      <c r="I1366" s="11" t="s">
        <v>3946</v>
      </c>
    </row>
    <row r="1367" spans="1:9" x14ac:dyDescent="0.15">
      <c r="A1367" s="10">
        <v>1366</v>
      </c>
      <c r="B1367" s="11" t="s">
        <v>9</v>
      </c>
      <c r="C1367" s="11" t="s">
        <v>152</v>
      </c>
      <c r="D1367" s="11" t="s">
        <v>153</v>
      </c>
      <c r="E1367" s="9" t="str">
        <f>+HYPERLINK("http://trademark.i-assist.jp/data/china/image_1906th/79938828.pdf", "79938828")</f>
        <v>79938828</v>
      </c>
      <c r="F1367" s="11" t="s">
        <v>3950</v>
      </c>
      <c r="G1367" s="11" t="s">
        <v>3951</v>
      </c>
      <c r="H1367" s="11" t="s">
        <v>3952</v>
      </c>
      <c r="I1367" s="11" t="s">
        <v>3946</v>
      </c>
    </row>
    <row r="1368" spans="1:9" x14ac:dyDescent="0.15">
      <c r="A1368" s="10">
        <v>1367</v>
      </c>
      <c r="B1368" s="11" t="s">
        <v>9</v>
      </c>
      <c r="C1368" s="11" t="s">
        <v>152</v>
      </c>
      <c r="D1368" s="11" t="s">
        <v>153</v>
      </c>
      <c r="E1368" s="9" t="str">
        <f>+HYPERLINK("http://trademark.i-assist.jp/data/china/image_1906th/79940862.pdf", "79940862")</f>
        <v>79940862</v>
      </c>
      <c r="F1368" s="11" t="s">
        <v>3953</v>
      </c>
      <c r="G1368" s="11" t="s">
        <v>3954</v>
      </c>
      <c r="H1368" s="11" t="s">
        <v>3955</v>
      </c>
      <c r="I1368" s="11" t="s">
        <v>3946</v>
      </c>
    </row>
    <row r="1369" spans="1:9" x14ac:dyDescent="0.15">
      <c r="A1369" s="10">
        <v>1368</v>
      </c>
      <c r="B1369" s="11" t="s">
        <v>9</v>
      </c>
      <c r="C1369" s="11" t="s">
        <v>152</v>
      </c>
      <c r="D1369" s="11" t="s">
        <v>153</v>
      </c>
      <c r="E1369" s="9" t="str">
        <f>+HYPERLINK("http://trademark.i-assist.jp/data/china/image_1906th/79941320.pdf", "79941320")</f>
        <v>79941320</v>
      </c>
      <c r="F1369" s="11" t="s">
        <v>3956</v>
      </c>
      <c r="G1369" s="11" t="s">
        <v>3944</v>
      </c>
      <c r="H1369" s="11" t="s">
        <v>3957</v>
      </c>
      <c r="I1369" s="11" t="s">
        <v>3946</v>
      </c>
    </row>
    <row r="1370" spans="1:9" x14ac:dyDescent="0.15">
      <c r="A1370" s="10">
        <v>1369</v>
      </c>
      <c r="B1370" s="11" t="s">
        <v>9</v>
      </c>
      <c r="C1370" s="11" t="s">
        <v>152</v>
      </c>
      <c r="D1370" s="11" t="s">
        <v>153</v>
      </c>
      <c r="E1370" s="9" t="str">
        <f>+HYPERLINK("http://trademark.i-assist.jp/data/china/image_1906th/79941520.pdf", "79941520")</f>
        <v>79941520</v>
      </c>
      <c r="F1370" s="11" t="s">
        <v>3958</v>
      </c>
      <c r="G1370" s="11" t="s">
        <v>3959</v>
      </c>
      <c r="H1370" s="11" t="s">
        <v>3960</v>
      </c>
      <c r="I1370" s="11" t="s">
        <v>3946</v>
      </c>
    </row>
    <row r="1371" spans="1:9" x14ac:dyDescent="0.15">
      <c r="A1371" s="10">
        <v>1370</v>
      </c>
      <c r="B1371" s="11" t="s">
        <v>9</v>
      </c>
      <c r="C1371" s="11" t="s">
        <v>152</v>
      </c>
      <c r="D1371" s="11" t="s">
        <v>153</v>
      </c>
      <c r="E1371" s="9" t="str">
        <f>+HYPERLINK("http://trademark.i-assist.jp/data/china/image_1906th/79941648.pdf", "79941648")</f>
        <v>79941648</v>
      </c>
      <c r="F1371" s="11" t="s">
        <v>3961</v>
      </c>
      <c r="G1371" s="11" t="s">
        <v>3962</v>
      </c>
      <c r="H1371" s="11" t="s">
        <v>3963</v>
      </c>
      <c r="I1371" s="11" t="s">
        <v>3946</v>
      </c>
    </row>
    <row r="1372" spans="1:9" x14ac:dyDescent="0.15">
      <c r="A1372" s="10">
        <v>1371</v>
      </c>
      <c r="B1372" s="11" t="s">
        <v>9</v>
      </c>
      <c r="C1372" s="11" t="s">
        <v>152</v>
      </c>
      <c r="D1372" s="11" t="s">
        <v>153</v>
      </c>
      <c r="E1372" s="9" t="str">
        <f>+HYPERLINK("http://trademark.i-assist.jp/data/china/image_1906th/79942082.pdf", "79942082")</f>
        <v>79942082</v>
      </c>
      <c r="F1372" s="11" t="s">
        <v>3964</v>
      </c>
      <c r="G1372" s="11" t="s">
        <v>3965</v>
      </c>
      <c r="H1372" s="11" t="s">
        <v>3966</v>
      </c>
      <c r="I1372" s="11" t="s">
        <v>3946</v>
      </c>
    </row>
    <row r="1373" spans="1:9" x14ac:dyDescent="0.15">
      <c r="A1373" s="10">
        <v>1372</v>
      </c>
      <c r="B1373" s="11" t="s">
        <v>9</v>
      </c>
      <c r="C1373" s="11" t="s">
        <v>152</v>
      </c>
      <c r="D1373" s="11" t="s">
        <v>153</v>
      </c>
      <c r="E1373" s="9" t="str">
        <f>+HYPERLINK("http://trademark.i-assist.jp/data/china/image_1906th/79943196.pdf", "79943196")</f>
        <v>79943196</v>
      </c>
      <c r="F1373" s="11" t="s">
        <v>3967</v>
      </c>
      <c r="G1373" s="11" t="s">
        <v>3968</v>
      </c>
      <c r="H1373" s="11" t="s">
        <v>3969</v>
      </c>
      <c r="I1373" s="11" t="s">
        <v>3946</v>
      </c>
    </row>
    <row r="1374" spans="1:9" x14ac:dyDescent="0.15">
      <c r="A1374" s="10">
        <v>1373</v>
      </c>
      <c r="B1374" s="11" t="s">
        <v>9</v>
      </c>
      <c r="C1374" s="11" t="s">
        <v>152</v>
      </c>
      <c r="D1374" s="11" t="s">
        <v>153</v>
      </c>
      <c r="E1374" s="9" t="str">
        <f>+HYPERLINK("http://trademark.i-assist.jp/data/china/image_1906th/79943213.pdf", "79943213")</f>
        <v>79943213</v>
      </c>
      <c r="F1374" s="11" t="s">
        <v>12</v>
      </c>
      <c r="G1374" s="11" t="s">
        <v>3970</v>
      </c>
      <c r="H1374" s="11" t="s">
        <v>3971</v>
      </c>
      <c r="I1374" s="11" t="s">
        <v>3946</v>
      </c>
    </row>
    <row r="1375" spans="1:9" x14ac:dyDescent="0.15">
      <c r="A1375" s="10">
        <v>1374</v>
      </c>
      <c r="B1375" s="11" t="s">
        <v>9</v>
      </c>
      <c r="C1375" s="11" t="s">
        <v>152</v>
      </c>
      <c r="D1375" s="11" t="s">
        <v>153</v>
      </c>
      <c r="E1375" s="9" t="str">
        <f>+HYPERLINK("http://trademark.i-assist.jp/data/china/image_1906th/79943548.pdf", "79943548")</f>
        <v>79943548</v>
      </c>
      <c r="F1375" s="11" t="s">
        <v>3972</v>
      </c>
      <c r="G1375" s="11" t="s">
        <v>3965</v>
      </c>
      <c r="H1375" s="11" t="s">
        <v>3973</v>
      </c>
      <c r="I1375" s="11" t="s">
        <v>3946</v>
      </c>
    </row>
    <row r="1376" spans="1:9" x14ac:dyDescent="0.15">
      <c r="A1376" s="10">
        <v>1375</v>
      </c>
      <c r="B1376" s="11" t="s">
        <v>9</v>
      </c>
      <c r="C1376" s="11" t="s">
        <v>152</v>
      </c>
      <c r="D1376" s="11" t="s">
        <v>153</v>
      </c>
      <c r="E1376" s="9" t="str">
        <f>+HYPERLINK("http://trademark.i-assist.jp/data/china/image_1906th/79943568.pdf", "79943568")</f>
        <v>79943568</v>
      </c>
      <c r="F1376" s="11" t="s">
        <v>3974</v>
      </c>
      <c r="G1376" s="11" t="s">
        <v>3959</v>
      </c>
      <c r="H1376" s="11" t="s">
        <v>3975</v>
      </c>
      <c r="I1376" s="11" t="s">
        <v>3946</v>
      </c>
    </row>
    <row r="1377" spans="1:9" x14ac:dyDescent="0.15">
      <c r="A1377" s="10">
        <v>1376</v>
      </c>
      <c r="B1377" s="11" t="s">
        <v>9</v>
      </c>
      <c r="C1377" s="11" t="s">
        <v>152</v>
      </c>
      <c r="D1377" s="11" t="s">
        <v>153</v>
      </c>
      <c r="E1377" s="9" t="str">
        <f>+HYPERLINK("http://trademark.i-assist.jp/data/china/image_1906th/79943585.pdf", "79943585")</f>
        <v>79943585</v>
      </c>
      <c r="F1377" s="11" t="s">
        <v>3976</v>
      </c>
      <c r="G1377" s="11" t="s">
        <v>3965</v>
      </c>
      <c r="H1377" s="11" t="s">
        <v>3977</v>
      </c>
      <c r="I1377" s="11" t="s">
        <v>3946</v>
      </c>
    </row>
    <row r="1378" spans="1:9" x14ac:dyDescent="0.15">
      <c r="A1378" s="10">
        <v>1377</v>
      </c>
      <c r="B1378" s="11" t="s">
        <v>9</v>
      </c>
      <c r="C1378" s="11" t="s">
        <v>152</v>
      </c>
      <c r="D1378" s="11" t="s">
        <v>153</v>
      </c>
      <c r="E1378" s="9" t="str">
        <f>+HYPERLINK("http://trademark.i-assist.jp/data/china/image_1906th/79943813.pdf", "79943813")</f>
        <v>79943813</v>
      </c>
      <c r="F1378" s="11" t="s">
        <v>3978</v>
      </c>
      <c r="G1378" s="11" t="s">
        <v>3979</v>
      </c>
      <c r="H1378" s="11" t="s">
        <v>3980</v>
      </c>
      <c r="I1378" s="11" t="s">
        <v>3946</v>
      </c>
    </row>
    <row r="1379" spans="1:9" x14ac:dyDescent="0.15">
      <c r="A1379" s="10">
        <v>1378</v>
      </c>
      <c r="B1379" s="11" t="s">
        <v>9</v>
      </c>
      <c r="C1379" s="11" t="s">
        <v>152</v>
      </c>
      <c r="D1379" s="11" t="s">
        <v>153</v>
      </c>
      <c r="E1379" s="9" t="str">
        <f>+HYPERLINK("http://trademark.i-assist.jp/data/china/image_1906th/79943966.pdf", "79943966")</f>
        <v>79943966</v>
      </c>
      <c r="F1379" s="11" t="s">
        <v>3981</v>
      </c>
      <c r="G1379" s="11" t="s">
        <v>3965</v>
      </c>
      <c r="H1379" s="11" t="s">
        <v>3982</v>
      </c>
      <c r="I1379" s="11" t="s">
        <v>3946</v>
      </c>
    </row>
    <row r="1380" spans="1:9" x14ac:dyDescent="0.15">
      <c r="A1380" s="10">
        <v>1379</v>
      </c>
      <c r="B1380" s="11" t="s">
        <v>9</v>
      </c>
      <c r="C1380" s="11" t="s">
        <v>152</v>
      </c>
      <c r="D1380" s="11" t="s">
        <v>153</v>
      </c>
      <c r="E1380" s="9" t="str">
        <f>+HYPERLINK("http://trademark.i-assist.jp/data/china/image_1906th/79944921.pdf", "79944921")</f>
        <v>79944921</v>
      </c>
      <c r="F1380" s="11" t="s">
        <v>3983</v>
      </c>
      <c r="G1380" s="11" t="s">
        <v>3984</v>
      </c>
      <c r="H1380" s="11" t="s">
        <v>3985</v>
      </c>
      <c r="I1380" s="11" t="s">
        <v>3946</v>
      </c>
    </row>
    <row r="1381" spans="1:9" x14ac:dyDescent="0.15">
      <c r="A1381" s="10">
        <v>1380</v>
      </c>
      <c r="B1381" s="11" t="s">
        <v>9</v>
      </c>
      <c r="C1381" s="11" t="s">
        <v>152</v>
      </c>
      <c r="D1381" s="11" t="s">
        <v>153</v>
      </c>
      <c r="E1381" s="9" t="str">
        <f>+HYPERLINK("http://trademark.i-assist.jp/data/china/image_1906th/79945002.pdf", "79945002")</f>
        <v>79945002</v>
      </c>
      <c r="F1381" s="11" t="s">
        <v>3986</v>
      </c>
      <c r="G1381" s="11" t="s">
        <v>3965</v>
      </c>
      <c r="H1381" s="11" t="s">
        <v>3987</v>
      </c>
      <c r="I1381" s="11" t="s">
        <v>3946</v>
      </c>
    </row>
    <row r="1382" spans="1:9" x14ac:dyDescent="0.15">
      <c r="A1382" s="10">
        <v>1381</v>
      </c>
      <c r="B1382" s="11" t="s">
        <v>9</v>
      </c>
      <c r="C1382" s="11" t="s">
        <v>152</v>
      </c>
      <c r="D1382" s="11" t="s">
        <v>153</v>
      </c>
      <c r="E1382" s="9" t="str">
        <f>+HYPERLINK("http://trademark.i-assist.jp/data/china/image_1906th/79945030.pdf", "79945030")</f>
        <v>79945030</v>
      </c>
      <c r="F1382" s="11" t="s">
        <v>3988</v>
      </c>
      <c r="G1382" s="11" t="s">
        <v>3984</v>
      </c>
      <c r="H1382" s="11" t="s">
        <v>3989</v>
      </c>
      <c r="I1382" s="11" t="s">
        <v>3946</v>
      </c>
    </row>
    <row r="1383" spans="1:9" x14ac:dyDescent="0.15">
      <c r="A1383" s="10">
        <v>1382</v>
      </c>
      <c r="B1383" s="11" t="s">
        <v>9</v>
      </c>
      <c r="C1383" s="11" t="s">
        <v>152</v>
      </c>
      <c r="D1383" s="11" t="s">
        <v>153</v>
      </c>
      <c r="E1383" s="9" t="str">
        <f>+HYPERLINK("http://trademark.i-assist.jp/data/china/image_1906th/79945129.pdf", "79945129")</f>
        <v>79945129</v>
      </c>
      <c r="F1383" s="11" t="s">
        <v>3990</v>
      </c>
      <c r="G1383" s="11" t="s">
        <v>3965</v>
      </c>
      <c r="H1383" s="11" t="s">
        <v>3991</v>
      </c>
      <c r="I1383" s="11" t="s">
        <v>3946</v>
      </c>
    </row>
    <row r="1384" spans="1:9" x14ac:dyDescent="0.15">
      <c r="A1384" s="10">
        <v>1383</v>
      </c>
      <c r="B1384" s="11" t="s">
        <v>9</v>
      </c>
      <c r="C1384" s="11" t="s">
        <v>152</v>
      </c>
      <c r="D1384" s="11" t="s">
        <v>153</v>
      </c>
      <c r="E1384" s="9" t="str">
        <f>+HYPERLINK("http://trademark.i-assist.jp/data/china/image_1906th/79945409.pdf", "79945409")</f>
        <v>79945409</v>
      </c>
      <c r="F1384" s="11" t="s">
        <v>3992</v>
      </c>
      <c r="G1384" s="11" t="s">
        <v>3993</v>
      </c>
      <c r="H1384" s="11" t="s">
        <v>3994</v>
      </c>
      <c r="I1384" s="11" t="s">
        <v>3946</v>
      </c>
    </row>
    <row r="1385" spans="1:9" x14ac:dyDescent="0.15">
      <c r="A1385" s="10">
        <v>1384</v>
      </c>
      <c r="B1385" s="11" t="s">
        <v>9</v>
      </c>
      <c r="C1385" s="11" t="s">
        <v>152</v>
      </c>
      <c r="D1385" s="11" t="s">
        <v>153</v>
      </c>
      <c r="E1385" s="9" t="str">
        <f>+HYPERLINK("http://trademark.i-assist.jp/data/china/image_1906th/79945599.pdf", "79945599")</f>
        <v>79945599</v>
      </c>
      <c r="F1385" s="11" t="s">
        <v>12</v>
      </c>
      <c r="G1385" s="11" t="s">
        <v>3995</v>
      </c>
      <c r="H1385" s="11" t="s">
        <v>3996</v>
      </c>
      <c r="I1385" s="11" t="s">
        <v>3946</v>
      </c>
    </row>
    <row r="1386" spans="1:9" x14ac:dyDescent="0.15">
      <c r="A1386" s="10">
        <v>1385</v>
      </c>
      <c r="B1386" s="11" t="s">
        <v>9</v>
      </c>
      <c r="C1386" s="11" t="s">
        <v>152</v>
      </c>
      <c r="D1386" s="11" t="s">
        <v>153</v>
      </c>
      <c r="E1386" s="9" t="str">
        <f>+HYPERLINK("http://trademark.i-assist.jp/data/china/image_1906th/79945623.pdf", "79945623")</f>
        <v>79945623</v>
      </c>
      <c r="F1386" s="11" t="s">
        <v>3997</v>
      </c>
      <c r="G1386" s="11" t="s">
        <v>3998</v>
      </c>
      <c r="H1386" s="11" t="s">
        <v>3999</v>
      </c>
      <c r="I1386" s="11" t="s">
        <v>3946</v>
      </c>
    </row>
    <row r="1387" spans="1:9" x14ac:dyDescent="0.15">
      <c r="A1387" s="10">
        <v>1386</v>
      </c>
      <c r="B1387" s="11" t="s">
        <v>9</v>
      </c>
      <c r="C1387" s="11" t="s">
        <v>152</v>
      </c>
      <c r="D1387" s="11" t="s">
        <v>153</v>
      </c>
      <c r="E1387" s="9" t="str">
        <f>+HYPERLINK("http://trademark.i-assist.jp/data/china/image_1906th/79946831.pdf", "79946831")</f>
        <v>79946831</v>
      </c>
      <c r="F1387" s="11" t="s">
        <v>4000</v>
      </c>
      <c r="G1387" s="11" t="s">
        <v>4001</v>
      </c>
      <c r="H1387" s="11" t="s">
        <v>4002</v>
      </c>
      <c r="I1387" s="11" t="s">
        <v>3946</v>
      </c>
    </row>
    <row r="1388" spans="1:9" x14ac:dyDescent="0.15">
      <c r="A1388" s="10">
        <v>1387</v>
      </c>
      <c r="B1388" s="11" t="s">
        <v>9</v>
      </c>
      <c r="C1388" s="11" t="s">
        <v>152</v>
      </c>
      <c r="D1388" s="11" t="s">
        <v>153</v>
      </c>
      <c r="E1388" s="9" t="str">
        <f>+HYPERLINK("http://trademark.i-assist.jp/data/china/image_1906th/79947010.pdf", "79947010")</f>
        <v>79947010</v>
      </c>
      <c r="F1388" s="11" t="s">
        <v>4003</v>
      </c>
      <c r="G1388" s="11" t="s">
        <v>3944</v>
      </c>
      <c r="H1388" s="11" t="s">
        <v>4004</v>
      </c>
      <c r="I1388" s="11" t="s">
        <v>3946</v>
      </c>
    </row>
    <row r="1389" spans="1:9" x14ac:dyDescent="0.15">
      <c r="A1389" s="10">
        <v>1388</v>
      </c>
      <c r="B1389" s="11" t="s">
        <v>9</v>
      </c>
      <c r="C1389" s="11" t="s">
        <v>152</v>
      </c>
      <c r="D1389" s="11" t="s">
        <v>153</v>
      </c>
      <c r="E1389" s="9" t="str">
        <f>+HYPERLINK("http://trademark.i-assist.jp/data/china/image_1906th/79947235.pdf", "79947235")</f>
        <v>79947235</v>
      </c>
      <c r="F1389" s="11" t="s">
        <v>4005</v>
      </c>
      <c r="G1389" s="11" t="s">
        <v>3962</v>
      </c>
      <c r="H1389" s="11" t="s">
        <v>4006</v>
      </c>
      <c r="I1389" s="11" t="s">
        <v>3946</v>
      </c>
    </row>
    <row r="1390" spans="1:9" x14ac:dyDescent="0.15">
      <c r="A1390" s="10">
        <v>1389</v>
      </c>
      <c r="B1390" s="11" t="s">
        <v>9</v>
      </c>
      <c r="C1390" s="11" t="s">
        <v>152</v>
      </c>
      <c r="D1390" s="11" t="s">
        <v>153</v>
      </c>
      <c r="E1390" s="9" t="str">
        <f>+HYPERLINK("http://trademark.i-assist.jp/data/china/image_1906th/79947380.pdf", "79947380")</f>
        <v>79947380</v>
      </c>
      <c r="F1390" s="11" t="s">
        <v>4007</v>
      </c>
      <c r="G1390" s="11" t="s">
        <v>3959</v>
      </c>
      <c r="H1390" s="11" t="s">
        <v>4008</v>
      </c>
      <c r="I1390" s="11" t="s">
        <v>3946</v>
      </c>
    </row>
    <row r="1391" spans="1:9" x14ac:dyDescent="0.15">
      <c r="A1391" s="10">
        <v>1390</v>
      </c>
      <c r="B1391" s="11" t="s">
        <v>9</v>
      </c>
      <c r="C1391" s="11" t="s">
        <v>152</v>
      </c>
      <c r="D1391" s="11" t="s">
        <v>153</v>
      </c>
      <c r="E1391" s="9" t="str">
        <f>+HYPERLINK("http://trademark.i-assist.jp/data/china/image_1906th/79947389.pdf", "79947389")</f>
        <v>79947389</v>
      </c>
      <c r="F1391" s="11" t="s">
        <v>4009</v>
      </c>
      <c r="G1391" s="11" t="s">
        <v>3959</v>
      </c>
      <c r="H1391" s="11" t="s">
        <v>4010</v>
      </c>
      <c r="I1391" s="11" t="s">
        <v>3946</v>
      </c>
    </row>
    <row r="1392" spans="1:9" x14ac:dyDescent="0.15">
      <c r="A1392" s="10">
        <v>1391</v>
      </c>
      <c r="B1392" s="11" t="s">
        <v>9</v>
      </c>
      <c r="C1392" s="11" t="s">
        <v>152</v>
      </c>
      <c r="D1392" s="11" t="s">
        <v>153</v>
      </c>
      <c r="E1392" s="9" t="str">
        <f>+HYPERLINK("http://trademark.i-assist.jp/data/china/image_1906th/79947426.pdf", "79947426")</f>
        <v>79947426</v>
      </c>
      <c r="F1392" s="11" t="s">
        <v>4011</v>
      </c>
      <c r="G1392" s="11" t="s">
        <v>3965</v>
      </c>
      <c r="H1392" s="11" t="s">
        <v>4012</v>
      </c>
      <c r="I1392" s="11" t="s">
        <v>3946</v>
      </c>
    </row>
    <row r="1393" spans="1:9" x14ac:dyDescent="0.15">
      <c r="A1393" s="10">
        <v>1392</v>
      </c>
      <c r="B1393" s="11" t="s">
        <v>9</v>
      </c>
      <c r="C1393" s="11" t="s">
        <v>152</v>
      </c>
      <c r="D1393" s="11" t="s">
        <v>153</v>
      </c>
      <c r="E1393" s="9" t="str">
        <f>+HYPERLINK("http://trademark.i-assist.jp/data/china/image_1906th/79947936.pdf", "79947936")</f>
        <v>79947936</v>
      </c>
      <c r="F1393" s="11" t="s">
        <v>4013</v>
      </c>
      <c r="G1393" s="11" t="s">
        <v>3944</v>
      </c>
      <c r="H1393" s="11" t="s">
        <v>4014</v>
      </c>
      <c r="I1393" s="11" t="s">
        <v>3946</v>
      </c>
    </row>
    <row r="1394" spans="1:9" x14ac:dyDescent="0.15">
      <c r="A1394" s="10">
        <v>1393</v>
      </c>
      <c r="B1394" s="11" t="s">
        <v>9</v>
      </c>
      <c r="C1394" s="11" t="s">
        <v>152</v>
      </c>
      <c r="D1394" s="11" t="s">
        <v>153</v>
      </c>
      <c r="E1394" s="9" t="str">
        <f>+HYPERLINK("http://trademark.i-assist.jp/data/china/image_1906th/79949828.pdf", "79949828")</f>
        <v>79949828</v>
      </c>
      <c r="F1394" s="11" t="s">
        <v>12</v>
      </c>
      <c r="G1394" s="11" t="s">
        <v>4015</v>
      </c>
      <c r="H1394" s="11" t="s">
        <v>4016</v>
      </c>
      <c r="I1394" s="11" t="s">
        <v>3946</v>
      </c>
    </row>
    <row r="1395" spans="1:9" x14ac:dyDescent="0.15">
      <c r="A1395" s="10">
        <v>1394</v>
      </c>
      <c r="B1395" s="11" t="s">
        <v>9</v>
      </c>
      <c r="C1395" s="11" t="s">
        <v>152</v>
      </c>
      <c r="D1395" s="11" t="s">
        <v>153</v>
      </c>
      <c r="E1395" s="9" t="str">
        <f>+HYPERLINK("http://trademark.i-assist.jp/data/china/image_1906th/79949930.pdf", "79949930")</f>
        <v>79949930</v>
      </c>
      <c r="F1395" s="11" t="s">
        <v>4017</v>
      </c>
      <c r="G1395" s="11" t="s">
        <v>3944</v>
      </c>
      <c r="H1395" s="11" t="s">
        <v>4018</v>
      </c>
      <c r="I1395" s="11" t="s">
        <v>3946</v>
      </c>
    </row>
    <row r="1396" spans="1:9" x14ac:dyDescent="0.15">
      <c r="A1396" s="10">
        <v>1395</v>
      </c>
      <c r="B1396" s="11" t="s">
        <v>9</v>
      </c>
      <c r="C1396" s="11" t="s">
        <v>152</v>
      </c>
      <c r="D1396" s="11" t="s">
        <v>153</v>
      </c>
      <c r="E1396" s="9" t="str">
        <f>+HYPERLINK("http://trademark.i-assist.jp/data/china/image_1906th/79950140.pdf", "79950140")</f>
        <v>79950140</v>
      </c>
      <c r="F1396" s="11" t="s">
        <v>4019</v>
      </c>
      <c r="G1396" s="11" t="s">
        <v>2918</v>
      </c>
      <c r="H1396" s="11" t="s">
        <v>4020</v>
      </c>
      <c r="I1396" s="11" t="s">
        <v>3946</v>
      </c>
    </row>
    <row r="1397" spans="1:9" x14ac:dyDescent="0.15">
      <c r="A1397" s="10">
        <v>1396</v>
      </c>
      <c r="B1397" s="11" t="s">
        <v>9</v>
      </c>
      <c r="C1397" s="11" t="s">
        <v>152</v>
      </c>
      <c r="D1397" s="11" t="s">
        <v>153</v>
      </c>
      <c r="E1397" s="9" t="str">
        <f>+HYPERLINK("http://trademark.i-assist.jp/data/china/image_1906th/79950342.pdf", "79950342")</f>
        <v>79950342</v>
      </c>
      <c r="F1397" s="11" t="s">
        <v>4021</v>
      </c>
      <c r="G1397" s="11" t="s">
        <v>4022</v>
      </c>
      <c r="H1397" s="11" t="s">
        <v>4023</v>
      </c>
      <c r="I1397" s="11" t="s">
        <v>3946</v>
      </c>
    </row>
    <row r="1398" spans="1:9" x14ac:dyDescent="0.15">
      <c r="A1398" s="10">
        <v>1397</v>
      </c>
      <c r="B1398" s="11" t="s">
        <v>9</v>
      </c>
      <c r="C1398" s="11" t="s">
        <v>152</v>
      </c>
      <c r="D1398" s="11" t="s">
        <v>153</v>
      </c>
      <c r="E1398" s="9" t="str">
        <f>+HYPERLINK("http://trademark.i-assist.jp/data/china/image_1906th/79951139.pdf", "79951139")</f>
        <v>79951139</v>
      </c>
      <c r="F1398" s="11" t="s">
        <v>4024</v>
      </c>
      <c r="G1398" s="11" t="s">
        <v>4025</v>
      </c>
      <c r="H1398" s="11" t="s">
        <v>4026</v>
      </c>
      <c r="I1398" s="11" t="s">
        <v>3946</v>
      </c>
    </row>
    <row r="1399" spans="1:9" x14ac:dyDescent="0.15">
      <c r="A1399" s="10">
        <v>1398</v>
      </c>
      <c r="B1399" s="11" t="s">
        <v>9</v>
      </c>
      <c r="C1399" s="11" t="s">
        <v>152</v>
      </c>
      <c r="D1399" s="11" t="s">
        <v>153</v>
      </c>
      <c r="E1399" s="9" t="str">
        <f>+HYPERLINK("http://trademark.i-assist.jp/data/china/image_1906th/79951446.pdf", "79951446")</f>
        <v>79951446</v>
      </c>
      <c r="F1399" s="11" t="s">
        <v>4027</v>
      </c>
      <c r="G1399" s="11" t="s">
        <v>4028</v>
      </c>
      <c r="H1399" s="11" t="s">
        <v>4029</v>
      </c>
      <c r="I1399" s="11" t="s">
        <v>3946</v>
      </c>
    </row>
    <row r="1400" spans="1:9" x14ac:dyDescent="0.15">
      <c r="A1400" s="10">
        <v>1399</v>
      </c>
      <c r="B1400" s="11" t="s">
        <v>9</v>
      </c>
      <c r="C1400" s="11" t="s">
        <v>152</v>
      </c>
      <c r="D1400" s="11" t="s">
        <v>153</v>
      </c>
      <c r="E1400" s="9" t="str">
        <f>+HYPERLINK("http://trademark.i-assist.jp/data/china/image_1906th/79951634.pdf", "79951634")</f>
        <v>79951634</v>
      </c>
      <c r="F1400" s="11" t="s">
        <v>4030</v>
      </c>
      <c r="G1400" s="11" t="s">
        <v>4031</v>
      </c>
      <c r="H1400" s="11" t="s">
        <v>4032</v>
      </c>
      <c r="I1400" s="11" t="s">
        <v>3946</v>
      </c>
    </row>
    <row r="1401" spans="1:9" x14ac:dyDescent="0.15">
      <c r="A1401" s="10">
        <v>1400</v>
      </c>
      <c r="B1401" s="11" t="s">
        <v>9</v>
      </c>
      <c r="C1401" s="11" t="s">
        <v>152</v>
      </c>
      <c r="D1401" s="11" t="s">
        <v>153</v>
      </c>
      <c r="E1401" s="9" t="str">
        <f>+HYPERLINK("http://trademark.i-assist.jp/data/china/image_1906th/79952715.pdf", "79952715")</f>
        <v>79952715</v>
      </c>
      <c r="F1401" s="11" t="s">
        <v>4033</v>
      </c>
      <c r="G1401" s="11" t="s">
        <v>4025</v>
      </c>
      <c r="H1401" s="11" t="s">
        <v>4034</v>
      </c>
      <c r="I1401" s="11" t="s">
        <v>3946</v>
      </c>
    </row>
    <row r="1402" spans="1:9" x14ac:dyDescent="0.15">
      <c r="A1402" s="10">
        <v>1401</v>
      </c>
      <c r="B1402" s="11" t="s">
        <v>9</v>
      </c>
      <c r="C1402" s="11" t="s">
        <v>152</v>
      </c>
      <c r="D1402" s="11" t="s">
        <v>153</v>
      </c>
      <c r="E1402" s="9" t="str">
        <f>+HYPERLINK("http://trademark.i-assist.jp/data/china/image_1906th/79953493.pdf", "79953493")</f>
        <v>79953493</v>
      </c>
      <c r="F1402" s="11" t="s">
        <v>4035</v>
      </c>
      <c r="G1402" s="11" t="s">
        <v>3965</v>
      </c>
      <c r="H1402" s="11" t="s">
        <v>4036</v>
      </c>
      <c r="I1402" s="11" t="s">
        <v>3946</v>
      </c>
    </row>
    <row r="1403" spans="1:9" x14ac:dyDescent="0.15">
      <c r="A1403" s="10">
        <v>1402</v>
      </c>
      <c r="B1403" s="11" t="s">
        <v>9</v>
      </c>
      <c r="C1403" s="11" t="s">
        <v>152</v>
      </c>
      <c r="D1403" s="11" t="s">
        <v>153</v>
      </c>
      <c r="E1403" s="9" t="str">
        <f>+HYPERLINK("http://trademark.i-assist.jp/data/china/image_1906th/79953796.pdf", "79953796")</f>
        <v>79953796</v>
      </c>
      <c r="F1403" s="11" t="s">
        <v>4037</v>
      </c>
      <c r="G1403" s="11" t="s">
        <v>4038</v>
      </c>
      <c r="H1403" s="11" t="s">
        <v>4039</v>
      </c>
      <c r="I1403" s="11" t="s">
        <v>3946</v>
      </c>
    </row>
    <row r="1404" spans="1:9" x14ac:dyDescent="0.15">
      <c r="A1404" s="10">
        <v>1403</v>
      </c>
      <c r="B1404" s="11" t="s">
        <v>9</v>
      </c>
      <c r="C1404" s="11" t="s">
        <v>152</v>
      </c>
      <c r="D1404" s="11" t="s">
        <v>153</v>
      </c>
      <c r="E1404" s="9" t="str">
        <f>+HYPERLINK("http://trademark.i-assist.jp/data/china/image_1906th/79954233.pdf", "79954233")</f>
        <v>79954233</v>
      </c>
      <c r="F1404" s="11" t="s">
        <v>4040</v>
      </c>
      <c r="G1404" s="11" t="s">
        <v>3965</v>
      </c>
      <c r="H1404" s="11" t="s">
        <v>4041</v>
      </c>
      <c r="I1404" s="11" t="s">
        <v>3946</v>
      </c>
    </row>
    <row r="1405" spans="1:9" x14ac:dyDescent="0.15">
      <c r="A1405" s="10">
        <v>1404</v>
      </c>
      <c r="B1405" s="11" t="s">
        <v>9</v>
      </c>
      <c r="C1405" s="11" t="s">
        <v>152</v>
      </c>
      <c r="D1405" s="11" t="s">
        <v>153</v>
      </c>
      <c r="E1405" s="9" t="str">
        <f>+HYPERLINK("http://trademark.i-assist.jp/data/china/image_1906th/79954250.pdf", "79954250")</f>
        <v>79954250</v>
      </c>
      <c r="F1405" s="11" t="s">
        <v>4042</v>
      </c>
      <c r="G1405" s="11" t="s">
        <v>3965</v>
      </c>
      <c r="H1405" s="11" t="s">
        <v>4043</v>
      </c>
      <c r="I1405" s="11" t="s">
        <v>3946</v>
      </c>
    </row>
    <row r="1406" spans="1:9" x14ac:dyDescent="0.15">
      <c r="A1406" s="10">
        <v>1405</v>
      </c>
      <c r="B1406" s="11" t="s">
        <v>9</v>
      </c>
      <c r="C1406" s="11" t="s">
        <v>152</v>
      </c>
      <c r="D1406" s="11" t="s">
        <v>153</v>
      </c>
      <c r="E1406" s="9" t="str">
        <f>+HYPERLINK("http://trademark.i-assist.jp/data/china/image_1906th/79954906.pdf", "79954906")</f>
        <v>79954906</v>
      </c>
      <c r="F1406" s="11" t="s">
        <v>4044</v>
      </c>
      <c r="G1406" s="11" t="s">
        <v>4045</v>
      </c>
      <c r="H1406" s="11" t="s">
        <v>4046</v>
      </c>
      <c r="I1406" s="11" t="s">
        <v>3946</v>
      </c>
    </row>
    <row r="1407" spans="1:9" x14ac:dyDescent="0.15">
      <c r="A1407" s="10">
        <v>1406</v>
      </c>
      <c r="B1407" s="11" t="s">
        <v>9</v>
      </c>
      <c r="C1407" s="11" t="s">
        <v>152</v>
      </c>
      <c r="D1407" s="11" t="s">
        <v>153</v>
      </c>
      <c r="E1407" s="9" t="str">
        <f>+HYPERLINK("http://trademark.i-assist.jp/data/china/image_1906th/79956591.pdf", "79956591")</f>
        <v>79956591</v>
      </c>
      <c r="F1407" s="11" t="s">
        <v>4047</v>
      </c>
      <c r="G1407" s="11" t="s">
        <v>3965</v>
      </c>
      <c r="H1407" s="11" t="s">
        <v>4048</v>
      </c>
      <c r="I1407" s="11" t="s">
        <v>3946</v>
      </c>
    </row>
    <row r="1408" spans="1:9" x14ac:dyDescent="0.15">
      <c r="A1408" s="10">
        <v>1407</v>
      </c>
      <c r="B1408" s="11" t="s">
        <v>9</v>
      </c>
      <c r="C1408" s="11" t="s">
        <v>152</v>
      </c>
      <c r="D1408" s="11" t="s">
        <v>153</v>
      </c>
      <c r="E1408" s="9" t="str">
        <f>+HYPERLINK("http://trademark.i-assist.jp/data/china/image_1906th/79956777.pdf", "79956777")</f>
        <v>79956777</v>
      </c>
      <c r="F1408" s="11" t="s">
        <v>4049</v>
      </c>
      <c r="G1408" s="11" t="s">
        <v>4050</v>
      </c>
      <c r="H1408" s="11" t="s">
        <v>4051</v>
      </c>
      <c r="I1408" s="11" t="s">
        <v>3946</v>
      </c>
    </row>
    <row r="1409" spans="1:9" x14ac:dyDescent="0.15">
      <c r="A1409" s="10">
        <v>1408</v>
      </c>
      <c r="B1409" s="11" t="s">
        <v>9</v>
      </c>
      <c r="C1409" s="11" t="s">
        <v>152</v>
      </c>
      <c r="D1409" s="11" t="s">
        <v>153</v>
      </c>
      <c r="E1409" s="9" t="str">
        <f>+HYPERLINK("http://trademark.i-assist.jp/data/china/image_1906th/79957058.pdf", "79957058")</f>
        <v>79957058</v>
      </c>
      <c r="F1409" s="11" t="s">
        <v>4052</v>
      </c>
      <c r="G1409" s="11" t="s">
        <v>3954</v>
      </c>
      <c r="H1409" s="11" t="s">
        <v>4053</v>
      </c>
      <c r="I1409" s="11" t="s">
        <v>3946</v>
      </c>
    </row>
    <row r="1410" spans="1:9" x14ac:dyDescent="0.15">
      <c r="A1410" s="10">
        <v>1409</v>
      </c>
      <c r="B1410" s="11" t="s">
        <v>9</v>
      </c>
      <c r="C1410" s="11" t="s">
        <v>152</v>
      </c>
      <c r="D1410" s="11" t="s">
        <v>153</v>
      </c>
      <c r="E1410" s="9" t="str">
        <f>+HYPERLINK("http://trademark.i-assist.jp/data/china/image_1906th/79957914.pdf", "79957914")</f>
        <v>79957914</v>
      </c>
      <c r="F1410" s="11" t="s">
        <v>4054</v>
      </c>
      <c r="G1410" s="11" t="s">
        <v>4055</v>
      </c>
      <c r="H1410" s="11" t="s">
        <v>4056</v>
      </c>
      <c r="I1410" s="11" t="s">
        <v>3946</v>
      </c>
    </row>
    <row r="1411" spans="1:9" x14ac:dyDescent="0.15">
      <c r="A1411" s="10">
        <v>1410</v>
      </c>
      <c r="B1411" s="11" t="s">
        <v>9</v>
      </c>
      <c r="C1411" s="11" t="s">
        <v>152</v>
      </c>
      <c r="D1411" s="11" t="s">
        <v>153</v>
      </c>
      <c r="E1411" s="9" t="str">
        <f>+HYPERLINK("http://trademark.i-assist.jp/data/china/image_1906th/79958037.pdf", "79958037")</f>
        <v>79958037</v>
      </c>
      <c r="F1411" s="11" t="s">
        <v>4057</v>
      </c>
      <c r="G1411" s="11" t="s">
        <v>4058</v>
      </c>
      <c r="H1411" s="11" t="s">
        <v>4059</v>
      </c>
      <c r="I1411" s="11" t="s">
        <v>3946</v>
      </c>
    </row>
    <row r="1412" spans="1:9" x14ac:dyDescent="0.15">
      <c r="A1412" s="10">
        <v>1411</v>
      </c>
      <c r="B1412" s="11" t="s">
        <v>9</v>
      </c>
      <c r="C1412" s="11" t="s">
        <v>152</v>
      </c>
      <c r="D1412" s="11" t="s">
        <v>153</v>
      </c>
      <c r="E1412" s="9" t="str">
        <f>+HYPERLINK("http://trademark.i-assist.jp/data/china/image_1906th/79958223.pdf", "79958223")</f>
        <v>79958223</v>
      </c>
      <c r="F1412" s="11" t="s">
        <v>4060</v>
      </c>
      <c r="G1412" s="11" t="s">
        <v>3944</v>
      </c>
      <c r="H1412" s="11" t="s">
        <v>4061</v>
      </c>
      <c r="I1412" s="11" t="s">
        <v>3946</v>
      </c>
    </row>
    <row r="1413" spans="1:9" x14ac:dyDescent="0.15">
      <c r="A1413" s="10">
        <v>1412</v>
      </c>
      <c r="B1413" s="11" t="s">
        <v>9</v>
      </c>
      <c r="C1413" s="11" t="s">
        <v>152</v>
      </c>
      <c r="D1413" s="11" t="s">
        <v>153</v>
      </c>
      <c r="E1413" s="9" t="str">
        <f>+HYPERLINK("http://trademark.i-assist.jp/data/china/image_1906th/79959006.pdf", "79959006")</f>
        <v>79959006</v>
      </c>
      <c r="F1413" s="11" t="s">
        <v>4062</v>
      </c>
      <c r="G1413" s="11" t="s">
        <v>4038</v>
      </c>
      <c r="H1413" s="11" t="s">
        <v>4063</v>
      </c>
      <c r="I1413" s="11" t="s">
        <v>3946</v>
      </c>
    </row>
    <row r="1414" spans="1:9" x14ac:dyDescent="0.15">
      <c r="A1414" s="10">
        <v>1413</v>
      </c>
      <c r="B1414" s="11" t="s">
        <v>9</v>
      </c>
      <c r="C1414" s="11" t="s">
        <v>152</v>
      </c>
      <c r="D1414" s="11" t="s">
        <v>153</v>
      </c>
      <c r="E1414" s="9" t="str">
        <f>+HYPERLINK("http://trademark.i-assist.jp/data/china/image_1906th/79959212.pdf", "79959212")</f>
        <v>79959212</v>
      </c>
      <c r="F1414" s="11" t="s">
        <v>4064</v>
      </c>
      <c r="G1414" s="11" t="s">
        <v>4045</v>
      </c>
      <c r="H1414" s="11" t="s">
        <v>4065</v>
      </c>
      <c r="I1414" s="11" t="s">
        <v>3946</v>
      </c>
    </row>
    <row r="1415" spans="1:9" x14ac:dyDescent="0.15">
      <c r="A1415" s="10">
        <v>1414</v>
      </c>
      <c r="B1415" s="11" t="s">
        <v>9</v>
      </c>
      <c r="C1415" s="11" t="s">
        <v>152</v>
      </c>
      <c r="D1415" s="11" t="s">
        <v>153</v>
      </c>
      <c r="E1415" s="9" t="str">
        <f>+HYPERLINK("http://trademark.i-assist.jp/data/china/image_1906th/79959372.pdf", "79959372")</f>
        <v>79959372</v>
      </c>
      <c r="F1415" s="11" t="s">
        <v>4066</v>
      </c>
      <c r="G1415" s="11" t="s">
        <v>4067</v>
      </c>
      <c r="H1415" s="11" t="s">
        <v>4068</v>
      </c>
      <c r="I1415" s="11" t="s">
        <v>3946</v>
      </c>
    </row>
    <row r="1416" spans="1:9" x14ac:dyDescent="0.15">
      <c r="A1416" s="10">
        <v>1415</v>
      </c>
      <c r="B1416" s="11" t="s">
        <v>9</v>
      </c>
      <c r="C1416" s="11" t="s">
        <v>152</v>
      </c>
      <c r="D1416" s="11" t="s">
        <v>153</v>
      </c>
      <c r="E1416" s="9" t="str">
        <f>+HYPERLINK("http://trademark.i-assist.jp/data/china/image_1906th/79959583.pdf", "79959583")</f>
        <v>79959583</v>
      </c>
      <c r="F1416" s="11" t="s">
        <v>4069</v>
      </c>
      <c r="G1416" s="11" t="s">
        <v>4070</v>
      </c>
      <c r="H1416" s="11" t="s">
        <v>4071</v>
      </c>
      <c r="I1416" s="11" t="s">
        <v>3946</v>
      </c>
    </row>
    <row r="1417" spans="1:9" x14ac:dyDescent="0.15">
      <c r="A1417" s="10">
        <v>1416</v>
      </c>
      <c r="B1417" s="11" t="s">
        <v>9</v>
      </c>
      <c r="C1417" s="11" t="s">
        <v>152</v>
      </c>
      <c r="D1417" s="11" t="s">
        <v>153</v>
      </c>
      <c r="E1417" s="9" t="str">
        <f>+HYPERLINK("http://trademark.i-assist.jp/data/china/image_1906th/79959901.pdf", "79959901")</f>
        <v>79959901</v>
      </c>
      <c r="F1417" s="11" t="s">
        <v>4072</v>
      </c>
      <c r="G1417" s="11" t="s">
        <v>3965</v>
      </c>
      <c r="H1417" s="11" t="s">
        <v>4073</v>
      </c>
      <c r="I1417" s="11" t="s">
        <v>3946</v>
      </c>
    </row>
    <row r="1418" spans="1:9" x14ac:dyDescent="0.15">
      <c r="A1418" s="10">
        <v>1417</v>
      </c>
      <c r="B1418" s="11" t="s">
        <v>9</v>
      </c>
      <c r="C1418" s="11" t="s">
        <v>152</v>
      </c>
      <c r="D1418" s="11" t="s">
        <v>153</v>
      </c>
      <c r="E1418" s="9" t="str">
        <f>+HYPERLINK("http://trademark.i-assist.jp/data/china/image_1906th/79960037.pdf", "79960037")</f>
        <v>79960037</v>
      </c>
      <c r="F1418" s="11" t="s">
        <v>4074</v>
      </c>
      <c r="G1418" s="11" t="s">
        <v>4075</v>
      </c>
      <c r="H1418" s="11" t="s">
        <v>4076</v>
      </c>
      <c r="I1418" s="11" t="s">
        <v>3946</v>
      </c>
    </row>
    <row r="1419" spans="1:9" x14ac:dyDescent="0.15">
      <c r="A1419" s="10">
        <v>1418</v>
      </c>
      <c r="B1419" s="11" t="s">
        <v>9</v>
      </c>
      <c r="C1419" s="11" t="s">
        <v>152</v>
      </c>
      <c r="D1419" s="11" t="s">
        <v>153</v>
      </c>
      <c r="E1419" s="9" t="str">
        <f>+HYPERLINK("http://trademark.i-assist.jp/data/china/image_1906th/79960214.pdf", "79960214")</f>
        <v>79960214</v>
      </c>
      <c r="F1419" s="11" t="s">
        <v>4077</v>
      </c>
      <c r="G1419" s="11" t="s">
        <v>4001</v>
      </c>
      <c r="H1419" s="11" t="s">
        <v>4078</v>
      </c>
      <c r="I1419" s="11" t="s">
        <v>3946</v>
      </c>
    </row>
    <row r="1420" spans="1:9" x14ac:dyDescent="0.15">
      <c r="A1420" s="10">
        <v>1419</v>
      </c>
      <c r="B1420" s="11" t="s">
        <v>9</v>
      </c>
      <c r="C1420" s="11" t="s">
        <v>152</v>
      </c>
      <c r="D1420" s="11" t="s">
        <v>153</v>
      </c>
      <c r="E1420" s="9" t="str">
        <f>+HYPERLINK("http://trademark.i-assist.jp/data/china/image_1906th/79960412.pdf", "79960412")</f>
        <v>79960412</v>
      </c>
      <c r="F1420" s="11" t="s">
        <v>4079</v>
      </c>
      <c r="G1420" s="11" t="s">
        <v>3965</v>
      </c>
      <c r="H1420" s="11" t="s">
        <v>4080</v>
      </c>
      <c r="I1420" s="11" t="s">
        <v>3946</v>
      </c>
    </row>
    <row r="1421" spans="1:9" x14ac:dyDescent="0.15">
      <c r="A1421" s="10">
        <v>1420</v>
      </c>
      <c r="B1421" s="11" t="s">
        <v>9</v>
      </c>
      <c r="C1421" s="11" t="s">
        <v>152</v>
      </c>
      <c r="D1421" s="11" t="s">
        <v>153</v>
      </c>
      <c r="E1421" s="9" t="str">
        <f>+HYPERLINK("http://trademark.i-assist.jp/data/china/image_1906th/79960670.pdf", "79960670")</f>
        <v>79960670</v>
      </c>
      <c r="F1421" s="11" t="s">
        <v>4081</v>
      </c>
      <c r="G1421" s="11" t="s">
        <v>4038</v>
      </c>
      <c r="H1421" s="11" t="s">
        <v>4082</v>
      </c>
      <c r="I1421" s="11" t="s">
        <v>3946</v>
      </c>
    </row>
    <row r="1422" spans="1:9" x14ac:dyDescent="0.15">
      <c r="A1422" s="10">
        <v>1421</v>
      </c>
      <c r="B1422" s="11" t="s">
        <v>9</v>
      </c>
      <c r="C1422" s="11" t="s">
        <v>152</v>
      </c>
      <c r="D1422" s="11" t="s">
        <v>153</v>
      </c>
      <c r="E1422" s="9" t="str">
        <f>+HYPERLINK("http://trademark.i-assist.jp/data/china/image_1906th/79960768.pdf", "79960768")</f>
        <v>79960768</v>
      </c>
      <c r="F1422" s="11" t="s">
        <v>4083</v>
      </c>
      <c r="G1422" s="11" t="s">
        <v>3944</v>
      </c>
      <c r="H1422" s="11" t="s">
        <v>4084</v>
      </c>
      <c r="I1422" s="11" t="s">
        <v>3946</v>
      </c>
    </row>
    <row r="1423" spans="1:9" x14ac:dyDescent="0.15">
      <c r="A1423" s="10">
        <v>1422</v>
      </c>
      <c r="B1423" s="11" t="s">
        <v>9</v>
      </c>
      <c r="C1423" s="11" t="s">
        <v>152</v>
      </c>
      <c r="D1423" s="11" t="s">
        <v>153</v>
      </c>
      <c r="E1423" s="9" t="str">
        <f>+HYPERLINK("http://trademark.i-assist.jp/data/china/image_1906th/79960796.pdf", "79960796")</f>
        <v>79960796</v>
      </c>
      <c r="F1423" s="11" t="s">
        <v>4085</v>
      </c>
      <c r="G1423" s="11" t="s">
        <v>3944</v>
      </c>
      <c r="H1423" s="11" t="s">
        <v>4086</v>
      </c>
      <c r="I1423" s="11" t="s">
        <v>3946</v>
      </c>
    </row>
    <row r="1424" spans="1:9" x14ac:dyDescent="0.15">
      <c r="A1424" s="10">
        <v>1423</v>
      </c>
      <c r="B1424" s="11" t="s">
        <v>9</v>
      </c>
      <c r="C1424" s="11" t="s">
        <v>152</v>
      </c>
      <c r="D1424" s="11" t="s">
        <v>153</v>
      </c>
      <c r="E1424" s="9" t="str">
        <f>+HYPERLINK("http://trademark.i-assist.jp/data/china/image_1906th/79961117.pdf", "79961117")</f>
        <v>79961117</v>
      </c>
      <c r="F1424" s="11" t="s">
        <v>4087</v>
      </c>
      <c r="G1424" s="11" t="s">
        <v>3944</v>
      </c>
      <c r="H1424" s="11" t="s">
        <v>4088</v>
      </c>
      <c r="I1424" s="11" t="s">
        <v>3946</v>
      </c>
    </row>
    <row r="1425" spans="1:9" x14ac:dyDescent="0.15">
      <c r="A1425" s="10">
        <v>1424</v>
      </c>
      <c r="B1425" s="11" t="s">
        <v>9</v>
      </c>
      <c r="C1425" s="11" t="s">
        <v>152</v>
      </c>
      <c r="D1425" s="11" t="s">
        <v>153</v>
      </c>
      <c r="E1425" s="9" t="str">
        <f>+HYPERLINK("http://trademark.i-assist.jp/data/china/image_1906th/79961643.pdf", "79961643")</f>
        <v>79961643</v>
      </c>
      <c r="F1425" s="11" t="s">
        <v>4089</v>
      </c>
      <c r="G1425" s="11" t="s">
        <v>4090</v>
      </c>
      <c r="H1425" s="11" t="s">
        <v>4091</v>
      </c>
      <c r="I1425" s="11" t="s">
        <v>3946</v>
      </c>
    </row>
    <row r="1426" spans="1:9" x14ac:dyDescent="0.15">
      <c r="A1426" s="10">
        <v>1425</v>
      </c>
      <c r="B1426" s="11" t="s">
        <v>9</v>
      </c>
      <c r="C1426" s="11" t="s">
        <v>152</v>
      </c>
      <c r="D1426" s="11" t="s">
        <v>153</v>
      </c>
      <c r="E1426" s="9" t="str">
        <f>+HYPERLINK("http://trademark.i-assist.jp/data/china/image_1906th/79961679.pdf", "79961679")</f>
        <v>79961679</v>
      </c>
      <c r="F1426" s="11" t="s">
        <v>4092</v>
      </c>
      <c r="G1426" s="11" t="s">
        <v>3954</v>
      </c>
      <c r="H1426" s="11" t="s">
        <v>4093</v>
      </c>
      <c r="I1426" s="11" t="s">
        <v>3946</v>
      </c>
    </row>
    <row r="1427" spans="1:9" x14ac:dyDescent="0.15">
      <c r="A1427" s="10">
        <v>1426</v>
      </c>
      <c r="B1427" s="11" t="s">
        <v>9</v>
      </c>
      <c r="C1427" s="11" t="s">
        <v>152</v>
      </c>
      <c r="D1427" s="11" t="s">
        <v>153</v>
      </c>
      <c r="E1427" s="9" t="str">
        <f>+HYPERLINK("http://trademark.i-assist.jp/data/china/image_1906th/79963217.pdf", "79963217")</f>
        <v>79963217</v>
      </c>
      <c r="F1427" s="11" t="s">
        <v>4094</v>
      </c>
      <c r="G1427" s="11" t="s">
        <v>4095</v>
      </c>
      <c r="H1427" s="11" t="s">
        <v>4096</v>
      </c>
      <c r="I1427" s="11" t="s">
        <v>4097</v>
      </c>
    </row>
    <row r="1428" spans="1:9" x14ac:dyDescent="0.15">
      <c r="A1428" s="10">
        <v>1427</v>
      </c>
      <c r="B1428" s="11" t="s">
        <v>9</v>
      </c>
      <c r="C1428" s="11" t="s">
        <v>152</v>
      </c>
      <c r="D1428" s="11" t="s">
        <v>153</v>
      </c>
      <c r="E1428" s="9" t="str">
        <f>+HYPERLINK("http://trademark.i-assist.jp/data/china/image_1906th/79964480.pdf", "79964480")</f>
        <v>79964480</v>
      </c>
      <c r="F1428" s="11" t="s">
        <v>4098</v>
      </c>
      <c r="G1428" s="11" t="s">
        <v>4099</v>
      </c>
      <c r="H1428" s="11" t="s">
        <v>4100</v>
      </c>
      <c r="I1428" s="11" t="s">
        <v>4097</v>
      </c>
    </row>
    <row r="1429" spans="1:9" x14ac:dyDescent="0.15">
      <c r="A1429" s="10">
        <v>1428</v>
      </c>
      <c r="B1429" s="11" t="s">
        <v>9</v>
      </c>
      <c r="C1429" s="11" t="s">
        <v>152</v>
      </c>
      <c r="D1429" s="11" t="s">
        <v>153</v>
      </c>
      <c r="E1429" s="9" t="str">
        <f>+HYPERLINK("http://trademark.i-assist.jp/data/china/image_1906th/79964603.pdf", "79964603")</f>
        <v>79964603</v>
      </c>
      <c r="F1429" s="11" t="s">
        <v>4101</v>
      </c>
      <c r="G1429" s="11" t="s">
        <v>4102</v>
      </c>
      <c r="H1429" s="11" t="s">
        <v>4103</v>
      </c>
      <c r="I1429" s="11" t="s">
        <v>4097</v>
      </c>
    </row>
    <row r="1430" spans="1:9" x14ac:dyDescent="0.15">
      <c r="A1430" s="10">
        <v>1429</v>
      </c>
      <c r="B1430" s="11" t="s">
        <v>9</v>
      </c>
      <c r="C1430" s="11" t="s">
        <v>152</v>
      </c>
      <c r="D1430" s="11" t="s">
        <v>153</v>
      </c>
      <c r="E1430" s="9" t="str">
        <f>+HYPERLINK("http://trademark.i-assist.jp/data/china/image_1906th/79965060.pdf", "79965060")</f>
        <v>79965060</v>
      </c>
      <c r="F1430" s="11" t="s">
        <v>4104</v>
      </c>
      <c r="G1430" s="11" t="s">
        <v>4105</v>
      </c>
      <c r="H1430" s="11" t="s">
        <v>4106</v>
      </c>
      <c r="I1430" s="11" t="s">
        <v>4097</v>
      </c>
    </row>
    <row r="1431" spans="1:9" x14ac:dyDescent="0.15">
      <c r="A1431" s="10">
        <v>1430</v>
      </c>
      <c r="B1431" s="11" t="s">
        <v>9</v>
      </c>
      <c r="C1431" s="11" t="s">
        <v>152</v>
      </c>
      <c r="D1431" s="11" t="s">
        <v>153</v>
      </c>
      <c r="E1431" s="9" t="str">
        <f>+HYPERLINK("http://trademark.i-assist.jp/data/china/image_1906th/79966107.pdf", "79966107")</f>
        <v>79966107</v>
      </c>
      <c r="F1431" s="11" t="s">
        <v>4107</v>
      </c>
      <c r="G1431" s="11" t="s">
        <v>4108</v>
      </c>
      <c r="H1431" s="11" t="s">
        <v>4109</v>
      </c>
      <c r="I1431" s="11" t="s">
        <v>4097</v>
      </c>
    </row>
    <row r="1432" spans="1:9" x14ac:dyDescent="0.15">
      <c r="A1432" s="10">
        <v>1431</v>
      </c>
      <c r="B1432" s="11" t="s">
        <v>9</v>
      </c>
      <c r="C1432" s="11" t="s">
        <v>152</v>
      </c>
      <c r="D1432" s="11" t="s">
        <v>153</v>
      </c>
      <c r="E1432" s="9" t="str">
        <f>+HYPERLINK("http://trademark.i-assist.jp/data/china/image_1906th/79966233.pdf", "79966233")</f>
        <v>79966233</v>
      </c>
      <c r="F1432" s="11" t="s">
        <v>4110</v>
      </c>
      <c r="G1432" s="11" t="s">
        <v>4111</v>
      </c>
      <c r="H1432" s="11" t="s">
        <v>4112</v>
      </c>
      <c r="I1432" s="11" t="s">
        <v>4097</v>
      </c>
    </row>
    <row r="1433" spans="1:9" x14ac:dyDescent="0.15">
      <c r="A1433" s="10">
        <v>1432</v>
      </c>
      <c r="B1433" s="11" t="s">
        <v>9</v>
      </c>
      <c r="C1433" s="11" t="s">
        <v>152</v>
      </c>
      <c r="D1433" s="11" t="s">
        <v>153</v>
      </c>
      <c r="E1433" s="9" t="str">
        <f>+HYPERLINK("http://trademark.i-assist.jp/data/china/image_1906th/79966581.pdf", "79966581")</f>
        <v>79966581</v>
      </c>
      <c r="F1433" s="11" t="s">
        <v>4113</v>
      </c>
      <c r="G1433" s="11" t="s">
        <v>4114</v>
      </c>
      <c r="H1433" s="11" t="s">
        <v>4115</v>
      </c>
      <c r="I1433" s="11" t="s">
        <v>4097</v>
      </c>
    </row>
    <row r="1434" spans="1:9" x14ac:dyDescent="0.15">
      <c r="A1434" s="10">
        <v>1433</v>
      </c>
      <c r="B1434" s="11" t="s">
        <v>9</v>
      </c>
      <c r="C1434" s="11" t="s">
        <v>152</v>
      </c>
      <c r="D1434" s="11" t="s">
        <v>153</v>
      </c>
      <c r="E1434" s="9" t="str">
        <f>+HYPERLINK("http://trademark.i-assist.jp/data/china/image_1906th/79966950.pdf", "79966950")</f>
        <v>79966950</v>
      </c>
      <c r="F1434" s="11" t="s">
        <v>4116</v>
      </c>
      <c r="G1434" s="11" t="s">
        <v>4117</v>
      </c>
      <c r="H1434" s="11" t="s">
        <v>4118</v>
      </c>
      <c r="I1434" s="11" t="s">
        <v>4097</v>
      </c>
    </row>
    <row r="1435" spans="1:9" x14ac:dyDescent="0.15">
      <c r="A1435" s="10">
        <v>1434</v>
      </c>
      <c r="B1435" s="11" t="s">
        <v>9</v>
      </c>
      <c r="C1435" s="11" t="s">
        <v>152</v>
      </c>
      <c r="D1435" s="11" t="s">
        <v>153</v>
      </c>
      <c r="E1435" s="9" t="str">
        <f>+HYPERLINK("http://trademark.i-assist.jp/data/china/image_1906th/79967448.pdf", "79967448")</f>
        <v>79967448</v>
      </c>
      <c r="F1435" s="11" t="s">
        <v>4119</v>
      </c>
      <c r="G1435" s="11" t="s">
        <v>4120</v>
      </c>
      <c r="H1435" s="11" t="s">
        <v>4121</v>
      </c>
      <c r="I1435" s="11" t="s">
        <v>4097</v>
      </c>
    </row>
    <row r="1436" spans="1:9" x14ac:dyDescent="0.15">
      <c r="A1436" s="10">
        <v>1435</v>
      </c>
      <c r="B1436" s="11" t="s">
        <v>9</v>
      </c>
      <c r="C1436" s="11" t="s">
        <v>152</v>
      </c>
      <c r="D1436" s="11" t="s">
        <v>153</v>
      </c>
      <c r="E1436" s="9" t="str">
        <f>+HYPERLINK("http://trademark.i-assist.jp/data/china/image_1906th/79968235.pdf", "79968235")</f>
        <v>79968235</v>
      </c>
      <c r="F1436" s="11" t="s">
        <v>4122</v>
      </c>
      <c r="G1436" s="11" t="s">
        <v>4123</v>
      </c>
      <c r="H1436" s="11" t="s">
        <v>4124</v>
      </c>
      <c r="I1436" s="11" t="s">
        <v>4097</v>
      </c>
    </row>
    <row r="1437" spans="1:9" x14ac:dyDescent="0.15">
      <c r="A1437" s="10">
        <v>1436</v>
      </c>
      <c r="B1437" s="11" t="s">
        <v>9</v>
      </c>
      <c r="C1437" s="11" t="s">
        <v>152</v>
      </c>
      <c r="D1437" s="11" t="s">
        <v>153</v>
      </c>
      <c r="E1437" s="9" t="str">
        <f>+HYPERLINK("http://trademark.i-assist.jp/data/china/image_1906th/79969891.pdf", "79969891")</f>
        <v>79969891</v>
      </c>
      <c r="F1437" s="11" t="s">
        <v>4125</v>
      </c>
      <c r="G1437" s="11" t="s">
        <v>4126</v>
      </c>
      <c r="H1437" s="11" t="s">
        <v>4127</v>
      </c>
      <c r="I1437" s="11" t="s">
        <v>4097</v>
      </c>
    </row>
    <row r="1438" spans="1:9" x14ac:dyDescent="0.15">
      <c r="A1438" s="10">
        <v>1437</v>
      </c>
      <c r="B1438" s="11" t="s">
        <v>9</v>
      </c>
      <c r="C1438" s="11" t="s">
        <v>152</v>
      </c>
      <c r="D1438" s="11" t="s">
        <v>153</v>
      </c>
      <c r="E1438" s="9" t="str">
        <f>+HYPERLINK("http://trademark.i-assist.jp/data/china/image_1906th/79970284.pdf", "79970284")</f>
        <v>79970284</v>
      </c>
      <c r="F1438" s="11" t="s">
        <v>4128</v>
      </c>
      <c r="G1438" s="11" t="s">
        <v>4129</v>
      </c>
      <c r="H1438" s="11" t="s">
        <v>4130</v>
      </c>
      <c r="I1438" s="11" t="s">
        <v>4097</v>
      </c>
    </row>
    <row r="1439" spans="1:9" x14ac:dyDescent="0.15">
      <c r="A1439" s="10">
        <v>1438</v>
      </c>
      <c r="B1439" s="11" t="s">
        <v>9</v>
      </c>
      <c r="C1439" s="11" t="s">
        <v>152</v>
      </c>
      <c r="D1439" s="11" t="s">
        <v>153</v>
      </c>
      <c r="E1439" s="9" t="str">
        <f>+HYPERLINK("http://trademark.i-assist.jp/data/china/image_1906th/79970290.pdf", "79970290")</f>
        <v>79970290</v>
      </c>
      <c r="F1439" s="11" t="s">
        <v>4131</v>
      </c>
      <c r="G1439" s="11" t="s">
        <v>4132</v>
      </c>
      <c r="H1439" s="11" t="s">
        <v>4133</v>
      </c>
      <c r="I1439" s="11" t="s">
        <v>4097</v>
      </c>
    </row>
    <row r="1440" spans="1:9" x14ac:dyDescent="0.15">
      <c r="A1440" s="10">
        <v>1439</v>
      </c>
      <c r="B1440" s="11" t="s">
        <v>9</v>
      </c>
      <c r="C1440" s="11" t="s">
        <v>152</v>
      </c>
      <c r="D1440" s="11" t="s">
        <v>153</v>
      </c>
      <c r="E1440" s="9" t="str">
        <f>+HYPERLINK("http://trademark.i-assist.jp/data/china/image_1906th/79970938.pdf", "79970938")</f>
        <v>79970938</v>
      </c>
      <c r="F1440" s="11" t="s">
        <v>4134</v>
      </c>
      <c r="G1440" s="11" t="s">
        <v>4135</v>
      </c>
      <c r="H1440" s="11" t="s">
        <v>4136</v>
      </c>
      <c r="I1440" s="11" t="s">
        <v>4097</v>
      </c>
    </row>
    <row r="1441" spans="1:9" x14ac:dyDescent="0.15">
      <c r="A1441" s="10">
        <v>1440</v>
      </c>
      <c r="B1441" s="11" t="s">
        <v>9</v>
      </c>
      <c r="C1441" s="11" t="s">
        <v>152</v>
      </c>
      <c r="D1441" s="11" t="s">
        <v>153</v>
      </c>
      <c r="E1441" s="9" t="str">
        <f>+HYPERLINK("http://trademark.i-assist.jp/data/china/image_1906th/79972209.pdf", "79972209")</f>
        <v>79972209</v>
      </c>
      <c r="F1441" s="11" t="s">
        <v>4137</v>
      </c>
      <c r="G1441" s="11" t="s">
        <v>4138</v>
      </c>
      <c r="H1441" s="11" t="s">
        <v>4139</v>
      </c>
      <c r="I1441" s="11" t="s">
        <v>4097</v>
      </c>
    </row>
    <row r="1442" spans="1:9" x14ac:dyDescent="0.15">
      <c r="A1442" s="10">
        <v>1441</v>
      </c>
      <c r="B1442" s="11" t="s">
        <v>9</v>
      </c>
      <c r="C1442" s="11" t="s">
        <v>152</v>
      </c>
      <c r="D1442" s="11" t="s">
        <v>153</v>
      </c>
      <c r="E1442" s="9" t="str">
        <f>+HYPERLINK("http://trademark.i-assist.jp/data/china/image_1906th/79973267.pdf", "79973267")</f>
        <v>79973267</v>
      </c>
      <c r="F1442" s="11" t="s">
        <v>4140</v>
      </c>
      <c r="G1442" s="11" t="s">
        <v>4141</v>
      </c>
      <c r="H1442" s="11" t="s">
        <v>4142</v>
      </c>
      <c r="I1442" s="11" t="s">
        <v>4097</v>
      </c>
    </row>
    <row r="1443" spans="1:9" x14ac:dyDescent="0.15">
      <c r="A1443" s="10">
        <v>1442</v>
      </c>
      <c r="B1443" s="11" t="s">
        <v>9</v>
      </c>
      <c r="C1443" s="11" t="s">
        <v>152</v>
      </c>
      <c r="D1443" s="11" t="s">
        <v>153</v>
      </c>
      <c r="E1443" s="9" t="str">
        <f>+HYPERLINK("http://trademark.i-assist.jp/data/china/image_1906th/79973947.pdf", "79973947")</f>
        <v>79973947</v>
      </c>
      <c r="F1443" s="11" t="s">
        <v>4143</v>
      </c>
      <c r="G1443" s="11" t="s">
        <v>4132</v>
      </c>
      <c r="H1443" s="11" t="s">
        <v>4144</v>
      </c>
      <c r="I1443" s="11" t="s">
        <v>4097</v>
      </c>
    </row>
    <row r="1444" spans="1:9" x14ac:dyDescent="0.15">
      <c r="A1444" s="10">
        <v>1443</v>
      </c>
      <c r="B1444" s="11" t="s">
        <v>9</v>
      </c>
      <c r="C1444" s="11" t="s">
        <v>152</v>
      </c>
      <c r="D1444" s="11" t="s">
        <v>153</v>
      </c>
      <c r="E1444" s="9" t="str">
        <f>+HYPERLINK("http://trademark.i-assist.jp/data/china/image_1906th/79974342.pdf", "79974342")</f>
        <v>79974342</v>
      </c>
      <c r="F1444" s="11" t="s">
        <v>4145</v>
      </c>
      <c r="G1444" s="11" t="s">
        <v>4146</v>
      </c>
      <c r="H1444" s="11" t="s">
        <v>4147</v>
      </c>
      <c r="I1444" s="11" t="s">
        <v>4097</v>
      </c>
    </row>
    <row r="1445" spans="1:9" x14ac:dyDescent="0.15">
      <c r="A1445" s="10">
        <v>1444</v>
      </c>
      <c r="B1445" s="11" t="s">
        <v>9</v>
      </c>
      <c r="C1445" s="11" t="s">
        <v>152</v>
      </c>
      <c r="D1445" s="11" t="s">
        <v>153</v>
      </c>
      <c r="E1445" s="9" t="str">
        <f>+HYPERLINK("http://trademark.i-assist.jp/data/china/image_1906th/79977069.pdf", "79977069")</f>
        <v>79977069</v>
      </c>
      <c r="F1445" s="11" t="s">
        <v>4148</v>
      </c>
      <c r="G1445" s="11" t="s">
        <v>4149</v>
      </c>
      <c r="H1445" s="11" t="s">
        <v>4150</v>
      </c>
      <c r="I1445" s="11" t="s">
        <v>4097</v>
      </c>
    </row>
    <row r="1446" spans="1:9" x14ac:dyDescent="0.15">
      <c r="A1446" s="10">
        <v>1445</v>
      </c>
      <c r="B1446" s="11" t="s">
        <v>9</v>
      </c>
      <c r="C1446" s="11" t="s">
        <v>152</v>
      </c>
      <c r="D1446" s="11" t="s">
        <v>153</v>
      </c>
      <c r="E1446" s="9" t="str">
        <f>+HYPERLINK("http://trademark.i-assist.jp/data/china/image_1906th/79979725.pdf", "79979725")</f>
        <v>79979725</v>
      </c>
      <c r="F1446" s="11" t="s">
        <v>4151</v>
      </c>
      <c r="G1446" s="11" t="s">
        <v>4135</v>
      </c>
      <c r="H1446" s="11" t="s">
        <v>4152</v>
      </c>
      <c r="I1446" s="11" t="s">
        <v>4097</v>
      </c>
    </row>
    <row r="1447" spans="1:9" x14ac:dyDescent="0.15">
      <c r="A1447" s="10">
        <v>1446</v>
      </c>
      <c r="B1447" s="11" t="s">
        <v>9</v>
      </c>
      <c r="C1447" s="11" t="s">
        <v>152</v>
      </c>
      <c r="D1447" s="11" t="s">
        <v>153</v>
      </c>
      <c r="E1447" s="9" t="str">
        <f>+HYPERLINK("http://trademark.i-assist.jp/data/china/image_1906th/79980945.pdf", "79980945")</f>
        <v>79980945</v>
      </c>
      <c r="F1447" s="11" t="s">
        <v>4153</v>
      </c>
      <c r="G1447" s="11" t="s">
        <v>4154</v>
      </c>
      <c r="H1447" s="11" t="s">
        <v>4155</v>
      </c>
      <c r="I1447" s="11" t="s">
        <v>4097</v>
      </c>
    </row>
    <row r="1448" spans="1:9" x14ac:dyDescent="0.15">
      <c r="A1448" s="10">
        <v>1447</v>
      </c>
      <c r="B1448" s="11" t="s">
        <v>9</v>
      </c>
      <c r="C1448" s="11" t="s">
        <v>152</v>
      </c>
      <c r="D1448" s="11" t="s">
        <v>153</v>
      </c>
      <c r="E1448" s="9" t="str">
        <f>+HYPERLINK("http://trademark.i-assist.jp/data/china/image_1906th/79983221.pdf", "79983221")</f>
        <v>79983221</v>
      </c>
      <c r="F1448" s="11" t="s">
        <v>4156</v>
      </c>
      <c r="G1448" s="11" t="s">
        <v>4132</v>
      </c>
      <c r="H1448" s="11" t="s">
        <v>4157</v>
      </c>
      <c r="I1448" s="11" t="s">
        <v>4097</v>
      </c>
    </row>
    <row r="1449" spans="1:9" x14ac:dyDescent="0.15">
      <c r="A1449" s="10">
        <v>1448</v>
      </c>
      <c r="B1449" s="11" t="s">
        <v>9</v>
      </c>
      <c r="C1449" s="11" t="s">
        <v>152</v>
      </c>
      <c r="D1449" s="11" t="s">
        <v>153</v>
      </c>
      <c r="E1449" s="9" t="str">
        <f>+HYPERLINK("http://trademark.i-assist.jp/data/china/image_1906th/79985299.pdf", "79985299")</f>
        <v>79985299</v>
      </c>
      <c r="F1449" s="11" t="s">
        <v>4158</v>
      </c>
      <c r="G1449" s="11" t="s">
        <v>4159</v>
      </c>
      <c r="H1449" s="11" t="s">
        <v>4160</v>
      </c>
      <c r="I1449" s="11" t="s">
        <v>4097</v>
      </c>
    </row>
    <row r="1450" spans="1:9" x14ac:dyDescent="0.15">
      <c r="A1450" s="10">
        <v>1449</v>
      </c>
      <c r="B1450" s="11" t="s">
        <v>9</v>
      </c>
      <c r="C1450" s="11" t="s">
        <v>152</v>
      </c>
      <c r="D1450" s="11" t="s">
        <v>153</v>
      </c>
      <c r="E1450" s="9" t="str">
        <f>+HYPERLINK("http://trademark.i-assist.jp/data/china/image_1906th/79986590.pdf", "79986590")</f>
        <v>79986590</v>
      </c>
      <c r="F1450" s="11" t="s">
        <v>4161</v>
      </c>
      <c r="G1450" s="11" t="s">
        <v>4162</v>
      </c>
      <c r="H1450" s="11" t="s">
        <v>4163</v>
      </c>
      <c r="I1450" s="11" t="s">
        <v>4164</v>
      </c>
    </row>
    <row r="1451" spans="1:9" x14ac:dyDescent="0.15">
      <c r="A1451" s="10">
        <v>1450</v>
      </c>
      <c r="B1451" s="11" t="s">
        <v>9</v>
      </c>
      <c r="C1451" s="11" t="s">
        <v>152</v>
      </c>
      <c r="D1451" s="11" t="s">
        <v>153</v>
      </c>
      <c r="E1451" s="9" t="str">
        <f>+HYPERLINK("http://trademark.i-assist.jp/data/china/image_1906th/79989052.pdf", "79989052")</f>
        <v>79989052</v>
      </c>
      <c r="F1451" s="11" t="s">
        <v>4165</v>
      </c>
      <c r="G1451" s="11" t="s">
        <v>4166</v>
      </c>
      <c r="H1451" s="11" t="s">
        <v>4167</v>
      </c>
      <c r="I1451" s="11" t="s">
        <v>4164</v>
      </c>
    </row>
    <row r="1452" spans="1:9" x14ac:dyDescent="0.15">
      <c r="A1452" s="10">
        <v>1451</v>
      </c>
      <c r="B1452" s="11" t="s">
        <v>9</v>
      </c>
      <c r="C1452" s="11" t="s">
        <v>152</v>
      </c>
      <c r="D1452" s="11" t="s">
        <v>153</v>
      </c>
      <c r="E1452" s="9" t="str">
        <f>+HYPERLINK("http://trademark.i-assist.jp/data/china/image_1906th/79989815.pdf", "79989815")</f>
        <v>79989815</v>
      </c>
      <c r="F1452" s="11" t="s">
        <v>4168</v>
      </c>
      <c r="G1452" s="11" t="s">
        <v>4169</v>
      </c>
      <c r="H1452" s="11" t="s">
        <v>4170</v>
      </c>
      <c r="I1452" s="11" t="s">
        <v>4164</v>
      </c>
    </row>
    <row r="1453" spans="1:9" x14ac:dyDescent="0.15">
      <c r="A1453" s="10">
        <v>1452</v>
      </c>
      <c r="B1453" s="11" t="s">
        <v>9</v>
      </c>
      <c r="C1453" s="11" t="s">
        <v>152</v>
      </c>
      <c r="D1453" s="11" t="s">
        <v>153</v>
      </c>
      <c r="E1453" s="9" t="str">
        <f>+HYPERLINK("http://trademark.i-assist.jp/data/china/image_1906th/79992505.pdf", "79992505")</f>
        <v>79992505</v>
      </c>
      <c r="F1453" s="11" t="s">
        <v>4171</v>
      </c>
      <c r="G1453" s="11" t="s">
        <v>4172</v>
      </c>
      <c r="H1453" s="11" t="s">
        <v>4173</v>
      </c>
      <c r="I1453" s="11" t="s">
        <v>4164</v>
      </c>
    </row>
    <row r="1454" spans="1:9" x14ac:dyDescent="0.15">
      <c r="A1454" s="10">
        <v>1453</v>
      </c>
      <c r="B1454" s="11" t="s">
        <v>9</v>
      </c>
      <c r="C1454" s="11" t="s">
        <v>152</v>
      </c>
      <c r="D1454" s="11" t="s">
        <v>153</v>
      </c>
      <c r="E1454" s="9" t="str">
        <f>+HYPERLINK("http://trademark.i-assist.jp/data/china/image_1906th/79994329.pdf", "79994329")</f>
        <v>79994329</v>
      </c>
      <c r="F1454" s="11" t="s">
        <v>4174</v>
      </c>
      <c r="G1454" s="11" t="s">
        <v>4175</v>
      </c>
      <c r="H1454" s="11" t="s">
        <v>4176</v>
      </c>
      <c r="I1454" s="11" t="s">
        <v>4164</v>
      </c>
    </row>
    <row r="1455" spans="1:9" x14ac:dyDescent="0.15">
      <c r="A1455" s="10">
        <v>1454</v>
      </c>
      <c r="B1455" s="11" t="s">
        <v>9</v>
      </c>
      <c r="C1455" s="11" t="s">
        <v>152</v>
      </c>
      <c r="D1455" s="11" t="s">
        <v>153</v>
      </c>
      <c r="E1455" s="9" t="str">
        <f>+HYPERLINK("http://trademark.i-assist.jp/data/china/image_1906th/79994602.pdf", "79994602")</f>
        <v>79994602</v>
      </c>
      <c r="F1455" s="11" t="s">
        <v>4177</v>
      </c>
      <c r="G1455" s="11" t="s">
        <v>4178</v>
      </c>
      <c r="H1455" s="11" t="s">
        <v>4179</v>
      </c>
      <c r="I1455" s="11" t="s">
        <v>4164</v>
      </c>
    </row>
    <row r="1456" spans="1:9" x14ac:dyDescent="0.15">
      <c r="A1456" s="10">
        <v>1455</v>
      </c>
      <c r="B1456" s="11" t="s">
        <v>9</v>
      </c>
      <c r="C1456" s="11" t="s">
        <v>152</v>
      </c>
      <c r="D1456" s="11" t="s">
        <v>153</v>
      </c>
      <c r="E1456" s="9" t="str">
        <f>+HYPERLINK("http://trademark.i-assist.jp/data/china/image_1906th/79995231.pdf", "79995231")</f>
        <v>79995231</v>
      </c>
      <c r="F1456" s="11" t="s">
        <v>4180</v>
      </c>
      <c r="G1456" s="11" t="s">
        <v>4181</v>
      </c>
      <c r="H1456" s="11" t="s">
        <v>4182</v>
      </c>
      <c r="I1456" s="11" t="s">
        <v>4164</v>
      </c>
    </row>
    <row r="1457" spans="1:9" x14ac:dyDescent="0.15">
      <c r="A1457" s="10">
        <v>1456</v>
      </c>
      <c r="B1457" s="11" t="s">
        <v>9</v>
      </c>
      <c r="C1457" s="11" t="s">
        <v>152</v>
      </c>
      <c r="D1457" s="11" t="s">
        <v>153</v>
      </c>
      <c r="E1457" s="9" t="str">
        <f>+HYPERLINK("http://trademark.i-assist.jp/data/china/image_1906th/80000966.pdf", "80000966")</f>
        <v>80000966</v>
      </c>
      <c r="F1457" s="11" t="s">
        <v>4183</v>
      </c>
      <c r="G1457" s="11" t="s">
        <v>4184</v>
      </c>
      <c r="H1457" s="11" t="s">
        <v>4185</v>
      </c>
      <c r="I1457" s="11" t="s">
        <v>4164</v>
      </c>
    </row>
    <row r="1458" spans="1:9" x14ac:dyDescent="0.15">
      <c r="A1458" s="10">
        <v>1457</v>
      </c>
      <c r="B1458" s="11" t="s">
        <v>9</v>
      </c>
      <c r="C1458" s="11" t="s">
        <v>152</v>
      </c>
      <c r="D1458" s="11" t="s">
        <v>153</v>
      </c>
      <c r="E1458" s="9" t="str">
        <f>+HYPERLINK("http://trademark.i-assist.jp/data/china/image_1906th/80001876.pdf", "80001876")</f>
        <v>80001876</v>
      </c>
      <c r="F1458" s="11" t="s">
        <v>4186</v>
      </c>
      <c r="G1458" s="11" t="s">
        <v>4187</v>
      </c>
      <c r="H1458" s="11" t="s">
        <v>4188</v>
      </c>
      <c r="I1458" s="11" t="s">
        <v>4164</v>
      </c>
    </row>
    <row r="1459" spans="1:9" x14ac:dyDescent="0.15">
      <c r="A1459" s="10">
        <v>1458</v>
      </c>
      <c r="B1459" s="11" t="s">
        <v>9</v>
      </c>
      <c r="C1459" s="11" t="s">
        <v>152</v>
      </c>
      <c r="D1459" s="11" t="s">
        <v>153</v>
      </c>
      <c r="E1459" s="9" t="str">
        <f>+HYPERLINK("http://trademark.i-assist.jp/data/china/image_1906th/80004477.pdf", "80004477")</f>
        <v>80004477</v>
      </c>
      <c r="F1459" s="11" t="s">
        <v>4189</v>
      </c>
      <c r="G1459" s="11" t="s">
        <v>4190</v>
      </c>
      <c r="H1459" s="11" t="s">
        <v>4191</v>
      </c>
      <c r="I1459" s="11" t="s">
        <v>4164</v>
      </c>
    </row>
    <row r="1460" spans="1:9" x14ac:dyDescent="0.15">
      <c r="A1460" s="10">
        <v>1459</v>
      </c>
      <c r="B1460" s="11" t="s">
        <v>9</v>
      </c>
      <c r="C1460" s="11" t="s">
        <v>152</v>
      </c>
      <c r="D1460" s="11" t="s">
        <v>153</v>
      </c>
      <c r="E1460" s="9" t="str">
        <f>+HYPERLINK("http://trademark.i-assist.jp/data/china/image_1906th/80004648.pdf", "80004648")</f>
        <v>80004648</v>
      </c>
      <c r="F1460" s="11" t="s">
        <v>4192</v>
      </c>
      <c r="G1460" s="11" t="s">
        <v>4193</v>
      </c>
      <c r="H1460" s="11" t="s">
        <v>4194</v>
      </c>
      <c r="I1460" s="11" t="s">
        <v>4164</v>
      </c>
    </row>
    <row r="1461" spans="1:9" x14ac:dyDescent="0.15">
      <c r="A1461" s="10">
        <v>1460</v>
      </c>
      <c r="B1461" s="11" t="s">
        <v>9</v>
      </c>
      <c r="C1461" s="11" t="s">
        <v>152</v>
      </c>
      <c r="D1461" s="11" t="s">
        <v>153</v>
      </c>
      <c r="E1461" s="9" t="str">
        <f>+HYPERLINK("http://trademark.i-assist.jp/data/china/image_1906th/80004997.pdf", "80004997")</f>
        <v>80004997</v>
      </c>
      <c r="F1461" s="11" t="s">
        <v>4195</v>
      </c>
      <c r="G1461" s="11" t="s">
        <v>4196</v>
      </c>
      <c r="H1461" s="11" t="s">
        <v>4197</v>
      </c>
      <c r="I1461" s="11" t="s">
        <v>4164</v>
      </c>
    </row>
    <row r="1462" spans="1:9" x14ac:dyDescent="0.15">
      <c r="A1462" s="10">
        <v>1461</v>
      </c>
      <c r="B1462" s="11" t="s">
        <v>9</v>
      </c>
      <c r="C1462" s="11" t="s">
        <v>152</v>
      </c>
      <c r="D1462" s="11" t="s">
        <v>153</v>
      </c>
      <c r="E1462" s="9" t="str">
        <f>+HYPERLINK("http://trademark.i-assist.jp/data/china/image_1906th/80005111.pdf", "80005111")</f>
        <v>80005111</v>
      </c>
      <c r="F1462" s="11" t="s">
        <v>12</v>
      </c>
      <c r="G1462" s="11" t="s">
        <v>4198</v>
      </c>
      <c r="H1462" s="11" t="s">
        <v>4199</v>
      </c>
      <c r="I1462" s="11" t="s">
        <v>4164</v>
      </c>
    </row>
    <row r="1463" spans="1:9" x14ac:dyDescent="0.15">
      <c r="A1463" s="10">
        <v>1462</v>
      </c>
      <c r="B1463" s="11" t="s">
        <v>9</v>
      </c>
      <c r="C1463" s="11" t="s">
        <v>152</v>
      </c>
      <c r="D1463" s="11" t="s">
        <v>153</v>
      </c>
      <c r="E1463" s="9" t="str">
        <f>+HYPERLINK("http://trademark.i-assist.jp/data/china/image_1906th/80006069.pdf", "80006069")</f>
        <v>80006069</v>
      </c>
      <c r="F1463" s="11" t="s">
        <v>4200</v>
      </c>
      <c r="G1463" s="11" t="s">
        <v>4181</v>
      </c>
      <c r="H1463" s="11" t="s">
        <v>4201</v>
      </c>
      <c r="I1463" s="11" t="s">
        <v>4164</v>
      </c>
    </row>
    <row r="1464" spans="1:9" x14ac:dyDescent="0.15">
      <c r="A1464" s="10">
        <v>1463</v>
      </c>
      <c r="B1464" s="11" t="s">
        <v>9</v>
      </c>
      <c r="C1464" s="11" t="s">
        <v>152</v>
      </c>
      <c r="D1464" s="11" t="s">
        <v>153</v>
      </c>
      <c r="E1464" s="9" t="str">
        <f>+HYPERLINK("http://trademark.i-assist.jp/data/china/image_1906th/80006815.pdf", "80006815")</f>
        <v>80006815</v>
      </c>
      <c r="F1464" s="11" t="s">
        <v>4202</v>
      </c>
      <c r="G1464" s="11" t="s">
        <v>4203</v>
      </c>
      <c r="H1464" s="11" t="s">
        <v>14</v>
      </c>
      <c r="I1464" s="11" t="s">
        <v>4164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1906th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2025-03-11T08:38:18Z</dcterms:modified>
</cp:coreProperties>
</file>